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drawings/drawing8.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129.16.146.131\public\Personliga Mappar\Karin\1 Aktuella projekt\21033 SGBC\GreenBuilding_8_210611\Uppdatert 200618\"/>
    </mc:Choice>
  </mc:AlternateContent>
  <xr:revisionPtr revIDLastSave="0" documentId="13_ncr:1_{A42F64F9-5489-4D3C-98F3-C403AA1A2435}" xr6:coauthVersionLast="47" xr6:coauthVersionMax="47" xr10:uidLastSave="{00000000-0000-0000-0000-000000000000}"/>
  <workbookProtection workbookAlgorithmName="SHA-512" workbookHashValue="854OjqegNRtLc6Bpvbsykr3HiDUh+tqdHky5NkWDFnW6Rn0JEFDWPHVXMY5KX/LPbp5l1iQMvEsGMicwHYDvSQ==" workbookSaltValue="kBCT9t4aB+TYqXn7M18gqg==" workbookSpinCount="100000" lockStructure="1"/>
  <bookViews>
    <workbookView xWindow="-120" yWindow="-120" windowWidth="25440" windowHeight="15390" xr2:uid="{04534B4E-51E4-4EFA-9365-74AE6D18FA96}"/>
  </bookViews>
  <sheets>
    <sheet name="Om SGBC-verktyget " sheetId="18" r:id="rId1"/>
    <sheet name="Indata byggnad och BBR krav" sheetId="13" r:id="rId2"/>
    <sheet name="Mätvärden" sheetId="1" r:id="rId3"/>
    <sheet name="Mätvärden referensår" sheetId="17" r:id="rId4"/>
    <sheet name="Resultat" sheetId="12" r:id="rId5"/>
    <sheet name="Statistik" sheetId="14" r:id="rId6"/>
    <sheet name="Ortdata" sheetId="6" state="hidden" r:id="rId7"/>
    <sheet name="Ortlista" sheetId="7" state="hidden" r:id="rId8"/>
    <sheet name="Normalår" sheetId="8" state="hidden" r:id="rId9"/>
    <sheet name="Sänkningsvärde" sheetId="11" state="hidden" r:id="rId10"/>
  </sheets>
  <definedNames>
    <definedName name="getChart" localSheetId="0">IF(Resultat!$F$6="diagram 1",INDIRECT(Statistik!#REF!),IF(Resultat!$F$6="diagram 2",INDIRECT(Statistik!#REF!)))</definedName>
    <definedName name="getChart">IF(Resultat!$F$6="diagram 1",INDIRECT(Statistik!#REF!),IF(Resultat!$F$6="diagram 2",INDIRECT(Statistik!#REF!)))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1" i="17" l="1"/>
  <c r="F19" i="17"/>
  <c r="J75" i="1" l="1"/>
  <c r="DQ34" i="17"/>
  <c r="DP34" i="17"/>
  <c r="DO34" i="17"/>
  <c r="DN34" i="17"/>
  <c r="DN34" i="1"/>
  <c r="DO34" i="1"/>
  <c r="DP34" i="1"/>
  <c r="DQ34" i="1"/>
  <c r="D196" i="1"/>
  <c r="D200" i="17"/>
  <c r="D196" i="17" l="1"/>
  <c r="D194" i="17"/>
  <c r="D201" i="17" s="1"/>
  <c r="P171" i="17"/>
  <c r="M171" i="17"/>
  <c r="J171" i="17"/>
  <c r="O170" i="17"/>
  <c r="L170" i="17"/>
  <c r="I170" i="17"/>
  <c r="O169" i="17"/>
  <c r="L169" i="17"/>
  <c r="I169" i="17"/>
  <c r="O168" i="17"/>
  <c r="L168" i="17"/>
  <c r="I168" i="17"/>
  <c r="O167" i="17"/>
  <c r="L167" i="17"/>
  <c r="I167" i="17"/>
  <c r="O166" i="17"/>
  <c r="L166" i="17"/>
  <c r="I166" i="17"/>
  <c r="O165" i="17"/>
  <c r="L165" i="17"/>
  <c r="I165" i="17"/>
  <c r="O164" i="17"/>
  <c r="L164" i="17"/>
  <c r="I164" i="17"/>
  <c r="O163" i="17"/>
  <c r="L163" i="17"/>
  <c r="I163" i="17"/>
  <c r="O162" i="17"/>
  <c r="L162" i="17"/>
  <c r="I162" i="17"/>
  <c r="O161" i="17"/>
  <c r="L161" i="17"/>
  <c r="I161" i="17"/>
  <c r="O160" i="17"/>
  <c r="L160" i="17"/>
  <c r="I160" i="17"/>
  <c r="O159" i="17"/>
  <c r="L159" i="17"/>
  <c r="I159" i="17"/>
  <c r="G155" i="17"/>
  <c r="EI45" i="17" s="1"/>
  <c r="EI46" i="17" s="1"/>
  <c r="G154" i="17"/>
  <c r="F159" i="17" s="1"/>
  <c r="AF147" i="17"/>
  <c r="AE147" i="17"/>
  <c r="AK147" i="17" s="1"/>
  <c r="AD147" i="17"/>
  <c r="AA147" i="17"/>
  <c r="Z147" i="17"/>
  <c r="Y147" i="17"/>
  <c r="Y151" i="17" s="1"/>
  <c r="V146" i="17"/>
  <c r="S146" i="17"/>
  <c r="P146" i="17"/>
  <c r="M146" i="17"/>
  <c r="J146" i="17"/>
  <c r="U145" i="17"/>
  <c r="R145" i="17"/>
  <c r="O145" i="17"/>
  <c r="L145" i="17"/>
  <c r="I145" i="17"/>
  <c r="U144" i="17"/>
  <c r="R144" i="17"/>
  <c r="O144" i="17"/>
  <c r="L144" i="17"/>
  <c r="I144" i="17"/>
  <c r="U143" i="17"/>
  <c r="R143" i="17"/>
  <c r="O143" i="17"/>
  <c r="L143" i="17"/>
  <c r="I143" i="17"/>
  <c r="U142" i="17"/>
  <c r="R142" i="17"/>
  <c r="O142" i="17"/>
  <c r="L142" i="17"/>
  <c r="I142" i="17"/>
  <c r="AR141" i="17"/>
  <c r="AB141" i="17" s="1"/>
  <c r="AO141" i="17"/>
  <c r="Y141" i="17" s="1"/>
  <c r="AN141" i="17"/>
  <c r="AH141" i="17" s="1"/>
  <c r="AM141" i="17"/>
  <c r="AG141" i="17" s="1"/>
  <c r="AL141" i="17"/>
  <c r="AF141" i="17" s="1"/>
  <c r="U141" i="17"/>
  <c r="R141" i="17"/>
  <c r="O141" i="17"/>
  <c r="L141" i="17"/>
  <c r="I141" i="17"/>
  <c r="AR140" i="17"/>
  <c r="AB140" i="17" s="1"/>
  <c r="AO140" i="17"/>
  <c r="Y140" i="17" s="1"/>
  <c r="AN140" i="17"/>
  <c r="AH140" i="17" s="1"/>
  <c r="AM140" i="17"/>
  <c r="AG140" i="17" s="1"/>
  <c r="AL140" i="17"/>
  <c r="AF140" i="17" s="1"/>
  <c r="U140" i="17"/>
  <c r="R140" i="17"/>
  <c r="O140" i="17"/>
  <c r="L140" i="17"/>
  <c r="I140" i="17"/>
  <c r="AR139" i="17"/>
  <c r="AB139" i="17" s="1"/>
  <c r="AO139" i="17"/>
  <c r="Y139" i="17" s="1"/>
  <c r="AN139" i="17"/>
  <c r="AH139" i="17" s="1"/>
  <c r="AM139" i="17"/>
  <c r="AG139" i="17" s="1"/>
  <c r="AL139" i="17"/>
  <c r="AF139" i="17" s="1"/>
  <c r="U139" i="17"/>
  <c r="R139" i="17"/>
  <c r="O139" i="17"/>
  <c r="L139" i="17"/>
  <c r="I139" i="17"/>
  <c r="AR138" i="17"/>
  <c r="AB138" i="17" s="1"/>
  <c r="AO138" i="17"/>
  <c r="Y138" i="17" s="1"/>
  <c r="AN138" i="17"/>
  <c r="AH138" i="17" s="1"/>
  <c r="AM138" i="17"/>
  <c r="AG138" i="17" s="1"/>
  <c r="AL138" i="17"/>
  <c r="AF138" i="17" s="1"/>
  <c r="U138" i="17"/>
  <c r="R138" i="17"/>
  <c r="O138" i="17"/>
  <c r="L138" i="17"/>
  <c r="I138" i="17"/>
  <c r="AR137" i="17"/>
  <c r="AB137" i="17" s="1"/>
  <c r="AO137" i="17"/>
  <c r="Y137" i="17" s="1"/>
  <c r="AN137" i="17"/>
  <c r="AH137" i="17" s="1"/>
  <c r="AM137" i="17"/>
  <c r="AG137" i="17" s="1"/>
  <c r="AL137" i="17"/>
  <c r="AF137" i="17" s="1"/>
  <c r="U137" i="17"/>
  <c r="R137" i="17"/>
  <c r="O137" i="17"/>
  <c r="L137" i="17"/>
  <c r="I137" i="17"/>
  <c r="AS136" i="17"/>
  <c r="AC136" i="17" s="1"/>
  <c r="AR136" i="17"/>
  <c r="AB136" i="17" s="1"/>
  <c r="AO136" i="17"/>
  <c r="Y136" i="17" s="1"/>
  <c r="AN136" i="17"/>
  <c r="AH136" i="17" s="1"/>
  <c r="AM136" i="17"/>
  <c r="AG136" i="17" s="1"/>
  <c r="AL136" i="17"/>
  <c r="AF136" i="17" s="1"/>
  <c r="U136" i="17"/>
  <c r="R136" i="17"/>
  <c r="O136" i="17"/>
  <c r="AK132" i="17" s="1"/>
  <c r="AE132" i="17" s="1"/>
  <c r="L136" i="17"/>
  <c r="I136" i="17"/>
  <c r="AR135" i="17"/>
  <c r="AB135" i="17" s="1"/>
  <c r="AO135" i="17"/>
  <c r="Y135" i="17" s="1"/>
  <c r="AN135" i="17"/>
  <c r="AH135" i="17" s="1"/>
  <c r="AM135" i="17"/>
  <c r="AG135" i="17" s="1"/>
  <c r="AL135" i="17"/>
  <c r="AF135" i="17" s="1"/>
  <c r="U135" i="17"/>
  <c r="R135" i="17"/>
  <c r="O135" i="17"/>
  <c r="L135" i="17"/>
  <c r="I135" i="17"/>
  <c r="AR134" i="17"/>
  <c r="AB134" i="17" s="1"/>
  <c r="AO134" i="17"/>
  <c r="Y134" i="17" s="1"/>
  <c r="AN134" i="17"/>
  <c r="AH134" i="17" s="1"/>
  <c r="AM134" i="17"/>
  <c r="AG134" i="17" s="1"/>
  <c r="AL134" i="17"/>
  <c r="AF134" i="17" s="1"/>
  <c r="U134" i="17"/>
  <c r="R134" i="17"/>
  <c r="O134" i="17"/>
  <c r="L134" i="17"/>
  <c r="AS130" i="17" s="1"/>
  <c r="AC130" i="17" s="1"/>
  <c r="I134" i="17"/>
  <c r="AR133" i="17"/>
  <c r="AB133" i="17" s="1"/>
  <c r="AO133" i="17"/>
  <c r="Y133" i="17" s="1"/>
  <c r="AN133" i="17"/>
  <c r="AH133" i="17" s="1"/>
  <c r="AM133" i="17"/>
  <c r="AG133" i="17" s="1"/>
  <c r="AL133" i="17"/>
  <c r="AF133" i="17" s="1"/>
  <c r="AK133" i="17"/>
  <c r="AE133" i="17" s="1"/>
  <c r="AR132" i="17"/>
  <c r="AB132" i="17" s="1"/>
  <c r="AO132" i="17"/>
  <c r="Y132" i="17" s="1"/>
  <c r="AN132" i="17"/>
  <c r="AH132" i="17" s="1"/>
  <c r="AM132" i="17"/>
  <c r="AG132" i="17" s="1"/>
  <c r="AL132" i="17"/>
  <c r="AF132" i="17" s="1"/>
  <c r="AR131" i="17"/>
  <c r="AB131" i="17" s="1"/>
  <c r="AO131" i="17"/>
  <c r="Y131" i="17" s="1"/>
  <c r="AN131" i="17"/>
  <c r="AH131" i="17" s="1"/>
  <c r="AM131" i="17"/>
  <c r="AG131" i="17" s="1"/>
  <c r="AL131" i="17"/>
  <c r="AF131" i="17" s="1"/>
  <c r="AR130" i="17"/>
  <c r="AB130" i="17" s="1"/>
  <c r="AO130" i="17"/>
  <c r="Y130" i="17" s="1"/>
  <c r="AN130" i="17"/>
  <c r="AH130" i="17" s="1"/>
  <c r="AM130" i="17"/>
  <c r="AG130" i="17" s="1"/>
  <c r="AL130" i="17"/>
  <c r="AF130" i="17" s="1"/>
  <c r="G130" i="17"/>
  <c r="AU129" i="17"/>
  <c r="AU140" i="17" s="1"/>
  <c r="AT129" i="17"/>
  <c r="AS129" i="17"/>
  <c r="AR129" i="17"/>
  <c r="AQ129" i="17"/>
  <c r="AQ133" i="17" s="1"/>
  <c r="AA133" i="17" s="1"/>
  <c r="AP129" i="17"/>
  <c r="AO129" i="17"/>
  <c r="AN129" i="17"/>
  <c r="AM129" i="17"/>
  <c r="AL129" i="17"/>
  <c r="AK129" i="17"/>
  <c r="AK141" i="17" s="1"/>
  <c r="AE141" i="17" s="1"/>
  <c r="G129" i="17"/>
  <c r="F134" i="17" s="1"/>
  <c r="P120" i="17"/>
  <c r="M120" i="17"/>
  <c r="J120" i="17"/>
  <c r="O119" i="17"/>
  <c r="L119" i="17"/>
  <c r="I119" i="17"/>
  <c r="O118" i="17"/>
  <c r="L118" i="17"/>
  <c r="I118" i="17"/>
  <c r="O117" i="17"/>
  <c r="L117" i="17"/>
  <c r="I117" i="17"/>
  <c r="AD116" i="17"/>
  <c r="O116" i="17"/>
  <c r="L116" i="17"/>
  <c r="I116" i="17"/>
  <c r="AD115" i="17"/>
  <c r="O115" i="17"/>
  <c r="L115" i="17"/>
  <c r="I115" i="17"/>
  <c r="AD114" i="17"/>
  <c r="O114" i="17"/>
  <c r="L114" i="17"/>
  <c r="I114" i="17"/>
  <c r="AD113" i="17"/>
  <c r="O113" i="17"/>
  <c r="L113" i="17"/>
  <c r="I113" i="17"/>
  <c r="AD112" i="17"/>
  <c r="O112" i="17"/>
  <c r="L112" i="17"/>
  <c r="I112" i="17"/>
  <c r="AD111" i="17"/>
  <c r="O111" i="17"/>
  <c r="L111" i="17"/>
  <c r="I111" i="17"/>
  <c r="AD110" i="17"/>
  <c r="O110" i="17"/>
  <c r="L110" i="17"/>
  <c r="I110" i="17"/>
  <c r="D110" i="17"/>
  <c r="AD109" i="17"/>
  <c r="O109" i="17"/>
  <c r="L109" i="17"/>
  <c r="I109" i="17"/>
  <c r="AD108" i="17"/>
  <c r="O108" i="17"/>
  <c r="L108" i="17"/>
  <c r="I108" i="17"/>
  <c r="AD107" i="17"/>
  <c r="AD106" i="17"/>
  <c r="AD105" i="17"/>
  <c r="G104" i="17"/>
  <c r="EI39" i="17" s="1"/>
  <c r="EI40" i="17" s="1"/>
  <c r="G103" i="17"/>
  <c r="F108" i="17" s="1"/>
  <c r="AA102" i="17"/>
  <c r="Z102" i="17"/>
  <c r="Y102" i="17"/>
  <c r="Y104" i="17" s="1"/>
  <c r="P97" i="17"/>
  <c r="M97" i="17"/>
  <c r="J97" i="17"/>
  <c r="L95" i="17"/>
  <c r="O94" i="17"/>
  <c r="L94" i="17"/>
  <c r="L91" i="17"/>
  <c r="O90" i="17"/>
  <c r="L90" i="17"/>
  <c r="L87" i="17"/>
  <c r="O86" i="17"/>
  <c r="L86" i="17"/>
  <c r="P84" i="17"/>
  <c r="O93" i="17" s="1"/>
  <c r="M84" i="17"/>
  <c r="L93" i="17" s="1"/>
  <c r="J84" i="17"/>
  <c r="I90" i="17" s="1"/>
  <c r="Y87" i="17" s="1"/>
  <c r="G81" i="17"/>
  <c r="EI35" i="17" s="1"/>
  <c r="EI36" i="17" s="1"/>
  <c r="G80" i="17"/>
  <c r="F85" i="17" s="1"/>
  <c r="BC78" i="17"/>
  <c r="BB78" i="17"/>
  <c r="BM77" i="17"/>
  <c r="BL77" i="17"/>
  <c r="AC76" i="17"/>
  <c r="AB76" i="17"/>
  <c r="AA76" i="17"/>
  <c r="AC75" i="17"/>
  <c r="AB75" i="17"/>
  <c r="AA75" i="17"/>
  <c r="P75" i="17"/>
  <c r="M75" i="17"/>
  <c r="J75" i="17"/>
  <c r="AC74" i="17"/>
  <c r="AB74" i="17"/>
  <c r="AA74" i="17"/>
  <c r="O74" i="17"/>
  <c r="L74" i="17"/>
  <c r="I74" i="17"/>
  <c r="Y76" i="17" s="1"/>
  <c r="AC73" i="17"/>
  <c r="AB73" i="17"/>
  <c r="AA73" i="17"/>
  <c r="O73" i="17"/>
  <c r="L73" i="17"/>
  <c r="I73" i="17"/>
  <c r="Y75" i="17" s="1"/>
  <c r="AC72" i="17"/>
  <c r="AB72" i="17"/>
  <c r="AA72" i="17"/>
  <c r="O72" i="17"/>
  <c r="L72" i="17"/>
  <c r="I72" i="17"/>
  <c r="Y74" i="17" s="1"/>
  <c r="AC71" i="17"/>
  <c r="AB71" i="17"/>
  <c r="AA71" i="17"/>
  <c r="O71" i="17"/>
  <c r="L71" i="17"/>
  <c r="I71" i="17"/>
  <c r="Y73" i="17" s="1"/>
  <c r="AC70" i="17"/>
  <c r="AB70" i="17"/>
  <c r="AA70" i="17"/>
  <c r="O70" i="17"/>
  <c r="L70" i="17"/>
  <c r="I70" i="17"/>
  <c r="Y72" i="17" s="1"/>
  <c r="AC69" i="17"/>
  <c r="AB69" i="17"/>
  <c r="AA69" i="17"/>
  <c r="O69" i="17"/>
  <c r="L69" i="17"/>
  <c r="I69" i="17"/>
  <c r="Y71" i="17" s="1"/>
  <c r="AC68" i="17"/>
  <c r="AB68" i="17"/>
  <c r="AA68" i="17"/>
  <c r="O68" i="17"/>
  <c r="L68" i="17"/>
  <c r="I68" i="17"/>
  <c r="Y70" i="17" s="1"/>
  <c r="AC67" i="17"/>
  <c r="AB67" i="17"/>
  <c r="AA67" i="17"/>
  <c r="O67" i="17"/>
  <c r="L67" i="17"/>
  <c r="I67" i="17"/>
  <c r="Y69" i="17" s="1"/>
  <c r="AC66" i="17"/>
  <c r="AB66" i="17"/>
  <c r="AA66" i="17"/>
  <c r="O66" i="17"/>
  <c r="L66" i="17"/>
  <c r="I66" i="17"/>
  <c r="Y68" i="17" s="1"/>
  <c r="AC65" i="17"/>
  <c r="AB65" i="17"/>
  <c r="AA65" i="17"/>
  <c r="O65" i="17"/>
  <c r="L65" i="17"/>
  <c r="I65" i="17"/>
  <c r="Y67" i="17" s="1"/>
  <c r="O64" i="17"/>
  <c r="L64" i="17"/>
  <c r="I64" i="17"/>
  <c r="Y66" i="17" s="1"/>
  <c r="O63" i="17"/>
  <c r="L63" i="17"/>
  <c r="I63" i="17"/>
  <c r="P60" i="17"/>
  <c r="M60" i="17"/>
  <c r="J60" i="17"/>
  <c r="F60" i="17"/>
  <c r="AC57" i="17"/>
  <c r="AB57" i="17"/>
  <c r="AA57" i="17"/>
  <c r="P57" i="17"/>
  <c r="M57" i="17"/>
  <c r="J57" i="17"/>
  <c r="AC55" i="17"/>
  <c r="AK55" i="17" s="1"/>
  <c r="AB55" i="17"/>
  <c r="AA55" i="17"/>
  <c r="AC54" i="17"/>
  <c r="AB54" i="17"/>
  <c r="AA54" i="17"/>
  <c r="O54" i="17"/>
  <c r="AC53" i="17"/>
  <c r="AB53" i="17"/>
  <c r="AA53" i="17"/>
  <c r="AC52" i="17"/>
  <c r="AB52" i="17"/>
  <c r="AJ73" i="17" s="1"/>
  <c r="AA52" i="17"/>
  <c r="BK51" i="17"/>
  <c r="BB51" i="17"/>
  <c r="AC51" i="17"/>
  <c r="AB51" i="17"/>
  <c r="AA51" i="17"/>
  <c r="AC50" i="17"/>
  <c r="AB50" i="17"/>
  <c r="AA50" i="17"/>
  <c r="AC49" i="17"/>
  <c r="AK49" i="17" s="1"/>
  <c r="AB49" i="17"/>
  <c r="AJ49" i="17" s="1"/>
  <c r="AA49" i="17"/>
  <c r="BK48" i="17"/>
  <c r="BB48" i="17"/>
  <c r="AC48" i="17"/>
  <c r="AB48" i="17"/>
  <c r="AA48" i="17"/>
  <c r="O48" i="17"/>
  <c r="AC47" i="17"/>
  <c r="AB47" i="17"/>
  <c r="AA47" i="17"/>
  <c r="AI47" i="17" s="1"/>
  <c r="O47" i="17"/>
  <c r="AC46" i="17"/>
  <c r="AB46" i="17"/>
  <c r="AA46" i="17"/>
  <c r="L46" i="17"/>
  <c r="AC45" i="17"/>
  <c r="AK45" i="17" s="1"/>
  <c r="AB45" i="17"/>
  <c r="AA45" i="17"/>
  <c r="O45" i="17"/>
  <c r="L45" i="17"/>
  <c r="AC44" i="17"/>
  <c r="AB44" i="17"/>
  <c r="AJ44" i="17" s="1"/>
  <c r="AA44" i="17"/>
  <c r="P44" i="17"/>
  <c r="O51" i="17" s="1"/>
  <c r="M44" i="17"/>
  <c r="L48" i="17" s="1"/>
  <c r="J44" i="17"/>
  <c r="I50" i="17" s="1"/>
  <c r="Y49" i="17" s="1"/>
  <c r="EI42" i="17"/>
  <c r="EI43" i="17" s="1"/>
  <c r="G41" i="17"/>
  <c r="G40" i="17"/>
  <c r="AC32" i="17"/>
  <c r="AB32" i="17"/>
  <c r="AA32" i="17"/>
  <c r="EI31" i="17"/>
  <c r="EI32" i="17" s="1"/>
  <c r="P31" i="17"/>
  <c r="M31" i="17"/>
  <c r="AC30" i="17"/>
  <c r="AB30" i="17"/>
  <c r="AA30" i="17"/>
  <c r="AC29" i="17"/>
  <c r="AB29" i="17"/>
  <c r="BC29" i="17" s="1"/>
  <c r="AA29" i="17"/>
  <c r="BB29" i="17" s="1"/>
  <c r="AC28" i="17"/>
  <c r="BD28" i="17" s="1"/>
  <c r="AB28" i="17"/>
  <c r="BC28" i="17" s="1"/>
  <c r="AA28" i="17"/>
  <c r="BB28" i="17" s="1"/>
  <c r="EI27" i="17"/>
  <c r="EI28" i="17" s="1"/>
  <c r="AC27" i="17"/>
  <c r="AB27" i="17"/>
  <c r="BC27" i="17" s="1"/>
  <c r="AA27" i="17"/>
  <c r="AC26" i="17"/>
  <c r="AB26" i="17"/>
  <c r="BC26" i="17" s="1"/>
  <c r="AA26" i="17"/>
  <c r="AC25" i="17"/>
  <c r="AB25" i="17"/>
  <c r="BC25" i="17" s="1"/>
  <c r="AA25" i="17"/>
  <c r="BB25" i="17" s="1"/>
  <c r="L25" i="17"/>
  <c r="AC24" i="17"/>
  <c r="BD24" i="17" s="1"/>
  <c r="AB24" i="17"/>
  <c r="BC24" i="17" s="1"/>
  <c r="AA24" i="17"/>
  <c r="BB24" i="17" s="1"/>
  <c r="AC23" i="17"/>
  <c r="BD23" i="17" s="1"/>
  <c r="AB23" i="17"/>
  <c r="BC23" i="17" s="1"/>
  <c r="AA23" i="17"/>
  <c r="L23" i="17"/>
  <c r="AC22" i="17"/>
  <c r="AB22" i="17"/>
  <c r="AA22" i="17"/>
  <c r="BB22" i="17" s="1"/>
  <c r="AC21" i="17"/>
  <c r="BD21" i="17" s="1"/>
  <c r="AB21" i="17"/>
  <c r="AA21" i="17"/>
  <c r="L21" i="17"/>
  <c r="AC20" i="17"/>
  <c r="AB20" i="17"/>
  <c r="AA20" i="17"/>
  <c r="BB20" i="17" s="1"/>
  <c r="AC19" i="17"/>
  <c r="BD19" i="17" s="1"/>
  <c r="AB19" i="17"/>
  <c r="AA19" i="17"/>
  <c r="BB19" i="17" s="1"/>
  <c r="L19" i="17"/>
  <c r="P18" i="17"/>
  <c r="O22" i="17" s="1"/>
  <c r="M18" i="17"/>
  <c r="L24" i="17" s="1"/>
  <c r="J18" i="17"/>
  <c r="I30" i="17" s="1"/>
  <c r="Y30" i="17" s="1"/>
  <c r="BH16" i="17"/>
  <c r="BI16" i="17" s="1"/>
  <c r="BH15" i="17"/>
  <c r="BI15" i="17" s="1"/>
  <c r="BH21" i="17" s="1"/>
  <c r="BI21" i="17" s="1"/>
  <c r="BJ21" i="17" s="1"/>
  <c r="BK21" i="17" s="1"/>
  <c r="EX14" i="17"/>
  <c r="EY13" i="17"/>
  <c r="EY12" i="17"/>
  <c r="EY11" i="17"/>
  <c r="EY10" i="17"/>
  <c r="FC9" i="17"/>
  <c r="FB9" i="17"/>
  <c r="FA9" i="17"/>
  <c r="EY9" i="17"/>
  <c r="FA8" i="17"/>
  <c r="EY8" i="17"/>
  <c r="FA7" i="17"/>
  <c r="EY7" i="17"/>
  <c r="EY6" i="17"/>
  <c r="BO6" i="17"/>
  <c r="FA5" i="17"/>
  <c r="EY5" i="17"/>
  <c r="BO5" i="17"/>
  <c r="FA4" i="17"/>
  <c r="EY4" i="17"/>
  <c r="BO4" i="17"/>
  <c r="FA3" i="17"/>
  <c r="EY3" i="17"/>
  <c r="BO3" i="17"/>
  <c r="AC65" i="1"/>
  <c r="AB65" i="1"/>
  <c r="AA65" i="1"/>
  <c r="AS135" i="17" l="1"/>
  <c r="AC135" i="17" s="1"/>
  <c r="Z44" i="17"/>
  <c r="BH20" i="17"/>
  <c r="BI20" i="17" s="1"/>
  <c r="BJ20" i="17" s="1"/>
  <c r="BK20" i="17" s="1"/>
  <c r="L54" i="17"/>
  <c r="Z53" i="17" s="1"/>
  <c r="AH53" i="17" s="1"/>
  <c r="AS133" i="17"/>
  <c r="AC133" i="17" s="1"/>
  <c r="AK137" i="17"/>
  <c r="AE137" i="17" s="1"/>
  <c r="AK136" i="17"/>
  <c r="AE136" i="17" s="1"/>
  <c r="AK138" i="17"/>
  <c r="AE138" i="17" s="1"/>
  <c r="Y115" i="17"/>
  <c r="AK135" i="17"/>
  <c r="AE135" i="17" s="1"/>
  <c r="AS132" i="17"/>
  <c r="AC132" i="17" s="1"/>
  <c r="AK134" i="17"/>
  <c r="AE134" i="17" s="1"/>
  <c r="AS138" i="17"/>
  <c r="AC138" i="17" s="1"/>
  <c r="AS140" i="17"/>
  <c r="AC140" i="17" s="1"/>
  <c r="L49" i="17"/>
  <c r="L53" i="17"/>
  <c r="O87" i="17"/>
  <c r="O91" i="17"/>
  <c r="Z88" i="17" s="1"/>
  <c r="O95" i="17"/>
  <c r="Z92" i="17" s="1"/>
  <c r="AK130" i="17"/>
  <c r="AE130" i="17" s="1"/>
  <c r="AS134" i="17"/>
  <c r="AC134" i="17" s="1"/>
  <c r="AK140" i="17"/>
  <c r="AE140" i="17" s="1"/>
  <c r="L20" i="17"/>
  <c r="O49" i="17"/>
  <c r="O53" i="17"/>
  <c r="L88" i="17"/>
  <c r="L92" i="17"/>
  <c r="L96" i="17"/>
  <c r="AF102" i="17"/>
  <c r="AS131" i="17"/>
  <c r="AC131" i="17" s="1"/>
  <c r="AU132" i="17"/>
  <c r="AF151" i="17"/>
  <c r="L28" i="17"/>
  <c r="O88" i="17"/>
  <c r="O92" i="17"/>
  <c r="O96" i="17"/>
  <c r="AU130" i="17"/>
  <c r="AS139" i="17"/>
  <c r="AC139" i="17" s="1"/>
  <c r="AS141" i="17"/>
  <c r="AC141" i="17" s="1"/>
  <c r="L85" i="17"/>
  <c r="Z82" i="17" s="1"/>
  <c r="BM78" i="17" s="1"/>
  <c r="L89" i="17"/>
  <c r="AK131" i="17"/>
  <c r="AE131" i="17" s="1"/>
  <c r="AS137" i="17"/>
  <c r="AC137" i="17" s="1"/>
  <c r="Z68" i="17"/>
  <c r="AD68" i="17" s="1"/>
  <c r="Z72" i="17"/>
  <c r="O85" i="17"/>
  <c r="O89" i="17"/>
  <c r="AK139" i="17"/>
  <c r="AE139" i="17" s="1"/>
  <c r="AJ71" i="17"/>
  <c r="AQ25" i="17" s="1"/>
  <c r="AK73" i="17"/>
  <c r="AR27" i="17" s="1"/>
  <c r="AI69" i="17"/>
  <c r="AP23" i="17" s="1"/>
  <c r="Z90" i="17"/>
  <c r="AD90" i="17" s="1"/>
  <c r="AE90" i="17" s="1"/>
  <c r="AG90" i="17" s="1"/>
  <c r="Z83" i="17"/>
  <c r="BM79" i="17" s="1"/>
  <c r="Z87" i="17"/>
  <c r="Z91" i="17"/>
  <c r="BM87" i="17" s="1"/>
  <c r="I120" i="17"/>
  <c r="AK72" i="17"/>
  <c r="AK26" i="17" s="1"/>
  <c r="AJ67" i="17"/>
  <c r="AJ21" i="17" s="1"/>
  <c r="AI75" i="17"/>
  <c r="AI29" i="17" s="1"/>
  <c r="AI67" i="17"/>
  <c r="AP21" i="17" s="1"/>
  <c r="Z75" i="17"/>
  <c r="AD75" i="17" s="1"/>
  <c r="BB53" i="17"/>
  <c r="BB54" i="17" s="1"/>
  <c r="Y154" i="17"/>
  <c r="Y160" i="17"/>
  <c r="Y161" i="17"/>
  <c r="Y156" i="17"/>
  <c r="Y162" i="17"/>
  <c r="Y158" i="17"/>
  <c r="Y159" i="17"/>
  <c r="Y155" i="17"/>
  <c r="Y153" i="17"/>
  <c r="Y163" i="17"/>
  <c r="Y152" i="17"/>
  <c r="Y157" i="17"/>
  <c r="G29" i="17"/>
  <c r="BL29" i="17" s="1"/>
  <c r="BZ29" i="17" s="1"/>
  <c r="G28" i="17"/>
  <c r="BL28" i="17" s="1"/>
  <c r="BZ28" i="17" s="1"/>
  <c r="G23" i="17"/>
  <c r="BL23" i="17" s="1"/>
  <c r="BZ23" i="17" s="1"/>
  <c r="G19" i="17"/>
  <c r="BL19" i="17" s="1"/>
  <c r="BZ19" i="17" s="1"/>
  <c r="G26" i="17"/>
  <c r="AF63" i="12" s="1"/>
  <c r="G20" i="17"/>
  <c r="AF57" i="12" s="1"/>
  <c r="G22" i="17"/>
  <c r="AF59" i="12" s="1"/>
  <c r="G21" i="17"/>
  <c r="BL21" i="17" s="1"/>
  <c r="BZ21" i="17" s="1"/>
  <c r="G25" i="17"/>
  <c r="BL25" i="17" s="1"/>
  <c r="BZ25" i="17" s="1"/>
  <c r="G24" i="17"/>
  <c r="AF61" i="12" s="1"/>
  <c r="G27" i="17"/>
  <c r="AF64" i="12" s="1"/>
  <c r="AA151" i="17"/>
  <c r="AI74" i="17"/>
  <c r="AP28" i="17" s="1"/>
  <c r="I20" i="17"/>
  <c r="Y20" i="17" s="1"/>
  <c r="AZ20" i="17" s="1"/>
  <c r="AJ66" i="17"/>
  <c r="AJ20" i="17" s="1"/>
  <c r="AK67" i="17"/>
  <c r="AK21" i="17" s="1"/>
  <c r="L50" i="17"/>
  <c r="AJ76" i="17"/>
  <c r="AJ30" i="17" s="1"/>
  <c r="AQ131" i="17"/>
  <c r="AA131" i="17" s="1"/>
  <c r="EY14" i="17"/>
  <c r="I21" i="17"/>
  <c r="Y21" i="17" s="1"/>
  <c r="AZ21" i="17" s="1"/>
  <c r="AK75" i="17"/>
  <c r="AK29" i="17" s="1"/>
  <c r="AJ68" i="17"/>
  <c r="AQ22" i="17" s="1"/>
  <c r="AK71" i="17"/>
  <c r="AK25" i="17" s="1"/>
  <c r="Z104" i="17"/>
  <c r="AQ130" i="17"/>
  <c r="AA130" i="17" s="1"/>
  <c r="AU131" i="17"/>
  <c r="AQ132" i="17"/>
  <c r="AA132" i="17" s="1"/>
  <c r="AU133" i="17"/>
  <c r="AU137" i="17"/>
  <c r="AQ141" i="17"/>
  <c r="AA141" i="17" s="1"/>
  <c r="AI76" i="17"/>
  <c r="AP30" i="17" s="1"/>
  <c r="AI65" i="17"/>
  <c r="AI19" i="17" s="1"/>
  <c r="L51" i="17"/>
  <c r="Z50" i="17" s="1"/>
  <c r="AH50" i="17" s="1"/>
  <c r="AA104" i="17"/>
  <c r="AH104" i="17" s="1"/>
  <c r="BD104" i="17" s="1"/>
  <c r="BK53" i="17"/>
  <c r="BK54" i="17" s="1"/>
  <c r="AQ136" i="17"/>
  <c r="AA136" i="17" s="1"/>
  <c r="L146" i="17"/>
  <c r="Z73" i="17"/>
  <c r="AH73" i="17" s="1"/>
  <c r="Z71" i="17"/>
  <c r="AD71" i="17" s="1"/>
  <c r="Z66" i="17"/>
  <c r="AD66" i="17" s="1"/>
  <c r="Z70" i="17"/>
  <c r="AD70" i="17" s="1"/>
  <c r="Z74" i="17"/>
  <c r="AD74" i="17" s="1"/>
  <c r="AI46" i="17"/>
  <c r="AK50" i="17"/>
  <c r="AI44" i="17"/>
  <c r="AJ46" i="17"/>
  <c r="AI53" i="17"/>
  <c r="AK51" i="17"/>
  <c r="Z47" i="17"/>
  <c r="AH47" i="17" s="1"/>
  <c r="AJ50" i="17"/>
  <c r="AI54" i="17"/>
  <c r="AI48" i="17"/>
  <c r="AJ45" i="17"/>
  <c r="AJ47" i="17"/>
  <c r="AK52" i="17"/>
  <c r="AK76" i="17"/>
  <c r="AK30" i="17" s="1"/>
  <c r="AB77" i="17"/>
  <c r="AB78" i="17" s="1"/>
  <c r="BD26" i="17"/>
  <c r="BD30" i="17"/>
  <c r="BD25" i="17"/>
  <c r="BC22" i="17"/>
  <c r="AJ27" i="17"/>
  <c r="AQ27" i="17"/>
  <c r="BD29" i="17"/>
  <c r="BD27" i="17"/>
  <c r="BC21" i="17"/>
  <c r="BB30" i="17"/>
  <c r="L171" i="17"/>
  <c r="I171" i="17"/>
  <c r="AB142" i="17"/>
  <c r="AT134" i="17"/>
  <c r="AD134" i="17" s="1"/>
  <c r="L120" i="17"/>
  <c r="AD117" i="17"/>
  <c r="BC80" i="17"/>
  <c r="AI68" i="17"/>
  <c r="AI22" i="17" s="1"/>
  <c r="AJ70" i="17"/>
  <c r="AQ24" i="17" s="1"/>
  <c r="I75" i="17"/>
  <c r="Z69" i="17"/>
  <c r="AH69" i="17" s="1"/>
  <c r="AK70" i="17"/>
  <c r="AR24" i="17" s="1"/>
  <c r="L75" i="17"/>
  <c r="Z67" i="17"/>
  <c r="AD67" i="17" s="1"/>
  <c r="AD72" i="17"/>
  <c r="AC77" i="17"/>
  <c r="AC78" i="17" s="1"/>
  <c r="AK66" i="17"/>
  <c r="AK20" i="17" s="1"/>
  <c r="Y65" i="17"/>
  <c r="Y77" i="17" s="1"/>
  <c r="Z65" i="17"/>
  <c r="AH65" i="17" s="1"/>
  <c r="Z76" i="17"/>
  <c r="AD76" i="17" s="1"/>
  <c r="AA77" i="17"/>
  <c r="AA78" i="17" s="1"/>
  <c r="AB31" i="17"/>
  <c r="BO7" i="17"/>
  <c r="BH29" i="17"/>
  <c r="BI29" i="17" s="1"/>
  <c r="BJ29" i="17" s="1"/>
  <c r="BK29" i="17" s="1"/>
  <c r="BH26" i="17"/>
  <c r="BI26" i="17" s="1"/>
  <c r="BJ26" i="17" s="1"/>
  <c r="BK26" i="17" s="1"/>
  <c r="BH24" i="17"/>
  <c r="BI24" i="17" s="1"/>
  <c r="BJ24" i="17" s="1"/>
  <c r="BK24" i="17" s="1"/>
  <c r="BH25" i="17"/>
  <c r="BI25" i="17" s="1"/>
  <c r="BJ25" i="17" s="1"/>
  <c r="BK25" i="17" s="1"/>
  <c r="BH22" i="17"/>
  <c r="BI22" i="17" s="1"/>
  <c r="BJ22" i="17" s="1"/>
  <c r="BK22" i="17" s="1"/>
  <c r="BH27" i="17"/>
  <c r="BI27" i="17" s="1"/>
  <c r="BJ27" i="17" s="1"/>
  <c r="BK27" i="17" s="1"/>
  <c r="BH30" i="17"/>
  <c r="BI30" i="17" s="1"/>
  <c r="BJ30" i="17" s="1"/>
  <c r="BK30" i="17" s="1"/>
  <c r="BH28" i="17"/>
  <c r="BI28" i="17" s="1"/>
  <c r="BJ28" i="17" s="1"/>
  <c r="BK28" i="17" s="1"/>
  <c r="BH23" i="17"/>
  <c r="BI23" i="17" s="1"/>
  <c r="BJ23" i="17" s="1"/>
  <c r="BK23" i="17" s="1"/>
  <c r="BH19" i="17"/>
  <c r="O29" i="17"/>
  <c r="O27" i="17"/>
  <c r="O25" i="17"/>
  <c r="Z25" i="17" s="1"/>
  <c r="O26" i="17"/>
  <c r="O19" i="17"/>
  <c r="O28" i="17"/>
  <c r="O23" i="17"/>
  <c r="Z23" i="17" s="1"/>
  <c r="O30" i="17"/>
  <c r="O24" i="17"/>
  <c r="Z24" i="17" s="1"/>
  <c r="O20" i="17"/>
  <c r="O21" i="17"/>
  <c r="Z21" i="17" s="1"/>
  <c r="BD22" i="17"/>
  <c r="BD20" i="17"/>
  <c r="BC19" i="17"/>
  <c r="BB21" i="17"/>
  <c r="F63" i="17"/>
  <c r="F45" i="17"/>
  <c r="BC20" i="17"/>
  <c r="BB23" i="17"/>
  <c r="AI23" i="17"/>
  <c r="AA31" i="17"/>
  <c r="AZ30" i="17"/>
  <c r="I19" i="17"/>
  <c r="I23" i="17"/>
  <c r="Y23" i="17" s="1"/>
  <c r="I28" i="17"/>
  <c r="Y28" i="17" s="1"/>
  <c r="AC31" i="17"/>
  <c r="I22" i="17"/>
  <c r="Y22" i="17" s="1"/>
  <c r="I26" i="17"/>
  <c r="Y26" i="17" s="1"/>
  <c r="BB26" i="17"/>
  <c r="BC30" i="17"/>
  <c r="L30" i="17"/>
  <c r="L29" i="17"/>
  <c r="L26" i="17"/>
  <c r="L22" i="17"/>
  <c r="Z22" i="17" s="1"/>
  <c r="I29" i="17"/>
  <c r="Y29" i="17" s="1"/>
  <c r="AK65" i="17"/>
  <c r="AR19" i="17" s="1"/>
  <c r="AC56" i="17"/>
  <c r="AK44" i="17"/>
  <c r="I25" i="17"/>
  <c r="Y25" i="17" s="1"/>
  <c r="G168" i="17"/>
  <c r="G163" i="17"/>
  <c r="G115" i="17"/>
  <c r="G169" i="17"/>
  <c r="G165" i="17"/>
  <c r="G161" i="17"/>
  <c r="G166" i="17"/>
  <c r="G164" i="17"/>
  <c r="G170" i="17"/>
  <c r="G159" i="17"/>
  <c r="G162" i="17"/>
  <c r="G167" i="17"/>
  <c r="G119" i="17"/>
  <c r="G113" i="17"/>
  <c r="G108" i="17"/>
  <c r="AM105" i="17" s="1"/>
  <c r="AN105" i="17" s="1"/>
  <c r="AO105" i="17" s="1"/>
  <c r="G117" i="17"/>
  <c r="G114" i="17"/>
  <c r="G110" i="17"/>
  <c r="G112" i="17"/>
  <c r="G160" i="17"/>
  <c r="F160" i="17" s="1"/>
  <c r="G109" i="17"/>
  <c r="G118" i="17"/>
  <c r="G116" i="17"/>
  <c r="G111" i="17"/>
  <c r="I27" i="17"/>
  <c r="Y27" i="17" s="1"/>
  <c r="BB27" i="17"/>
  <c r="AG70" i="17"/>
  <c r="AG49" i="17"/>
  <c r="I24" i="17"/>
  <c r="Y24" i="17" s="1"/>
  <c r="L27" i="17"/>
  <c r="G30" i="17"/>
  <c r="AF67" i="12" s="1"/>
  <c r="AJ75" i="17"/>
  <c r="AQ29" i="17" s="1"/>
  <c r="AJ54" i="17"/>
  <c r="AJ69" i="17"/>
  <c r="AJ23" i="17" s="1"/>
  <c r="AJ48" i="17"/>
  <c r="I49" i="17"/>
  <c r="Y48" i="17" s="1"/>
  <c r="G87" i="17"/>
  <c r="G92" i="17"/>
  <c r="G94" i="17"/>
  <c r="G96" i="17"/>
  <c r="G95" i="17"/>
  <c r="G91" i="17"/>
  <c r="G86" i="17"/>
  <c r="F86" i="17" s="1"/>
  <c r="G85" i="17"/>
  <c r="G93" i="17"/>
  <c r="G90" i="17"/>
  <c r="G88" i="17"/>
  <c r="G89" i="17"/>
  <c r="G143" i="17"/>
  <c r="G139" i="17"/>
  <c r="G144" i="17"/>
  <c r="G142" i="17"/>
  <c r="G134" i="17"/>
  <c r="AJ130" i="17" s="1"/>
  <c r="G145" i="17"/>
  <c r="G137" i="17"/>
  <c r="G140" i="17"/>
  <c r="G135" i="17"/>
  <c r="G138" i="17"/>
  <c r="G141" i="17"/>
  <c r="G136" i="17"/>
  <c r="AI70" i="17"/>
  <c r="AI49" i="17"/>
  <c r="I56" i="17"/>
  <c r="Y55" i="17" s="1"/>
  <c r="I55" i="17"/>
  <c r="Y54" i="17" s="1"/>
  <c r="I54" i="17"/>
  <c r="Y53" i="17" s="1"/>
  <c r="I53" i="17"/>
  <c r="Y52" i="17" s="1"/>
  <c r="I51" i="17"/>
  <c r="Y50" i="17" s="1"/>
  <c r="I48" i="17"/>
  <c r="Y47" i="17" s="1"/>
  <c r="I52" i="17"/>
  <c r="Y51" i="17" s="1"/>
  <c r="I47" i="17"/>
  <c r="Y46" i="17" s="1"/>
  <c r="I46" i="17"/>
  <c r="Y45" i="17" s="1"/>
  <c r="I45" i="17"/>
  <c r="AH68" i="17"/>
  <c r="AH44" i="17"/>
  <c r="AJ65" i="17"/>
  <c r="AQ19" i="17" s="1"/>
  <c r="AB56" i="17"/>
  <c r="AI71" i="17"/>
  <c r="AI25" i="17" s="1"/>
  <c r="AI50" i="17"/>
  <c r="AJ74" i="17"/>
  <c r="AJ53" i="17"/>
  <c r="AK74" i="17"/>
  <c r="AK53" i="17"/>
  <c r="AI72" i="17"/>
  <c r="AP26" i="17" s="1"/>
  <c r="AI51" i="17"/>
  <c r="AI73" i="17"/>
  <c r="AP27" i="17" s="1"/>
  <c r="AI52" i="17"/>
  <c r="AK46" i="17"/>
  <c r="AK69" i="17"/>
  <c r="AK23" i="17" s="1"/>
  <c r="AK48" i="17"/>
  <c r="AJ72" i="17"/>
  <c r="AJ51" i="17"/>
  <c r="O52" i="17"/>
  <c r="O56" i="17"/>
  <c r="O55" i="17"/>
  <c r="O46" i="17"/>
  <c r="O50" i="17"/>
  <c r="AI66" i="17"/>
  <c r="AI45" i="17"/>
  <c r="AK68" i="17"/>
  <c r="AK22" i="17" s="1"/>
  <c r="AK47" i="17"/>
  <c r="AJ52" i="17"/>
  <c r="AA56" i="17"/>
  <c r="AC87" i="17"/>
  <c r="BL83" i="17"/>
  <c r="AA87" i="17"/>
  <c r="BB84" i="17"/>
  <c r="AD87" i="17"/>
  <c r="AE87" i="17" s="1"/>
  <c r="AG87" i="17" s="1"/>
  <c r="BC84" i="17"/>
  <c r="BM83" i="17"/>
  <c r="L55" i="17"/>
  <c r="L52" i="17"/>
  <c r="L56" i="17"/>
  <c r="L47" i="17"/>
  <c r="Z46" i="17" s="1"/>
  <c r="O75" i="17"/>
  <c r="AI55" i="17"/>
  <c r="AJ55" i="17"/>
  <c r="AK54" i="17"/>
  <c r="I85" i="17"/>
  <c r="I86" i="17"/>
  <c r="Y83" i="17" s="1"/>
  <c r="O120" i="17"/>
  <c r="I91" i="17"/>
  <c r="Y88" i="17" s="1"/>
  <c r="I94" i="17"/>
  <c r="Y91" i="17" s="1"/>
  <c r="Z116" i="17"/>
  <c r="AG104" i="17"/>
  <c r="Z115" i="17"/>
  <c r="Z109" i="17"/>
  <c r="Z111" i="17"/>
  <c r="Z106" i="17"/>
  <c r="Z113" i="17"/>
  <c r="Z108" i="17"/>
  <c r="Z114" i="17"/>
  <c r="Z110" i="17"/>
  <c r="Z107" i="17"/>
  <c r="Z105" i="17"/>
  <c r="AA114" i="17"/>
  <c r="AH114" i="17" s="1"/>
  <c r="Z112" i="17"/>
  <c r="AD83" i="17"/>
  <c r="AE83" i="17" s="1"/>
  <c r="AG83" i="17" s="1"/>
  <c r="I92" i="17"/>
  <c r="Y89" i="17" s="1"/>
  <c r="I89" i="17"/>
  <c r="Y86" i="17" s="1"/>
  <c r="I96" i="17"/>
  <c r="Y93" i="17" s="1"/>
  <c r="I95" i="17"/>
  <c r="Y92" i="17" s="1"/>
  <c r="I88" i="17"/>
  <c r="Y85" i="17" s="1"/>
  <c r="I87" i="17"/>
  <c r="Y84" i="17" s="1"/>
  <c r="I93" i="17"/>
  <c r="Y90" i="17" s="1"/>
  <c r="AF161" i="17"/>
  <c r="AF154" i="17"/>
  <c r="AF153" i="17"/>
  <c r="AF152" i="17"/>
  <c r="AF159" i="17"/>
  <c r="BD146" i="17"/>
  <c r="AF162" i="17"/>
  <c r="AF160" i="17"/>
  <c r="AF163" i="17"/>
  <c r="AF158" i="17"/>
  <c r="AG102" i="17"/>
  <c r="Y107" i="17"/>
  <c r="Y110" i="17"/>
  <c r="Y114" i="17"/>
  <c r="AG142" i="17"/>
  <c r="I146" i="17"/>
  <c r="AF155" i="17"/>
  <c r="AH102" i="17"/>
  <c r="Y108" i="17"/>
  <c r="Y113" i="17"/>
  <c r="AP141" i="17"/>
  <c r="Z141" i="17" s="1"/>
  <c r="AP133" i="17"/>
  <c r="Z133" i="17" s="1"/>
  <c r="AP136" i="17"/>
  <c r="Z136" i="17" s="1"/>
  <c r="AP139" i="17"/>
  <c r="Z139" i="17" s="1"/>
  <c r="AP130" i="17"/>
  <c r="Z130" i="17" s="1"/>
  <c r="AP134" i="17"/>
  <c r="Z134" i="17" s="1"/>
  <c r="AP137" i="17"/>
  <c r="Z137" i="17" s="1"/>
  <c r="AP131" i="17"/>
  <c r="Z131" i="17" s="1"/>
  <c r="AP140" i="17"/>
  <c r="Z140" i="17" s="1"/>
  <c r="AP135" i="17"/>
  <c r="Z135" i="17" s="1"/>
  <c r="AP132" i="17"/>
  <c r="Z132" i="17" s="1"/>
  <c r="Y106" i="17"/>
  <c r="Y142" i="17"/>
  <c r="O146" i="17"/>
  <c r="AP138" i="17"/>
  <c r="Z138" i="17" s="1"/>
  <c r="AF157" i="17"/>
  <c r="Y111" i="17"/>
  <c r="Y116" i="17"/>
  <c r="R146" i="17"/>
  <c r="O171" i="17"/>
  <c r="Y109" i="17"/>
  <c r="AF142" i="17"/>
  <c r="U146" i="17"/>
  <c r="AF104" i="17"/>
  <c r="AT137" i="17"/>
  <c r="AD137" i="17" s="1"/>
  <c r="AT131" i="17"/>
  <c r="AD131" i="17" s="1"/>
  <c r="AT140" i="17"/>
  <c r="AD140" i="17" s="1"/>
  <c r="AT135" i="17"/>
  <c r="AD135" i="17" s="1"/>
  <c r="AT132" i="17"/>
  <c r="AD132" i="17" s="1"/>
  <c r="AT138" i="17"/>
  <c r="AD138" i="17" s="1"/>
  <c r="AT141" i="17"/>
  <c r="AD141" i="17" s="1"/>
  <c r="AT133" i="17"/>
  <c r="AD133" i="17" s="1"/>
  <c r="AT136" i="17"/>
  <c r="AD136" i="17" s="1"/>
  <c r="AT139" i="17"/>
  <c r="AD139" i="17" s="1"/>
  <c r="AT130" i="17"/>
  <c r="AD130" i="17" s="1"/>
  <c r="AH142" i="17"/>
  <c r="CK11" i="17" s="1"/>
  <c r="G54" i="12" s="1"/>
  <c r="AE151" i="17"/>
  <c r="AD151" i="17"/>
  <c r="AJ147" i="17"/>
  <c r="AJ151" i="17" s="1"/>
  <c r="AF156" i="17"/>
  <c r="Y105" i="17"/>
  <c r="Y112" i="17"/>
  <c r="AU134" i="17"/>
  <c r="AQ138" i="17"/>
  <c r="AA138" i="17" s="1"/>
  <c r="AQ135" i="17"/>
  <c r="AA135" i="17" s="1"/>
  <c r="AU139" i="17"/>
  <c r="AU136" i="17"/>
  <c r="AQ140" i="17"/>
  <c r="AA140" i="17" s="1"/>
  <c r="Z151" i="17"/>
  <c r="AQ137" i="17"/>
  <c r="AA137" i="17" s="1"/>
  <c r="AU141" i="17"/>
  <c r="AQ134" i="17"/>
  <c r="AA134" i="17" s="1"/>
  <c r="AU138" i="17"/>
  <c r="AL147" i="17"/>
  <c r="AL151" i="17" s="1"/>
  <c r="AU135" i="17"/>
  <c r="AQ139" i="17"/>
  <c r="AA139" i="17" s="1"/>
  <c r="G21" i="14"/>
  <c r="G19" i="14" s="1"/>
  <c r="G20" i="14"/>
  <c r="H20" i="14"/>
  <c r="H21" i="14" s="1"/>
  <c r="H19" i="14" s="1"/>
  <c r="I20" i="14"/>
  <c r="J20" i="14"/>
  <c r="J21" i="14" s="1"/>
  <c r="J19" i="14" s="1"/>
  <c r="K20" i="14"/>
  <c r="K21" i="14" s="1"/>
  <c r="K19" i="14" s="1"/>
  <c r="L20" i="14"/>
  <c r="L21" i="14" s="1"/>
  <c r="L19" i="14" s="1"/>
  <c r="I21" i="14"/>
  <c r="I19" i="14" s="1"/>
  <c r="E20" i="14"/>
  <c r="E21" i="14" s="1"/>
  <c r="E19" i="14" s="1"/>
  <c r="D20" i="14"/>
  <c r="AE142" i="17" l="1"/>
  <c r="BK55" i="17" s="1"/>
  <c r="AC142" i="17"/>
  <c r="AJ25" i="17"/>
  <c r="Z48" i="17"/>
  <c r="AH48" i="17" s="1"/>
  <c r="Z86" i="17"/>
  <c r="AD86" i="17" s="1"/>
  <c r="AE86" i="17" s="1"/>
  <c r="AG86" i="17" s="1"/>
  <c r="Z85" i="17"/>
  <c r="AD85" i="17" s="1"/>
  <c r="AE85" i="17" s="1"/>
  <c r="AG85" i="17" s="1"/>
  <c r="Z89" i="17"/>
  <c r="AD89" i="17" s="1"/>
  <c r="AE89" i="17" s="1"/>
  <c r="AG89" i="17" s="1"/>
  <c r="O97" i="17"/>
  <c r="Z93" i="17"/>
  <c r="BM89" i="17" s="1"/>
  <c r="Z52" i="17"/>
  <c r="AH52" i="17" s="1"/>
  <c r="Z20" i="17"/>
  <c r="AK27" i="17"/>
  <c r="AD92" i="17"/>
  <c r="AE92" i="17" s="1"/>
  <c r="AG92" i="17" s="1"/>
  <c r="BC89" i="17"/>
  <c r="BM88" i="17"/>
  <c r="BM84" i="17"/>
  <c r="BC85" i="17"/>
  <c r="AD88" i="17"/>
  <c r="AE88" i="17" s="1"/>
  <c r="AG88" i="17" s="1"/>
  <c r="Z84" i="17"/>
  <c r="AD82" i="17"/>
  <c r="L97" i="17"/>
  <c r="Z28" i="17"/>
  <c r="BA28" i="17" s="1"/>
  <c r="BC79" i="17"/>
  <c r="AP29" i="17"/>
  <c r="BC87" i="17"/>
  <c r="AR26" i="17"/>
  <c r="AR29" i="17"/>
  <c r="BM86" i="17"/>
  <c r="BC88" i="17"/>
  <c r="AD91" i="17"/>
  <c r="AE91" i="17" s="1"/>
  <c r="AG91" i="17" s="1"/>
  <c r="AA108" i="17"/>
  <c r="AH108" i="17" s="1"/>
  <c r="BN112" i="17" s="1"/>
  <c r="BN104" i="17"/>
  <c r="AA113" i="17"/>
  <c r="AH113" i="17" s="1"/>
  <c r="BD117" i="17" s="1"/>
  <c r="AA106" i="17"/>
  <c r="AH106" i="17" s="1"/>
  <c r="BD110" i="17" s="1"/>
  <c r="AA105" i="17"/>
  <c r="AH105" i="17" s="1"/>
  <c r="AA112" i="17"/>
  <c r="AH112" i="17" s="1"/>
  <c r="BN116" i="17" s="1"/>
  <c r="AA111" i="17"/>
  <c r="AH111" i="17" s="1"/>
  <c r="BD115" i="17" s="1"/>
  <c r="AA116" i="17"/>
  <c r="AH116" i="17" s="1"/>
  <c r="BN120" i="17" s="1"/>
  <c r="AA107" i="17"/>
  <c r="AH107" i="17" s="1"/>
  <c r="BN111" i="17" s="1"/>
  <c r="AA109" i="17"/>
  <c r="AH109" i="17" s="1"/>
  <c r="BD113" i="17" s="1"/>
  <c r="AA110" i="17"/>
  <c r="AH110" i="17" s="1"/>
  <c r="BN114" i="17" s="1"/>
  <c r="AA115" i="17"/>
  <c r="AH115" i="17" s="1"/>
  <c r="BN119" i="17" s="1"/>
  <c r="AD69" i="17"/>
  <c r="AK24" i="17"/>
  <c r="AI21" i="17"/>
  <c r="AH71" i="17"/>
  <c r="AH25" i="17" s="1"/>
  <c r="AQ21" i="17"/>
  <c r="AR25" i="17"/>
  <c r="AR21" i="17"/>
  <c r="AQ20" i="17"/>
  <c r="AR20" i="17"/>
  <c r="Z77" i="17"/>
  <c r="Z78" i="17" s="1"/>
  <c r="AJ22" i="17"/>
  <c r="Z49" i="17"/>
  <c r="AH49" i="17" s="1"/>
  <c r="AL49" i="17" s="1"/>
  <c r="AQ30" i="17"/>
  <c r="AI28" i="17"/>
  <c r="AI30" i="17"/>
  <c r="AP19" i="17"/>
  <c r="Z30" i="17"/>
  <c r="AD30" i="17" s="1"/>
  <c r="Z27" i="17"/>
  <c r="BA27" i="17" s="1"/>
  <c r="G50" i="17"/>
  <c r="G47" i="17"/>
  <c r="BL20" i="17"/>
  <c r="BM20" i="17" s="1"/>
  <c r="G46" i="17"/>
  <c r="G52" i="17"/>
  <c r="G64" i="17"/>
  <c r="BL22" i="17"/>
  <c r="BZ22" i="17" s="1"/>
  <c r="F20" i="17"/>
  <c r="F21" i="17" s="1"/>
  <c r="G65" i="17"/>
  <c r="G73" i="17"/>
  <c r="G51" i="17"/>
  <c r="G69" i="17"/>
  <c r="G55" i="17"/>
  <c r="AF66" i="12"/>
  <c r="AF65" i="12"/>
  <c r="G68" i="17"/>
  <c r="G54" i="17"/>
  <c r="G72" i="17"/>
  <c r="BL24" i="17"/>
  <c r="BZ24" i="17" s="1"/>
  <c r="G70" i="17"/>
  <c r="G48" i="17"/>
  <c r="G66" i="17"/>
  <c r="G49" i="17"/>
  <c r="BL26" i="17"/>
  <c r="BZ26" i="17" s="1"/>
  <c r="G67" i="17"/>
  <c r="G53" i="17"/>
  <c r="G71" i="17"/>
  <c r="AF58" i="12"/>
  <c r="AF56" i="12"/>
  <c r="AF62" i="12"/>
  <c r="Y164" i="17"/>
  <c r="G45" i="17"/>
  <c r="G63" i="17"/>
  <c r="AF60" i="12"/>
  <c r="AA162" i="17"/>
  <c r="AA158" i="17"/>
  <c r="AA161" i="17"/>
  <c r="AA155" i="17"/>
  <c r="AA153" i="17"/>
  <c r="AA156" i="17"/>
  <c r="AA163" i="17"/>
  <c r="AA159" i="17"/>
  <c r="AA157" i="17"/>
  <c r="AA160" i="17"/>
  <c r="AA152" i="17"/>
  <c r="AA154" i="17"/>
  <c r="CQ19" i="17"/>
  <c r="CR19" i="17" s="1"/>
  <c r="AD73" i="17"/>
  <c r="Z161" i="17"/>
  <c r="Z156" i="17"/>
  <c r="Z154" i="17"/>
  <c r="Z162" i="17"/>
  <c r="Z158" i="17"/>
  <c r="Z155" i="17"/>
  <c r="AB155" i="17" s="1"/>
  <c r="Z153" i="17"/>
  <c r="AB153" i="17" s="1"/>
  <c r="Z163" i="17"/>
  <c r="Z159" i="17"/>
  <c r="Z157" i="17"/>
  <c r="Z160" i="17"/>
  <c r="Z152" i="17"/>
  <c r="BL27" i="17"/>
  <c r="BZ27" i="17" s="1"/>
  <c r="AJ24" i="17"/>
  <c r="BO8" i="17"/>
  <c r="BO9" i="17" s="1"/>
  <c r="BO10" i="17" s="1"/>
  <c r="AF87" i="17"/>
  <c r="AI61" i="12" s="1"/>
  <c r="AP22" i="17"/>
  <c r="AH74" i="17"/>
  <c r="Z54" i="17"/>
  <c r="AH54" i="17" s="1"/>
  <c r="AI56" i="17"/>
  <c r="AP57" i="17" s="1"/>
  <c r="O57" i="17"/>
  <c r="AR30" i="17"/>
  <c r="Z55" i="17"/>
  <c r="AH55" i="17" s="1"/>
  <c r="BB31" i="17"/>
  <c r="BD31" i="17"/>
  <c r="Z29" i="17"/>
  <c r="AD29" i="17" s="1"/>
  <c r="AA142" i="17"/>
  <c r="AD142" i="17"/>
  <c r="AB114" i="17"/>
  <c r="AJ56" i="17"/>
  <c r="AQ57" i="17" s="1"/>
  <c r="AD65" i="17"/>
  <c r="F161" i="17"/>
  <c r="F162" i="17" s="1"/>
  <c r="F163" i="17" s="1"/>
  <c r="F164" i="17" s="1"/>
  <c r="F165" i="17" s="1"/>
  <c r="F166" i="17" s="1"/>
  <c r="F167" i="17" s="1"/>
  <c r="F168" i="17" s="1"/>
  <c r="F169" i="17" s="1"/>
  <c r="F170" i="17" s="1"/>
  <c r="BM25" i="17"/>
  <c r="BQ25" i="17" s="1"/>
  <c r="F87" i="17"/>
  <c r="F88" i="17" s="1"/>
  <c r="F89" i="17" s="1"/>
  <c r="F90" i="17" s="1"/>
  <c r="F91" i="17" s="1"/>
  <c r="F92" i="17" s="1"/>
  <c r="F93" i="17" s="1"/>
  <c r="F94" i="17" s="1"/>
  <c r="F95" i="17" s="1"/>
  <c r="F96" i="17" s="1"/>
  <c r="AH70" i="17"/>
  <c r="AH24" i="17" s="1"/>
  <c r="BA21" i="17"/>
  <c r="BE21" i="17" s="1"/>
  <c r="AD21" i="17"/>
  <c r="BN118" i="17"/>
  <c r="BD118" i="17"/>
  <c r="AD163" i="17"/>
  <c r="AD158" i="17"/>
  <c r="AJ158" i="17" s="1"/>
  <c r="AD157" i="17"/>
  <c r="AJ157" i="17" s="1"/>
  <c r="AD156" i="17"/>
  <c r="AD155" i="17"/>
  <c r="AD161" i="17"/>
  <c r="AD154" i="17"/>
  <c r="AD153" i="17"/>
  <c r="AD152" i="17"/>
  <c r="AJ152" i="17" s="1"/>
  <c r="AD159" i="17"/>
  <c r="BB146" i="17"/>
  <c r="AD162" i="17"/>
  <c r="AJ162" i="17" s="1"/>
  <c r="AD160" i="17"/>
  <c r="AE158" i="17"/>
  <c r="AE157" i="17"/>
  <c r="AE156" i="17"/>
  <c r="AE155" i="17"/>
  <c r="AE161" i="17"/>
  <c r="AE154" i="17"/>
  <c r="AE153" i="17"/>
  <c r="AE152" i="17"/>
  <c r="AE159" i="17"/>
  <c r="BC146" i="17"/>
  <c r="AE162" i="17"/>
  <c r="AE160" i="17"/>
  <c r="AE163" i="17"/>
  <c r="AB110" i="17"/>
  <c r="AA92" i="17"/>
  <c r="BL88" i="17"/>
  <c r="AC92" i="17"/>
  <c r="BB89" i="17"/>
  <c r="AG73" i="17"/>
  <c r="AL73" i="17" s="1"/>
  <c r="AG52" i="17"/>
  <c r="AL52" i="17" s="1"/>
  <c r="AD52" i="17"/>
  <c r="AJ132" i="17"/>
  <c r="AJ138" i="17"/>
  <c r="AG24" i="17"/>
  <c r="AD24" i="17"/>
  <c r="AZ24" i="17"/>
  <c r="AP25" i="17"/>
  <c r="AM109" i="17"/>
  <c r="AN109" i="17" s="1"/>
  <c r="AO109" i="17" s="1"/>
  <c r="AM112" i="17"/>
  <c r="AN112" i="17" s="1"/>
  <c r="AO112" i="17" s="1"/>
  <c r="AK56" i="17"/>
  <c r="Z142" i="17"/>
  <c r="AF164" i="17"/>
  <c r="BB90" i="17"/>
  <c r="AC93" i="17"/>
  <c r="BL89" i="17"/>
  <c r="Z45" i="17"/>
  <c r="AD45" i="17" s="1"/>
  <c r="AG74" i="17"/>
  <c r="AG28" i="17" s="1"/>
  <c r="AG53" i="17"/>
  <c r="AL53" i="17" s="1"/>
  <c r="AD53" i="17"/>
  <c r="AJ137" i="17"/>
  <c r="AJ140" i="17"/>
  <c r="L57" i="17"/>
  <c r="AM107" i="17"/>
  <c r="AN107" i="17" s="1"/>
  <c r="AO107" i="17" s="1"/>
  <c r="BA22" i="17"/>
  <c r="AH22" i="17"/>
  <c r="AP32" i="17"/>
  <c r="CL14" i="17"/>
  <c r="CD14" i="17"/>
  <c r="AI26" i="17"/>
  <c r="BC31" i="17"/>
  <c r="AQ32" i="17"/>
  <c r="CM14" i="17"/>
  <c r="CE14" i="17"/>
  <c r="BB88" i="17"/>
  <c r="BL87" i="17"/>
  <c r="BN87" i="17" s="1"/>
  <c r="AC91" i="17"/>
  <c r="AA91" i="17"/>
  <c r="AH67" i="17"/>
  <c r="AH21" i="17" s="1"/>
  <c r="AH46" i="17"/>
  <c r="I57" i="17"/>
  <c r="Y57" i="17" s="1"/>
  <c r="Y44" i="17"/>
  <c r="AG75" i="17"/>
  <c r="AG29" i="17" s="1"/>
  <c r="AG54" i="17"/>
  <c r="AJ134" i="17"/>
  <c r="AJ135" i="17"/>
  <c r="AM111" i="17"/>
  <c r="AN111" i="17" s="1"/>
  <c r="AO111" i="17" s="1"/>
  <c r="AK77" i="17"/>
  <c r="AK78" i="17" s="1"/>
  <c r="AK32" i="17" s="1"/>
  <c r="AK19" i="17"/>
  <c r="AI27" i="17"/>
  <c r="AZ23" i="17"/>
  <c r="AD23" i="17"/>
  <c r="BA23" i="17"/>
  <c r="AH23" i="17"/>
  <c r="BA20" i="17"/>
  <c r="BE20" i="17" s="1"/>
  <c r="AK151" i="17"/>
  <c r="AA89" i="17"/>
  <c r="AC89" i="17"/>
  <c r="BL85" i="17"/>
  <c r="BB86" i="17"/>
  <c r="Z117" i="17"/>
  <c r="Z118" i="17" s="1"/>
  <c r="AA88" i="17"/>
  <c r="BL84" i="17"/>
  <c r="BB85" i="17"/>
  <c r="AC88" i="17"/>
  <c r="BN105" i="17"/>
  <c r="BN108" i="17"/>
  <c r="BN106" i="17"/>
  <c r="BD106" i="17"/>
  <c r="BD105" i="17"/>
  <c r="BD108" i="17"/>
  <c r="AH76" i="17"/>
  <c r="AP20" i="17"/>
  <c r="AI20" i="17"/>
  <c r="AJ26" i="17"/>
  <c r="AQ26" i="17"/>
  <c r="AG66" i="17"/>
  <c r="AG45" i="17"/>
  <c r="AG55" i="17"/>
  <c r="AG76" i="17"/>
  <c r="AJ131" i="17"/>
  <c r="F135" i="17"/>
  <c r="F136" i="17" s="1"/>
  <c r="F137" i="17" s="1"/>
  <c r="F138" i="17" s="1"/>
  <c r="F139" i="17" s="1"/>
  <c r="F140" i="17" s="1"/>
  <c r="F141" i="17" s="1"/>
  <c r="F142" i="17" s="1"/>
  <c r="F143" i="17" s="1"/>
  <c r="F144" i="17" s="1"/>
  <c r="F145" i="17" s="1"/>
  <c r="AJ139" i="17"/>
  <c r="G74" i="17"/>
  <c r="G56" i="17"/>
  <c r="BL30" i="17"/>
  <c r="AM108" i="17"/>
  <c r="AN108" i="17" s="1"/>
  <c r="AO108" i="17" s="1"/>
  <c r="AM114" i="17"/>
  <c r="AN114" i="17" s="1"/>
  <c r="AO114" i="17" s="1"/>
  <c r="AZ26" i="17"/>
  <c r="I31" i="17"/>
  <c r="Y32" i="17" s="1"/>
  <c r="Y19" i="17"/>
  <c r="BM23" i="17"/>
  <c r="BI19" i="17"/>
  <c r="BJ19" i="17" s="1"/>
  <c r="AC86" i="17"/>
  <c r="AA86" i="17"/>
  <c r="BB83" i="17"/>
  <c r="BL82" i="17"/>
  <c r="AB105" i="17"/>
  <c r="Y117" i="17"/>
  <c r="AA83" i="17"/>
  <c r="AC83" i="17"/>
  <c r="AF83" i="17" s="1"/>
  <c r="AI57" i="12" s="1"/>
  <c r="BB80" i="17"/>
  <c r="BD80" i="17" s="1"/>
  <c r="BL79" i="17"/>
  <c r="BN79" i="17" s="1"/>
  <c r="Z51" i="17"/>
  <c r="AD51" i="17" s="1"/>
  <c r="BD84" i="17"/>
  <c r="AJ77" i="17"/>
  <c r="AJ78" i="17" s="1"/>
  <c r="AJ32" i="17" s="1"/>
  <c r="AJ19" i="17"/>
  <c r="AG67" i="17"/>
  <c r="AD46" i="17"/>
  <c r="AG46" i="17"/>
  <c r="AJ136" i="17"/>
  <c r="AJ29" i="17"/>
  <c r="AM113" i="17"/>
  <c r="AN113" i="17" s="1"/>
  <c r="AO113" i="17" s="1"/>
  <c r="AZ29" i="17"/>
  <c r="Z26" i="17"/>
  <c r="AD26" i="17" s="1"/>
  <c r="AR23" i="17"/>
  <c r="AQ23" i="17"/>
  <c r="BM28" i="17"/>
  <c r="BA25" i="17"/>
  <c r="AR22" i="17"/>
  <c r="AL152" i="17"/>
  <c r="BD151" i="17"/>
  <c r="AC90" i="17"/>
  <c r="AF90" i="17" s="1"/>
  <c r="AI64" i="12" s="1"/>
  <c r="AA90" i="17"/>
  <c r="BB87" i="17"/>
  <c r="BD87" i="17" s="1"/>
  <c r="BL86" i="17"/>
  <c r="I97" i="17"/>
  <c r="Y82" i="17"/>
  <c r="AH75" i="17"/>
  <c r="AK28" i="17"/>
  <c r="AR28" i="17"/>
  <c r="AG72" i="17"/>
  <c r="AG51" i="17"/>
  <c r="AJ133" i="17"/>
  <c r="AM115" i="17"/>
  <c r="AN115" i="17" s="1"/>
  <c r="AO115" i="17" s="1"/>
  <c r="AM110" i="17"/>
  <c r="AN110" i="17" s="1"/>
  <c r="AO110" i="17" s="1"/>
  <c r="BA24" i="17"/>
  <c r="BM21" i="17"/>
  <c r="BB151" i="17"/>
  <c r="BL104" i="17"/>
  <c r="BL108" i="17" s="1"/>
  <c r="AF105" i="17"/>
  <c r="BB104" i="17"/>
  <c r="BL80" i="17"/>
  <c r="AC84" i="17"/>
  <c r="AA84" i="17"/>
  <c r="BB81" i="17"/>
  <c r="AG110" i="17"/>
  <c r="AG107" i="17"/>
  <c r="AG114" i="17"/>
  <c r="AG112" i="17"/>
  <c r="AG105" i="17"/>
  <c r="BC104" i="17"/>
  <c r="AG115" i="17"/>
  <c r="AG109" i="17"/>
  <c r="AG111" i="17"/>
  <c r="AG106" i="17"/>
  <c r="AG113" i="17"/>
  <c r="AG108" i="17"/>
  <c r="AG116" i="17"/>
  <c r="BM104" i="17"/>
  <c r="AE82" i="17"/>
  <c r="BN83" i="17"/>
  <c r="AG68" i="17"/>
  <c r="AL68" i="17" s="1"/>
  <c r="AG47" i="17"/>
  <c r="AL47" i="17" s="1"/>
  <c r="AD47" i="17"/>
  <c r="AJ141" i="17"/>
  <c r="AG69" i="17"/>
  <c r="AL69" i="17" s="1"/>
  <c r="AG48" i="17"/>
  <c r="AL48" i="17" s="1"/>
  <c r="AD48" i="17"/>
  <c r="AM106" i="17"/>
  <c r="AN106" i="17" s="1"/>
  <c r="AO106" i="17" s="1"/>
  <c r="F109" i="17"/>
  <c r="F110" i="17" s="1"/>
  <c r="F111" i="17" s="1"/>
  <c r="F112" i="17" s="1"/>
  <c r="F113" i="17" s="1"/>
  <c r="F114" i="17" s="1"/>
  <c r="F115" i="17" s="1"/>
  <c r="F116" i="17" s="1"/>
  <c r="F117" i="17" s="1"/>
  <c r="F118" i="17" s="1"/>
  <c r="F119" i="17" s="1"/>
  <c r="AM116" i="17"/>
  <c r="AN116" i="17" s="1"/>
  <c r="AO116" i="17" s="1"/>
  <c r="BA30" i="17"/>
  <c r="BE30" i="17" s="1"/>
  <c r="AD22" i="17"/>
  <c r="AZ22" i="17"/>
  <c r="AZ28" i="17"/>
  <c r="O31" i="17"/>
  <c r="Z19" i="17"/>
  <c r="BD147" i="17"/>
  <c r="BD148" i="17"/>
  <c r="BB82" i="17"/>
  <c r="AC85" i="17"/>
  <c r="AA85" i="17"/>
  <c r="BL81" i="17"/>
  <c r="AI77" i="17"/>
  <c r="AI78" i="17" s="1"/>
  <c r="AI32" i="17" s="1"/>
  <c r="AQ28" i="17"/>
  <c r="AJ28" i="17"/>
  <c r="AG71" i="17"/>
  <c r="AG50" i="17"/>
  <c r="AL50" i="17" s="1"/>
  <c r="AD50" i="17"/>
  <c r="AP24" i="17"/>
  <c r="AI24" i="17"/>
  <c r="AZ27" i="17"/>
  <c r="AZ25" i="17"/>
  <c r="AD25" i="17"/>
  <c r="AR32" i="17"/>
  <c r="CF14" i="17"/>
  <c r="CN14" i="17"/>
  <c r="AD20" i="17"/>
  <c r="L31" i="17"/>
  <c r="BM19" i="17"/>
  <c r="P60" i="1"/>
  <c r="M60" i="1"/>
  <c r="AB108" i="17" l="1"/>
  <c r="AJ155" i="17"/>
  <c r="BB155" i="17" s="1"/>
  <c r="BB55" i="17"/>
  <c r="AF86" i="17"/>
  <c r="AI60" i="12" s="1"/>
  <c r="BD111" i="17"/>
  <c r="BN110" i="17"/>
  <c r="BC83" i="17"/>
  <c r="BD83" i="17" s="1"/>
  <c r="AF88" i="17"/>
  <c r="AI62" i="12" s="1"/>
  <c r="BM85" i="17"/>
  <c r="BN85" i="17" s="1"/>
  <c r="BC86" i="17"/>
  <c r="BD86" i="17"/>
  <c r="BM82" i="17"/>
  <c r="BN82" i="17" s="1"/>
  <c r="BD114" i="17"/>
  <c r="AF91" i="17"/>
  <c r="AI65" i="12" s="1"/>
  <c r="BC82" i="17"/>
  <c r="BD82" i="17" s="1"/>
  <c r="AF92" i="17"/>
  <c r="AI66" i="12" s="1"/>
  <c r="AF89" i="17"/>
  <c r="AI63" i="12" s="1"/>
  <c r="BN88" i="17"/>
  <c r="BM81" i="17"/>
  <c r="BN81" i="17" s="1"/>
  <c r="AF85" i="17"/>
  <c r="AI59" i="12" s="1"/>
  <c r="AA93" i="17"/>
  <c r="BC90" i="17"/>
  <c r="BD90" i="17" s="1"/>
  <c r="BD89" i="17"/>
  <c r="Z94" i="17"/>
  <c r="Z95" i="17" s="1"/>
  <c r="AD93" i="17"/>
  <c r="AE93" i="17" s="1"/>
  <c r="AG93" i="17" s="1"/>
  <c r="BN89" i="17"/>
  <c r="AD28" i="17"/>
  <c r="AH27" i="17"/>
  <c r="AH28" i="17"/>
  <c r="AL28" i="17" s="1"/>
  <c r="AH30" i="17"/>
  <c r="BD112" i="17"/>
  <c r="BN84" i="17"/>
  <c r="BD85" i="17"/>
  <c r="BC81" i="17"/>
  <c r="BD81" i="17" s="1"/>
  <c r="BM80" i="17"/>
  <c r="AD84" i="17"/>
  <c r="AJ154" i="17"/>
  <c r="BB154" i="17" s="1"/>
  <c r="BN115" i="17"/>
  <c r="AB107" i="17"/>
  <c r="BN86" i="17"/>
  <c r="AL71" i="17"/>
  <c r="AD49" i="17"/>
  <c r="BA29" i="17"/>
  <c r="BE29" i="17" s="1"/>
  <c r="AH29" i="17"/>
  <c r="AL29" i="17" s="1"/>
  <c r="BN117" i="17"/>
  <c r="AB113" i="17"/>
  <c r="AB111" i="17"/>
  <c r="AB154" i="17"/>
  <c r="AB156" i="17"/>
  <c r="AB161" i="17"/>
  <c r="AJ161" i="17"/>
  <c r="BB161" i="17" s="1"/>
  <c r="AB160" i="17"/>
  <c r="BD119" i="17"/>
  <c r="AB115" i="17"/>
  <c r="AB106" i="17"/>
  <c r="BD88" i="17"/>
  <c r="BM43" i="17"/>
  <c r="BE28" i="17"/>
  <c r="AD27" i="17"/>
  <c r="BE22" i="17"/>
  <c r="BD120" i="17"/>
  <c r="AJ156" i="17"/>
  <c r="BB156" i="17" s="1"/>
  <c r="AJ159" i="17"/>
  <c r="BB159" i="17" s="1"/>
  <c r="AJ163" i="17"/>
  <c r="BB163" i="17" s="1"/>
  <c r="AJ153" i="17"/>
  <c r="BB153" i="17" s="1"/>
  <c r="AJ160" i="17"/>
  <c r="BB160" i="17" s="1"/>
  <c r="AB116" i="17"/>
  <c r="AB109" i="17"/>
  <c r="AB112" i="17"/>
  <c r="AA117" i="17"/>
  <c r="AA118" i="17" s="1"/>
  <c r="BN113" i="17"/>
  <c r="BD116" i="17"/>
  <c r="AI105" i="17"/>
  <c r="AJ105" i="17" s="1"/>
  <c r="AJ56" i="12" s="1"/>
  <c r="AK105" i="17"/>
  <c r="AB158" i="17"/>
  <c r="AD77" i="17"/>
  <c r="AD54" i="17"/>
  <c r="BD43" i="17"/>
  <c r="AI57" i="17"/>
  <c r="BM42" i="17" s="1"/>
  <c r="AG27" i="17"/>
  <c r="AD55" i="17"/>
  <c r="AL70" i="17"/>
  <c r="BZ20" i="17"/>
  <c r="BM22" i="17"/>
  <c r="BN22" i="17" s="1"/>
  <c r="F46" i="17"/>
  <c r="F64" i="17"/>
  <c r="CQ20" i="17"/>
  <c r="CR20" i="17" s="1"/>
  <c r="BM24" i="17"/>
  <c r="BP24" i="17" s="1"/>
  <c r="BM26" i="17"/>
  <c r="BQ26" i="17" s="1"/>
  <c r="BM27" i="17"/>
  <c r="BR27" i="17" s="1"/>
  <c r="AB159" i="17"/>
  <c r="AB157" i="17"/>
  <c r="AB163" i="17"/>
  <c r="AL55" i="17"/>
  <c r="AA164" i="17"/>
  <c r="Z164" i="17"/>
  <c r="AB152" i="17"/>
  <c r="AB162" i="17"/>
  <c r="AL74" i="17"/>
  <c r="Z57" i="17"/>
  <c r="AD57" i="17" s="1"/>
  <c r="BN43" i="17"/>
  <c r="AJ57" i="17"/>
  <c r="BN42" i="17" s="1"/>
  <c r="BE25" i="17"/>
  <c r="AI31" i="17"/>
  <c r="Z32" i="17"/>
  <c r="AO25" i="17" s="1"/>
  <c r="AQ31" i="17"/>
  <c r="AL46" i="17"/>
  <c r="AR31" i="17"/>
  <c r="BE43" i="17"/>
  <c r="CA25" i="17"/>
  <c r="AF109" i="17"/>
  <c r="AF111" i="17"/>
  <c r="AF116" i="17"/>
  <c r="AF110" i="17"/>
  <c r="AF113" i="17"/>
  <c r="AF108" i="17"/>
  <c r="AF114" i="17"/>
  <c r="AF107" i="17"/>
  <c r="AF115" i="17"/>
  <c r="AF112" i="17"/>
  <c r="BR25" i="17"/>
  <c r="BX25" i="17" s="1"/>
  <c r="BO25" i="17"/>
  <c r="BU25" i="17" s="1"/>
  <c r="BP25" i="17"/>
  <c r="BV25" i="17" s="1"/>
  <c r="AO117" i="17"/>
  <c r="BM112" i="17"/>
  <c r="BC112" i="17"/>
  <c r="BM116" i="17"/>
  <c r="BC116" i="17"/>
  <c r="AF106" i="17"/>
  <c r="AK106" i="17" s="1"/>
  <c r="BB162" i="17"/>
  <c r="Y118" i="17"/>
  <c r="BN25" i="17"/>
  <c r="AG23" i="17"/>
  <c r="AL23" i="17" s="1"/>
  <c r="AG153" i="17"/>
  <c r="BC106" i="17"/>
  <c r="BC105" i="17"/>
  <c r="BC108" i="17"/>
  <c r="BB152" i="17"/>
  <c r="AL67" i="17"/>
  <c r="AG21" i="17"/>
  <c r="AL21" i="17" s="1"/>
  <c r="CA19" i="17"/>
  <c r="AG25" i="17"/>
  <c r="AL25" i="17" s="1"/>
  <c r="BC117" i="17"/>
  <c r="BM117" i="17"/>
  <c r="BM118" i="17"/>
  <c r="BC118" i="17"/>
  <c r="BB108" i="17"/>
  <c r="BB106" i="17"/>
  <c r="BL105" i="17"/>
  <c r="BB105" i="17"/>
  <c r="BL106" i="17"/>
  <c r="BN126" i="17"/>
  <c r="BC148" i="17"/>
  <c r="BC147" i="17"/>
  <c r="AG154" i="17"/>
  <c r="BC110" i="17"/>
  <c r="BM110" i="17"/>
  <c r="BL109" i="17"/>
  <c r="BB109" i="17"/>
  <c r="BN28" i="17"/>
  <c r="BR28" i="17"/>
  <c r="BQ28" i="17"/>
  <c r="BP28" i="17"/>
  <c r="BO28" i="17"/>
  <c r="CA28" i="17"/>
  <c r="AH72" i="17"/>
  <c r="AL72" i="17" s="1"/>
  <c r="AH51" i="17"/>
  <c r="AL51" i="17" s="1"/>
  <c r="BW25" i="17"/>
  <c r="AL76" i="17"/>
  <c r="AG30" i="17"/>
  <c r="AP31" i="17"/>
  <c r="BE23" i="17"/>
  <c r="AL54" i="17"/>
  <c r="AH66" i="17"/>
  <c r="AL66" i="17" s="1"/>
  <c r="AH45" i="17"/>
  <c r="AH56" i="17" s="1"/>
  <c r="Z56" i="17"/>
  <c r="BE24" i="17"/>
  <c r="AG161" i="17"/>
  <c r="BM111" i="17"/>
  <c r="BC111" i="17"/>
  <c r="Z31" i="17"/>
  <c r="BA19" i="17"/>
  <c r="AH19" i="17"/>
  <c r="BC115" i="17"/>
  <c r="BM115" i="17"/>
  <c r="BC114" i="17"/>
  <c r="BM114" i="17"/>
  <c r="CA21" i="17"/>
  <c r="BR21" i="17"/>
  <c r="BO21" i="17"/>
  <c r="BN21" i="17"/>
  <c r="BQ21" i="17"/>
  <c r="BP21" i="17"/>
  <c r="AH117" i="17"/>
  <c r="BN109" i="17"/>
  <c r="BD109" i="17"/>
  <c r="AL75" i="17"/>
  <c r="AK57" i="17"/>
  <c r="BO43" i="17"/>
  <c r="AR57" i="17"/>
  <c r="BF43" i="17"/>
  <c r="AE164" i="17"/>
  <c r="AG160" i="17"/>
  <c r="AG155" i="17"/>
  <c r="BM105" i="17"/>
  <c r="BM108" i="17"/>
  <c r="BM106" i="17"/>
  <c r="AG82" i="17"/>
  <c r="BC113" i="17"/>
  <c r="BM113" i="17"/>
  <c r="BB157" i="17"/>
  <c r="AK162" i="17"/>
  <c r="BC162" i="17" s="1"/>
  <c r="AK160" i="17"/>
  <c r="BC160" i="17" s="1"/>
  <c r="AK163" i="17"/>
  <c r="BC163" i="17" s="1"/>
  <c r="AK158" i="17"/>
  <c r="BC158" i="17" s="1"/>
  <c r="AK157" i="17"/>
  <c r="BC157" i="17" s="1"/>
  <c r="AK156" i="17"/>
  <c r="BC156" i="17" s="1"/>
  <c r="AK155" i="17"/>
  <c r="BC155" i="17" s="1"/>
  <c r="AK161" i="17"/>
  <c r="BC161" i="17" s="1"/>
  <c r="AK154" i="17"/>
  <c r="BC154" i="17" s="1"/>
  <c r="AK153" i="17"/>
  <c r="BC153" i="17" s="1"/>
  <c r="AK152" i="17"/>
  <c r="AM152" i="17" s="1"/>
  <c r="BC151" i="17"/>
  <c r="AK159" i="17"/>
  <c r="BC159" i="17" s="1"/>
  <c r="AG65" i="17"/>
  <c r="AG19" i="17" s="1"/>
  <c r="Y56" i="17"/>
  <c r="AG44" i="17"/>
  <c r="AD44" i="17"/>
  <c r="AG162" i="17"/>
  <c r="AG156" i="17"/>
  <c r="BM119" i="17"/>
  <c r="BC119" i="17"/>
  <c r="BB158" i="17"/>
  <c r="BD152" i="17"/>
  <c r="AL153" i="17"/>
  <c r="AG26" i="17"/>
  <c r="BD126" i="17"/>
  <c r="AK31" i="17"/>
  <c r="AL24" i="17"/>
  <c r="BB148" i="17"/>
  <c r="BB147" i="17"/>
  <c r="AG157" i="17"/>
  <c r="Y94" i="17"/>
  <c r="BB79" i="17"/>
  <c r="BL78" i="17"/>
  <c r="AC82" i="17"/>
  <c r="AA82" i="17"/>
  <c r="BK19" i="17"/>
  <c r="BK31" i="17" s="1"/>
  <c r="BD170" i="17" s="1"/>
  <c r="BM29" i="17"/>
  <c r="Y31" i="17"/>
  <c r="AZ19" i="17"/>
  <c r="AD19" i="17"/>
  <c r="AG20" i="17"/>
  <c r="AG159" i="17"/>
  <c r="AG158" i="17"/>
  <c r="BE27" i="17"/>
  <c r="AG22" i="17"/>
  <c r="AL22" i="17" s="1"/>
  <c r="BM120" i="17"/>
  <c r="BC120" i="17"/>
  <c r="AG117" i="17"/>
  <c r="BM109" i="17"/>
  <c r="BC109" i="17"/>
  <c r="CA20" i="17"/>
  <c r="BA26" i="17"/>
  <c r="BE26" i="17" s="1"/>
  <c r="AJ31" i="17"/>
  <c r="BN23" i="17"/>
  <c r="CA23" i="17"/>
  <c r="BR23" i="17"/>
  <c r="BP23" i="17"/>
  <c r="BO23" i="17"/>
  <c r="BQ23" i="17"/>
  <c r="BZ30" i="17"/>
  <c r="BM30" i="17"/>
  <c r="F65" i="17"/>
  <c r="F47" i="17"/>
  <c r="CQ21" i="17"/>
  <c r="CR21" i="17" s="1"/>
  <c r="F22" i="17"/>
  <c r="AG152" i="17"/>
  <c r="AD164" i="17"/>
  <c r="AG163" i="17"/>
  <c r="D7" i="13"/>
  <c r="D24" i="13" s="1"/>
  <c r="AL27" i="17" l="1"/>
  <c r="AF93" i="17"/>
  <c r="AI67" i="12" s="1"/>
  <c r="BC91" i="17"/>
  <c r="BC92" i="17" s="1"/>
  <c r="BC94" i="17" s="1"/>
  <c r="BM90" i="17"/>
  <c r="BM91" i="17" s="1"/>
  <c r="BM93" i="17" s="1"/>
  <c r="BC93" i="17"/>
  <c r="BM92" i="17"/>
  <c r="AL30" i="17"/>
  <c r="BN80" i="17"/>
  <c r="AE84" i="17"/>
  <c r="AD94" i="17"/>
  <c r="AH26" i="17"/>
  <c r="AL26" i="17" s="1"/>
  <c r="AB118" i="17"/>
  <c r="BD42" i="17"/>
  <c r="BM44" i="17" s="1"/>
  <c r="AA58" i="17"/>
  <c r="AB58" i="17"/>
  <c r="AB59" i="17" s="1"/>
  <c r="AB60" i="17" s="1"/>
  <c r="AB61" i="17" s="1"/>
  <c r="AB62" i="17" s="1"/>
  <c r="Z58" i="17"/>
  <c r="Z59" i="17" s="1"/>
  <c r="Z60" i="17" s="1"/>
  <c r="Z61" i="17" s="1"/>
  <c r="Z62" i="17" s="1"/>
  <c r="AC58" i="17"/>
  <c r="AC59" i="17" s="1"/>
  <c r="AC60" i="17" s="1"/>
  <c r="AC61" i="17" s="1"/>
  <c r="AC62" i="17" s="1"/>
  <c r="Y58" i="17"/>
  <c r="Y59" i="17" s="1"/>
  <c r="Y60" i="17" s="1"/>
  <c r="AD31" i="17"/>
  <c r="AL105" i="17"/>
  <c r="AD32" i="17"/>
  <c r="Y33" i="17" s="1"/>
  <c r="Y34" i="17" s="1"/>
  <c r="Y35" i="17" s="1"/>
  <c r="BN121" i="17"/>
  <c r="BN122" i="17" s="1"/>
  <c r="AJ164" i="17"/>
  <c r="AB117" i="17"/>
  <c r="BD121" i="17"/>
  <c r="BD122" i="17" s="1"/>
  <c r="AN152" i="17"/>
  <c r="AN153" i="17"/>
  <c r="AI109" i="17"/>
  <c r="AJ109" i="17" s="1"/>
  <c r="AJ60" i="12" s="1"/>
  <c r="AK109" i="17"/>
  <c r="AI114" i="17"/>
  <c r="AJ114" i="17" s="1"/>
  <c r="AJ65" i="12" s="1"/>
  <c r="AK114" i="17"/>
  <c r="AI108" i="17"/>
  <c r="AJ108" i="17" s="1"/>
  <c r="AJ59" i="12" s="1"/>
  <c r="AK108" i="17"/>
  <c r="AI113" i="17"/>
  <c r="AJ113" i="17" s="1"/>
  <c r="AJ64" i="12" s="1"/>
  <c r="AK113" i="17"/>
  <c r="BB119" i="17"/>
  <c r="BE119" i="17" s="1"/>
  <c r="AK115" i="17"/>
  <c r="AI110" i="17"/>
  <c r="AJ110" i="17" s="1"/>
  <c r="AJ61" i="12" s="1"/>
  <c r="AK110" i="17"/>
  <c r="BB120" i="17"/>
  <c r="BE120" i="17" s="1"/>
  <c r="AK116" i="17"/>
  <c r="BB111" i="17"/>
  <c r="BE111" i="17" s="1"/>
  <c r="AK107" i="17"/>
  <c r="AI112" i="17"/>
  <c r="AJ112" i="17" s="1"/>
  <c r="AJ63" i="12" s="1"/>
  <c r="AK112" i="17"/>
  <c r="AI111" i="17"/>
  <c r="AJ111" i="17" s="1"/>
  <c r="AJ62" i="12" s="1"/>
  <c r="AK111" i="17"/>
  <c r="AD56" i="17"/>
  <c r="BE42" i="17"/>
  <c r="BE44" i="17" s="1"/>
  <c r="BQ22" i="17"/>
  <c r="BW22" i="17" s="1"/>
  <c r="AO21" i="17"/>
  <c r="BP22" i="17"/>
  <c r="BV22" i="17" s="1"/>
  <c r="CA22" i="17"/>
  <c r="BO22" i="17"/>
  <c r="BR22" i="17"/>
  <c r="BX22" i="17" s="1"/>
  <c r="BR24" i="17"/>
  <c r="BX24" i="17" s="1"/>
  <c r="BP26" i="17"/>
  <c r="BV26" i="17" s="1"/>
  <c r="BN24" i="17"/>
  <c r="BT24" i="17" s="1"/>
  <c r="BO24" i="17"/>
  <c r="BU24" i="17" s="1"/>
  <c r="CA24" i="17"/>
  <c r="BO27" i="17"/>
  <c r="BU27" i="17" s="1"/>
  <c r="BQ24" i="17"/>
  <c r="BW24" i="17" s="1"/>
  <c r="BN27" i="17"/>
  <c r="BT27" i="17" s="1"/>
  <c r="BP27" i="17"/>
  <c r="BV27" i="17" s="1"/>
  <c r="BQ27" i="17"/>
  <c r="BW27" i="17" s="1"/>
  <c r="CA27" i="17"/>
  <c r="BN26" i="17"/>
  <c r="BT26" i="17" s="1"/>
  <c r="CA26" i="17"/>
  <c r="BR26" i="17"/>
  <c r="BX26" i="17" s="1"/>
  <c r="AB164" i="17"/>
  <c r="AB165" i="17" s="1"/>
  <c r="BM121" i="17"/>
  <c r="BM122" i="17" s="1"/>
  <c r="AL45" i="17"/>
  <c r="AN25" i="17"/>
  <c r="AS25" i="17" s="1"/>
  <c r="AO26" i="17"/>
  <c r="AN22" i="17"/>
  <c r="AN24" i="17"/>
  <c r="AN20" i="17"/>
  <c r="AN19" i="17"/>
  <c r="Y78" i="17"/>
  <c r="AD78" i="17" s="1"/>
  <c r="AO19" i="17"/>
  <c r="AO22" i="17"/>
  <c r="BL118" i="17"/>
  <c r="BO118" i="17" s="1"/>
  <c r="AI116" i="17"/>
  <c r="AJ116" i="17" s="1"/>
  <c r="AJ67" i="12" s="1"/>
  <c r="BB112" i="17"/>
  <c r="BE112" i="17" s="1"/>
  <c r="BB115" i="17"/>
  <c r="BE115" i="17" s="1"/>
  <c r="BL113" i="17"/>
  <c r="BO113" i="17" s="1"/>
  <c r="BL117" i="17"/>
  <c r="BO117" i="17" s="1"/>
  <c r="BB113" i="17"/>
  <c r="BE113" i="17" s="1"/>
  <c r="BB117" i="17"/>
  <c r="BE117" i="17" s="1"/>
  <c r="BL114" i="17"/>
  <c r="BO114" i="17" s="1"/>
  <c r="AI107" i="17"/>
  <c r="BL111" i="17"/>
  <c r="BO111" i="17" s="1"/>
  <c r="BB114" i="17"/>
  <c r="BE114" i="17" s="1"/>
  <c r="BL120" i="17"/>
  <c r="BO120" i="17" s="1"/>
  <c r="AI115" i="17"/>
  <c r="BB116" i="17"/>
  <c r="BE116" i="17" s="1"/>
  <c r="BL119" i="17"/>
  <c r="BO119" i="17" s="1"/>
  <c r="BL116" i="17"/>
  <c r="BO116" i="17" s="1"/>
  <c r="BB118" i="17"/>
  <c r="BE118" i="17" s="1"/>
  <c r="AF117" i="17"/>
  <c r="BL112" i="17"/>
  <c r="BO112" i="17" s="1"/>
  <c r="BL115" i="17"/>
  <c r="BO115" i="17" s="1"/>
  <c r="BL90" i="17"/>
  <c r="BN78" i="17"/>
  <c r="BT22" i="17"/>
  <c r="BV21" i="17"/>
  <c r="CK14" i="17"/>
  <c r="CC14" i="17"/>
  <c r="AO24" i="17"/>
  <c r="BO26" i="17"/>
  <c r="BL110" i="17"/>
  <c r="BO110" i="17" s="1"/>
  <c r="BB110" i="17"/>
  <c r="BE110" i="17" s="1"/>
  <c r="AI106" i="17"/>
  <c r="AL106" i="17" s="1"/>
  <c r="AG164" i="17"/>
  <c r="BT23" i="17"/>
  <c r="BS23" i="17"/>
  <c r="AZ31" i="17"/>
  <c r="BE19" i="17"/>
  <c r="BE31" i="17" s="1"/>
  <c r="BB91" i="17"/>
  <c r="BD79" i="17"/>
  <c r="AG56" i="17"/>
  <c r="AL44" i="17"/>
  <c r="BW21" i="17"/>
  <c r="AN30" i="17"/>
  <c r="F66" i="17"/>
  <c r="F48" i="17"/>
  <c r="F23" i="17"/>
  <c r="CQ22" i="17"/>
  <c r="CR22" i="17" s="1"/>
  <c r="Y95" i="17"/>
  <c r="AA95" i="17" s="1"/>
  <c r="AA213" i="17" s="1"/>
  <c r="AE213" i="17" s="1"/>
  <c r="AA94" i="17"/>
  <c r="AR53" i="17"/>
  <c r="AR54" i="17"/>
  <c r="AR55" i="17"/>
  <c r="AR50" i="17"/>
  <c r="AR45" i="17"/>
  <c r="AR49" i="17"/>
  <c r="AR47" i="17"/>
  <c r="AR46" i="17"/>
  <c r="BF42" i="17"/>
  <c r="AR48" i="17"/>
  <c r="AR51" i="17"/>
  <c r="AR52" i="17"/>
  <c r="AR44" i="17"/>
  <c r="BO42" i="17"/>
  <c r="BT21" i="17"/>
  <c r="BS21" i="17"/>
  <c r="AH57" i="17"/>
  <c r="BL43" i="17"/>
  <c r="BC43" i="17"/>
  <c r="BU28" i="17"/>
  <c r="AO30" i="17"/>
  <c r="BB164" i="17"/>
  <c r="CB14" i="17"/>
  <c r="CJ14" i="17"/>
  <c r="AN27" i="17"/>
  <c r="AN29" i="17"/>
  <c r="AN28" i="17"/>
  <c r="AA59" i="17"/>
  <c r="AA60" i="17" s="1"/>
  <c r="AL65" i="17"/>
  <c r="AL77" i="17" s="1"/>
  <c r="AG77" i="17"/>
  <c r="AG78" i="17" s="1"/>
  <c r="AN26" i="17"/>
  <c r="BM126" i="17"/>
  <c r="AO28" i="17"/>
  <c r="BU21" i="17"/>
  <c r="AH77" i="17"/>
  <c r="AH78" i="17" s="1"/>
  <c r="AH32" i="17" s="1"/>
  <c r="AH20" i="17"/>
  <c r="AO20" i="17"/>
  <c r="BV28" i="17"/>
  <c r="BW23" i="17"/>
  <c r="BC121" i="17"/>
  <c r="BC122" i="17" s="1"/>
  <c r="CA29" i="17"/>
  <c r="BV24" i="17"/>
  <c r="AO23" i="17"/>
  <c r="AN23" i="17"/>
  <c r="BX21" i="17"/>
  <c r="BW28" i="17"/>
  <c r="BC126" i="17"/>
  <c r="BX27" i="17"/>
  <c r="BW26" i="17"/>
  <c r="BU23" i="17"/>
  <c r="BX28" i="17"/>
  <c r="BE109" i="17"/>
  <c r="AN21" i="17"/>
  <c r="BT25" i="17"/>
  <c r="BS25" i="17"/>
  <c r="AO27" i="17"/>
  <c r="CA30" i="17"/>
  <c r="BV23" i="17"/>
  <c r="BD153" i="17"/>
  <c r="AL154" i="17"/>
  <c r="AM154" i="17" s="1"/>
  <c r="BS28" i="17"/>
  <c r="BT28" i="17"/>
  <c r="BO109" i="17"/>
  <c r="BX23" i="17"/>
  <c r="AM153" i="17"/>
  <c r="AG31" i="17"/>
  <c r="AL19" i="17"/>
  <c r="AC94" i="17"/>
  <c r="AF82" i="17"/>
  <c r="BC152" i="17"/>
  <c r="BC164" i="17" s="1"/>
  <c r="AK164" i="17"/>
  <c r="BA31" i="17"/>
  <c r="AO29" i="17"/>
  <c r="AL56" i="12"/>
  <c r="AL67" i="12"/>
  <c r="AL65" i="12"/>
  <c r="AL64" i="12"/>
  <c r="AL62" i="12"/>
  <c r="AL63" i="12"/>
  <c r="AL57" i="12"/>
  <c r="AL59" i="12"/>
  <c r="AL66" i="12"/>
  <c r="AL60" i="12"/>
  <c r="AL61" i="12"/>
  <c r="AL58" i="12"/>
  <c r="Y8" i="13"/>
  <c r="Y102" i="1"/>
  <c r="AF102" i="1" s="1"/>
  <c r="FA5" i="1"/>
  <c r="FA9" i="1"/>
  <c r="Y13" i="13"/>
  <c r="Z13" i="13"/>
  <c r="FB8" i="17" s="1"/>
  <c r="Z9" i="13"/>
  <c r="FB4" i="17" s="1"/>
  <c r="Z10" i="13"/>
  <c r="Z11" i="13"/>
  <c r="Z12" i="13"/>
  <c r="FB7" i="17" s="1"/>
  <c r="Z8" i="13"/>
  <c r="Y9" i="13"/>
  <c r="Y10" i="13"/>
  <c r="Y11" i="13"/>
  <c r="FA6" i="17" s="1"/>
  <c r="Y12" i="13"/>
  <c r="BM77" i="1"/>
  <c r="BL77" i="1"/>
  <c r="BK51" i="1"/>
  <c r="BK48" i="1"/>
  <c r="D110" i="1"/>
  <c r="D200" i="1"/>
  <c r="D18" i="13"/>
  <c r="FB3" i="17" l="1"/>
  <c r="AA8" i="13"/>
  <c r="BL126" i="1" s="1"/>
  <c r="BC128" i="17"/>
  <c r="BC127" i="17"/>
  <c r="BC129" i="17" s="1"/>
  <c r="BD128" i="17"/>
  <c r="BD127" i="17"/>
  <c r="BD129" i="17" s="1"/>
  <c r="BM128" i="17"/>
  <c r="BM127" i="17"/>
  <c r="BM129" i="17" s="1"/>
  <c r="BN128" i="17"/>
  <c r="BN127" i="17"/>
  <c r="BN129" i="17" s="1"/>
  <c r="AH31" i="17"/>
  <c r="BD123" i="17"/>
  <c r="AG84" i="17"/>
  <c r="G149" i="17" s="1"/>
  <c r="I149" i="17" s="1"/>
  <c r="AF84" i="17"/>
  <c r="AI58" i="12" s="1"/>
  <c r="AE94" i="17"/>
  <c r="FB8" i="1"/>
  <c r="FB6" i="1"/>
  <c r="FB6" i="17"/>
  <c r="AA10" i="13"/>
  <c r="BD63" i="1" s="1"/>
  <c r="FB5" i="17"/>
  <c r="BN44" i="17"/>
  <c r="BD44" i="17"/>
  <c r="BN123" i="17"/>
  <c r="AA33" i="17"/>
  <c r="AA34" i="17" s="1"/>
  <c r="AA35" i="17" s="1"/>
  <c r="AA36" i="17" s="1"/>
  <c r="AA37" i="17" s="1"/>
  <c r="Z33" i="17"/>
  <c r="Z34" i="17" s="1"/>
  <c r="Z35" i="17" s="1"/>
  <c r="Z36" i="17" s="1"/>
  <c r="Z37" i="17" s="1"/>
  <c r="AB33" i="17"/>
  <c r="AB34" i="17" s="1"/>
  <c r="AB35" i="17" s="1"/>
  <c r="AB36" i="17" s="1"/>
  <c r="AB37" i="17" s="1"/>
  <c r="AC33" i="17"/>
  <c r="AC34" i="17" s="1"/>
  <c r="AC35" i="17" s="1"/>
  <c r="AC36" i="17" s="1"/>
  <c r="AC37" i="17" s="1"/>
  <c r="BN124" i="17"/>
  <c r="BD124" i="17"/>
  <c r="AN154" i="17"/>
  <c r="G121" i="17"/>
  <c r="AL113" i="17"/>
  <c r="AL108" i="17"/>
  <c r="AL111" i="17"/>
  <c r="AL116" i="17"/>
  <c r="AL110" i="17"/>
  <c r="AL114" i="17"/>
  <c r="AL112" i="17"/>
  <c r="AL115" i="17"/>
  <c r="AL109" i="17"/>
  <c r="AL107" i="17"/>
  <c r="AL56" i="17"/>
  <c r="AS22" i="17"/>
  <c r="AS21" i="17"/>
  <c r="AS26" i="17"/>
  <c r="AS19" i="17"/>
  <c r="BS22" i="17"/>
  <c r="BU22" i="17"/>
  <c r="BS24" i="17"/>
  <c r="BS26" i="17"/>
  <c r="BS27" i="17"/>
  <c r="AS20" i="17"/>
  <c r="C152" i="17"/>
  <c r="C64" i="12"/>
  <c r="BE152" i="17"/>
  <c r="AS24" i="17"/>
  <c r="AI56" i="12"/>
  <c r="AS28" i="17"/>
  <c r="AS30" i="17"/>
  <c r="AO31" i="17"/>
  <c r="AL20" i="17"/>
  <c r="AL31" i="17" s="1"/>
  <c r="AS27" i="17"/>
  <c r="AN31" i="17"/>
  <c r="BB121" i="17"/>
  <c r="BB122" i="17" s="1"/>
  <c r="AJ107" i="17"/>
  <c r="AJ58" i="12" s="1"/>
  <c r="AJ115" i="17"/>
  <c r="AJ66" i="12" s="1"/>
  <c r="BL121" i="17"/>
  <c r="BL122" i="17" s="1"/>
  <c r="BM124" i="17"/>
  <c r="BM123" i="17"/>
  <c r="AJ106" i="17"/>
  <c r="AI117" i="17"/>
  <c r="AD59" i="17"/>
  <c r="AA61" i="17"/>
  <c r="AA62" i="17"/>
  <c r="AR56" i="17"/>
  <c r="F67" i="17"/>
  <c r="F49" i="17"/>
  <c r="CQ23" i="17"/>
  <c r="CR23" i="17" s="1"/>
  <c r="F24" i="17"/>
  <c r="BL91" i="17"/>
  <c r="BN90" i="17"/>
  <c r="Y61" i="17"/>
  <c r="AD60" i="17"/>
  <c r="BE153" i="17"/>
  <c r="BD154" i="17"/>
  <c r="BE154" i="17" s="1"/>
  <c r="AL155" i="17"/>
  <c r="AN155" i="17" s="1"/>
  <c r="BC42" i="17"/>
  <c r="BL42" i="17"/>
  <c r="BU26" i="17"/>
  <c r="BO121" i="17"/>
  <c r="BC124" i="17"/>
  <c r="BC123" i="17"/>
  <c r="AL78" i="17"/>
  <c r="AG32" i="17"/>
  <c r="AG57" i="17"/>
  <c r="BK43" i="17"/>
  <c r="BP43" i="17" s="1"/>
  <c r="BB43" i="17"/>
  <c r="BG43" i="17" s="1"/>
  <c r="AS29" i="17"/>
  <c r="BO44" i="17"/>
  <c r="BF44" i="17"/>
  <c r="AO32" i="17"/>
  <c r="BE121" i="17"/>
  <c r="AS23" i="17"/>
  <c r="BB92" i="17"/>
  <c r="BD91" i="17"/>
  <c r="Y36" i="17"/>
  <c r="FA3" i="1"/>
  <c r="FB4" i="1"/>
  <c r="AA9" i="13"/>
  <c r="DD45" i="1" s="1"/>
  <c r="FA8" i="1"/>
  <c r="FA7" i="1"/>
  <c r="AA13" i="13"/>
  <c r="BB97" i="17" s="1"/>
  <c r="FA6" i="1"/>
  <c r="AA12" i="13"/>
  <c r="BO63" i="1" s="1"/>
  <c r="FA4" i="1"/>
  <c r="AA11" i="13"/>
  <c r="FB7" i="1"/>
  <c r="BM63" i="1"/>
  <c r="FB5" i="1"/>
  <c r="FB3" i="1"/>
  <c r="FB9" i="1"/>
  <c r="AO58" i="12"/>
  <c r="AO57" i="12"/>
  <c r="AO61" i="12"/>
  <c r="BK53" i="1"/>
  <c r="BK54" i="1" s="1"/>
  <c r="B47" i="12"/>
  <c r="B46" i="12"/>
  <c r="AC44" i="1"/>
  <c r="AB44" i="1"/>
  <c r="AC55" i="1"/>
  <c r="AK55" i="1" s="1"/>
  <c r="AC30" i="1"/>
  <c r="AC32" i="1"/>
  <c r="AB32" i="1"/>
  <c r="AA32" i="1"/>
  <c r="AA20" i="1"/>
  <c r="AB20" i="1"/>
  <c r="AC20" i="1"/>
  <c r="AA21" i="1"/>
  <c r="AB21" i="1"/>
  <c r="AC21" i="1"/>
  <c r="AA22" i="1"/>
  <c r="AB22" i="1"/>
  <c r="AC22" i="1"/>
  <c r="AA23" i="1"/>
  <c r="AB23" i="1"/>
  <c r="AC23" i="1"/>
  <c r="AA24" i="1"/>
  <c r="AB24" i="1"/>
  <c r="AC24" i="1"/>
  <c r="AA25" i="1"/>
  <c r="AB25" i="1"/>
  <c r="AC25" i="1"/>
  <c r="AA26" i="1"/>
  <c r="AB26" i="1"/>
  <c r="AC26" i="1"/>
  <c r="AA27" i="1"/>
  <c r="AB27" i="1"/>
  <c r="AC27" i="1"/>
  <c r="AA28" i="1"/>
  <c r="AB28" i="1"/>
  <c r="AC28" i="1"/>
  <c r="AA29" i="1"/>
  <c r="AB29" i="1"/>
  <c r="AC29" i="1"/>
  <c r="AA30" i="1"/>
  <c r="AB30" i="1"/>
  <c r="AC19" i="1"/>
  <c r="AB19" i="1"/>
  <c r="AA19" i="1"/>
  <c r="EY3" i="1"/>
  <c r="BB98" i="17" l="1"/>
  <c r="BB100" i="17" s="1"/>
  <c r="BB99" i="17"/>
  <c r="BL98" i="17"/>
  <c r="BL100" i="17" s="1"/>
  <c r="BO122" i="17"/>
  <c r="BP122" i="17" s="1"/>
  <c r="BB123" i="17"/>
  <c r="BE123" i="17" s="1"/>
  <c r="AF94" i="17"/>
  <c r="BB97" i="1"/>
  <c r="FC8" i="17"/>
  <c r="BL97" i="17"/>
  <c r="BL99" i="17" s="1"/>
  <c r="FC7" i="17"/>
  <c r="BO63" i="17"/>
  <c r="BF63" i="17"/>
  <c r="DQ45" i="17"/>
  <c r="DH45" i="17"/>
  <c r="FC6" i="1"/>
  <c r="DP45" i="17"/>
  <c r="FC6" i="17"/>
  <c r="DG45" i="17"/>
  <c r="BN63" i="17"/>
  <c r="BE63" i="17"/>
  <c r="BD63" i="17"/>
  <c r="FC5" i="17"/>
  <c r="DO45" i="17"/>
  <c r="BM63" i="17"/>
  <c r="DF45" i="17"/>
  <c r="FC4" i="17"/>
  <c r="DD45" i="17"/>
  <c r="BB63" i="17"/>
  <c r="BK63" i="17"/>
  <c r="DM45" i="17"/>
  <c r="BK63" i="1"/>
  <c r="BL63" i="17"/>
  <c r="DE45" i="17"/>
  <c r="DN45" i="17"/>
  <c r="BC63" i="17"/>
  <c r="BM97" i="17"/>
  <c r="FC3" i="17"/>
  <c r="BC97" i="17"/>
  <c r="BL126" i="17"/>
  <c r="BL128" i="17" s="1"/>
  <c r="BO128" i="17" s="1"/>
  <c r="BB126" i="17"/>
  <c r="BB128" i="17" s="1"/>
  <c r="BE128" i="17" s="1"/>
  <c r="BK244" i="17" s="1"/>
  <c r="AD34" i="17"/>
  <c r="AD35" i="17"/>
  <c r="I121" i="17"/>
  <c r="G150" i="17"/>
  <c r="I150" i="17" s="1"/>
  <c r="AS31" i="17"/>
  <c r="BB124" i="17"/>
  <c r="BE124" i="17" s="1"/>
  <c r="BL124" i="17"/>
  <c r="BO124" i="17" s="1"/>
  <c r="BE122" i="17"/>
  <c r="BF122" i="17" s="1"/>
  <c r="BL123" i="17"/>
  <c r="BO123" i="17" s="1"/>
  <c r="AJ117" i="17"/>
  <c r="AA214" i="17" s="1"/>
  <c r="AE214" i="17" s="1"/>
  <c r="AJ57" i="12"/>
  <c r="Y37" i="17"/>
  <c r="AD37" i="17" s="1"/>
  <c r="AD36" i="17"/>
  <c r="AL57" i="17"/>
  <c r="BB42" i="17"/>
  <c r="BK42" i="17"/>
  <c r="BB94" i="17"/>
  <c r="BD94" i="17" s="1"/>
  <c r="BD92" i="17"/>
  <c r="BD214" i="17" s="1"/>
  <c r="BK214" i="17" s="1"/>
  <c r="BB93" i="17"/>
  <c r="BD93" i="17" s="1"/>
  <c r="BL44" i="17"/>
  <c r="BC44" i="17"/>
  <c r="AD61" i="17"/>
  <c r="Y62" i="17"/>
  <c r="AD62" i="17" s="1"/>
  <c r="AL32" i="17"/>
  <c r="AN32" i="17"/>
  <c r="BN91" i="17"/>
  <c r="BL93" i="17"/>
  <c r="BN93" i="17" s="1"/>
  <c r="BL92" i="17"/>
  <c r="BN92" i="17" s="1"/>
  <c r="BD155" i="17"/>
  <c r="BE155" i="17" s="1"/>
  <c r="AL156" i="17"/>
  <c r="AN156" i="17" s="1"/>
  <c r="AM155" i="17"/>
  <c r="F68" i="17"/>
  <c r="F50" i="17"/>
  <c r="CQ24" i="17"/>
  <c r="CR24" i="17" s="1"/>
  <c r="F25" i="17"/>
  <c r="DG45" i="1"/>
  <c r="FC8" i="1"/>
  <c r="BN63" i="1"/>
  <c r="BL97" i="1"/>
  <c r="DP45" i="1"/>
  <c r="BE63" i="1"/>
  <c r="DF45" i="1"/>
  <c r="DO45" i="1"/>
  <c r="BB63" i="1"/>
  <c r="DM45" i="1"/>
  <c r="AO62" i="12"/>
  <c r="AO60" i="12"/>
  <c r="AO66" i="12"/>
  <c r="DQ45" i="1"/>
  <c r="BF63" i="1"/>
  <c r="FC7" i="1"/>
  <c r="DH45" i="1"/>
  <c r="FC5" i="1"/>
  <c r="FC4" i="1"/>
  <c r="DE45" i="1"/>
  <c r="DN45" i="1"/>
  <c r="BC97" i="1"/>
  <c r="FC3" i="1"/>
  <c r="BL63" i="1"/>
  <c r="BM97" i="1"/>
  <c r="BC63" i="1"/>
  <c r="FC9" i="1"/>
  <c r="AO65" i="12"/>
  <c r="F60" i="1"/>
  <c r="J60" i="1"/>
  <c r="BC98" i="17" l="1"/>
  <c r="BC100" i="17" s="1"/>
  <c r="BD100" i="17" s="1"/>
  <c r="BC99" i="17"/>
  <c r="BD99" i="17" s="1"/>
  <c r="BK243" i="17" s="1"/>
  <c r="BB127" i="17"/>
  <c r="BB129" i="17" s="1"/>
  <c r="BE129" i="17" s="1"/>
  <c r="BM99" i="17"/>
  <c r="BN99" i="17" s="1"/>
  <c r="BM98" i="17"/>
  <c r="BM100" i="17" s="1"/>
  <c r="BN100" i="17" s="1"/>
  <c r="BL127" i="17"/>
  <c r="BL129" i="17" s="1"/>
  <c r="BO129" i="17" s="1"/>
  <c r="BN98" i="17"/>
  <c r="AK58" i="17"/>
  <c r="AK59" i="17" s="1"/>
  <c r="AK60" i="17" s="1"/>
  <c r="AK61" i="17" s="1"/>
  <c r="AK62" i="17" s="1"/>
  <c r="AI58" i="17"/>
  <c r="AJ58" i="17"/>
  <c r="AH58" i="17"/>
  <c r="AG58" i="17"/>
  <c r="AN50" i="17" s="1"/>
  <c r="AK33" i="17"/>
  <c r="AK34" i="17" s="1"/>
  <c r="AK35" i="17" s="1"/>
  <c r="AK36" i="17" s="1"/>
  <c r="AK37" i="17" s="1"/>
  <c r="AJ33" i="17"/>
  <c r="AJ34" i="17" s="1"/>
  <c r="AJ35" i="17" s="1"/>
  <c r="AJ36" i="17" s="1"/>
  <c r="AJ37" i="17" s="1"/>
  <c r="AI33" i="17"/>
  <c r="AI34" i="17" s="1"/>
  <c r="AI35" i="17" s="1"/>
  <c r="AI36" i="17" s="1"/>
  <c r="AI37" i="17" s="1"/>
  <c r="AH33" i="17"/>
  <c r="AH34" i="17" s="1"/>
  <c r="AH35" i="17" s="1"/>
  <c r="AH36" i="17" s="1"/>
  <c r="AH37" i="17" s="1"/>
  <c r="AG33" i="17"/>
  <c r="AG34" i="17" s="1"/>
  <c r="AG35" i="17" s="1"/>
  <c r="AP33" i="17"/>
  <c r="AN33" i="17"/>
  <c r="AO33" i="17"/>
  <c r="AW25" i="17" s="1"/>
  <c r="AR33" i="17"/>
  <c r="AQ33" i="17"/>
  <c r="BD215" i="17"/>
  <c r="BK215" i="17" s="1"/>
  <c r="AL157" i="17"/>
  <c r="AN157" i="17" s="1"/>
  <c r="BD156" i="17"/>
  <c r="BE156" i="17" s="1"/>
  <c r="AM156" i="17"/>
  <c r="BP42" i="17"/>
  <c r="F69" i="17"/>
  <c r="F51" i="17"/>
  <c r="CQ25" i="17"/>
  <c r="CR25" i="17" s="1"/>
  <c r="F26" i="17"/>
  <c r="BG42" i="17"/>
  <c r="BB44" i="17"/>
  <c r="BK44" i="17"/>
  <c r="AP59" i="12"/>
  <c r="AP66" i="12"/>
  <c r="AO63" i="12"/>
  <c r="AO59" i="12"/>
  <c r="AO67" i="12"/>
  <c r="AP58" i="12"/>
  <c r="AP63" i="12"/>
  <c r="AP57" i="12"/>
  <c r="AP67" i="12"/>
  <c r="AO64" i="12"/>
  <c r="AP60" i="12"/>
  <c r="BD98" i="17" l="1"/>
  <c r="BK232" i="17" s="1"/>
  <c r="BK254" i="17" s="1"/>
  <c r="BO127" i="17"/>
  <c r="BE127" i="17"/>
  <c r="BK233" i="17" s="1"/>
  <c r="BK255" i="17" s="1"/>
  <c r="AN49" i="17"/>
  <c r="AN54" i="17"/>
  <c r="AN52" i="17"/>
  <c r="AN51" i="17"/>
  <c r="AN46" i="17"/>
  <c r="AN55" i="17"/>
  <c r="AG59" i="17"/>
  <c r="AG60" i="17" s="1"/>
  <c r="AN48" i="17"/>
  <c r="AN47" i="17"/>
  <c r="AN53" i="17"/>
  <c r="AN44" i="17"/>
  <c r="BK45" i="17"/>
  <c r="BL45" i="17"/>
  <c r="BM45" i="17"/>
  <c r="BN45" i="17"/>
  <c r="BO45" i="17"/>
  <c r="BE45" i="17"/>
  <c r="BD45" i="17"/>
  <c r="BC45" i="17"/>
  <c r="BB45" i="17"/>
  <c r="BB57" i="17" s="1"/>
  <c r="BB58" i="17" s="1"/>
  <c r="BF45" i="17"/>
  <c r="AN45" i="17"/>
  <c r="AT22" i="17"/>
  <c r="AV22" i="17" s="1"/>
  <c r="AW28" i="17"/>
  <c r="AW23" i="17"/>
  <c r="AW21" i="17"/>
  <c r="AT23" i="17"/>
  <c r="AV23" i="17" s="1"/>
  <c r="AW24" i="17"/>
  <c r="AT27" i="17"/>
  <c r="AV27" i="17" s="1"/>
  <c r="AW26" i="17"/>
  <c r="AT24" i="17"/>
  <c r="AV24" i="17" s="1"/>
  <c r="AW20" i="17"/>
  <c r="AW29" i="17"/>
  <c r="AT26" i="17"/>
  <c r="AU26" i="17" s="1"/>
  <c r="AW19" i="17"/>
  <c r="AW30" i="17"/>
  <c r="AW27" i="17"/>
  <c r="AW22" i="17"/>
  <c r="AT21" i="17"/>
  <c r="AU21" i="17" s="1"/>
  <c r="AT29" i="17"/>
  <c r="AU29" i="17" s="1"/>
  <c r="AT25" i="17"/>
  <c r="AU25" i="17" s="1"/>
  <c r="AT30" i="17"/>
  <c r="AV30" i="17" s="1"/>
  <c r="AT28" i="17"/>
  <c r="AU28" i="17" s="1"/>
  <c r="AT20" i="17"/>
  <c r="AV20" i="17" s="1"/>
  <c r="AT19" i="17"/>
  <c r="AV19" i="17" s="1"/>
  <c r="AQ54" i="17"/>
  <c r="AQ53" i="17"/>
  <c r="AQ52" i="17"/>
  <c r="AQ46" i="17"/>
  <c r="AQ55" i="17"/>
  <c r="AQ50" i="17"/>
  <c r="AQ49" i="17"/>
  <c r="AQ45" i="17"/>
  <c r="AQ47" i="17"/>
  <c r="AQ48" i="17"/>
  <c r="AQ51" i="17"/>
  <c r="AQ44" i="17"/>
  <c r="AJ59" i="17"/>
  <c r="AJ60" i="17" s="1"/>
  <c r="AJ61" i="17" s="1"/>
  <c r="AJ62" i="17" s="1"/>
  <c r="AG36" i="17"/>
  <c r="AL35" i="17"/>
  <c r="F70" i="17"/>
  <c r="F52" i="17"/>
  <c r="CQ26" i="17"/>
  <c r="CR26" i="17" s="1"/>
  <c r="F27" i="17"/>
  <c r="AO52" i="17"/>
  <c r="AO51" i="17"/>
  <c r="AO55" i="17"/>
  <c r="AO54" i="17"/>
  <c r="AO50" i="17"/>
  <c r="AO44" i="17"/>
  <c r="AO48" i="17"/>
  <c r="AO46" i="17"/>
  <c r="AO53" i="17"/>
  <c r="AO49" i="17"/>
  <c r="AO47" i="17"/>
  <c r="AO45" i="17"/>
  <c r="AH59" i="17"/>
  <c r="AH60" i="17" s="1"/>
  <c r="AH61" i="17" s="1"/>
  <c r="AH62" i="17" s="1"/>
  <c r="AL158" i="17"/>
  <c r="AN158" i="17" s="1"/>
  <c r="BD157" i="17"/>
  <c r="BE157" i="17" s="1"/>
  <c r="AM157" i="17"/>
  <c r="AP55" i="17"/>
  <c r="AP52" i="17"/>
  <c r="AP51" i="17"/>
  <c r="AP47" i="17"/>
  <c r="AP44" i="17"/>
  <c r="AP54" i="17"/>
  <c r="AP53" i="17"/>
  <c r="AP48" i="17"/>
  <c r="AP49" i="17"/>
  <c r="AP46" i="17"/>
  <c r="AP50" i="17"/>
  <c r="AP45" i="17"/>
  <c r="AI59" i="17"/>
  <c r="AI60" i="17" s="1"/>
  <c r="AL34" i="17"/>
  <c r="AP62" i="12"/>
  <c r="AP65" i="12"/>
  <c r="AP64" i="12"/>
  <c r="AN56" i="17" l="1"/>
  <c r="AN57" i="17" s="1"/>
  <c r="AW31" i="17"/>
  <c r="AU22" i="17"/>
  <c r="AX22" i="17" s="1"/>
  <c r="AU30" i="17"/>
  <c r="AX30" i="17" s="1"/>
  <c r="AU24" i="17"/>
  <c r="AG61" i="12" s="1"/>
  <c r="AV26" i="17"/>
  <c r="AS54" i="17"/>
  <c r="AS55" i="17"/>
  <c r="AV21" i="17"/>
  <c r="AU20" i="17"/>
  <c r="AG57" i="12" s="1"/>
  <c r="AU27" i="17"/>
  <c r="AG64" i="12" s="1"/>
  <c r="AU23" i="17"/>
  <c r="AG60" i="12" s="1"/>
  <c r="AV28" i="17"/>
  <c r="AU19" i="17"/>
  <c r="AX19" i="17" s="1"/>
  <c r="AT31" i="17"/>
  <c r="AV29" i="17"/>
  <c r="AV25" i="17"/>
  <c r="AS50" i="17"/>
  <c r="AS51" i="17"/>
  <c r="AS49" i="17"/>
  <c r="AS53" i="17"/>
  <c r="AS52" i="17"/>
  <c r="AS47" i="17"/>
  <c r="AS48" i="17"/>
  <c r="AS46" i="17"/>
  <c r="AG58" i="12"/>
  <c r="AX21" i="17"/>
  <c r="AG62" i="12"/>
  <c r="AX25" i="17"/>
  <c r="AG63" i="12"/>
  <c r="AX26" i="17"/>
  <c r="AG65" i="12"/>
  <c r="AX28" i="17"/>
  <c r="AG66" i="12"/>
  <c r="AX29" i="17"/>
  <c r="AS44" i="17"/>
  <c r="AS45" i="17"/>
  <c r="BO57" i="17"/>
  <c r="BO58" i="17"/>
  <c r="BO59" i="17" s="1"/>
  <c r="BO64" i="17" s="1"/>
  <c r="BO66" i="17" s="1"/>
  <c r="BN57" i="17"/>
  <c r="BN58" i="17"/>
  <c r="BN59" i="17" s="1"/>
  <c r="AP56" i="17"/>
  <c r="BM58" i="17"/>
  <c r="BM59" i="17" s="1"/>
  <c r="BM57" i="17"/>
  <c r="AI62" i="17"/>
  <c r="AI61" i="17"/>
  <c r="BK57" i="17"/>
  <c r="BK58" i="17" s="1"/>
  <c r="AL159" i="17"/>
  <c r="AN159" i="17" s="1"/>
  <c r="BD158" i="17"/>
  <c r="BE158" i="17" s="1"/>
  <c r="AM158" i="17"/>
  <c r="BC57" i="17"/>
  <c r="BC58" i="17" s="1"/>
  <c r="AQ56" i="17"/>
  <c r="AL59" i="17"/>
  <c r="BF57" i="17"/>
  <c r="BF58" i="17"/>
  <c r="BF59" i="17" s="1"/>
  <c r="AL60" i="17"/>
  <c r="AG61" i="17"/>
  <c r="BD57" i="17"/>
  <c r="BD58" i="17"/>
  <c r="BD59" i="17" s="1"/>
  <c r="AO56" i="17"/>
  <c r="BE57" i="17"/>
  <c r="BE58" i="17"/>
  <c r="BE59" i="17" s="1"/>
  <c r="BL57" i="17"/>
  <c r="BL58" i="17" s="1"/>
  <c r="BL59" i="17" s="1"/>
  <c r="AG37" i="17"/>
  <c r="AL37" i="17" s="1"/>
  <c r="AA211" i="17" s="1"/>
  <c r="AL36" i="17"/>
  <c r="BB59" i="17"/>
  <c r="F71" i="17"/>
  <c r="F53" i="17"/>
  <c r="CQ27" i="17"/>
  <c r="CR27" i="17" s="1"/>
  <c r="F28" i="17"/>
  <c r="AP61" i="12"/>
  <c r="AO56" i="12"/>
  <c r="AO68" i="12" s="1"/>
  <c r="AI68" i="12"/>
  <c r="BF65" i="17" l="1"/>
  <c r="BF64" i="17"/>
  <c r="BF66" i="17" s="1"/>
  <c r="BL65" i="17"/>
  <c r="BL64" i="17"/>
  <c r="BL66" i="17" s="1"/>
  <c r="BE65" i="17"/>
  <c r="BE64" i="17"/>
  <c r="BE66" i="17" s="1"/>
  <c r="BB65" i="17"/>
  <c r="BB64" i="17"/>
  <c r="BB66" i="17" s="1"/>
  <c r="BD65" i="17"/>
  <c r="BD64" i="17"/>
  <c r="BD66" i="17" s="1"/>
  <c r="BM64" i="17"/>
  <c r="BM66" i="17" s="1"/>
  <c r="BM65" i="17"/>
  <c r="BO65" i="17"/>
  <c r="BN65" i="17"/>
  <c r="BN64" i="17"/>
  <c r="BN66" i="17" s="1"/>
  <c r="AG56" i="12"/>
  <c r="AX27" i="17"/>
  <c r="AG59" i="12"/>
  <c r="AG67" i="12"/>
  <c r="AX24" i="17"/>
  <c r="AX20" i="17"/>
  <c r="AX23" i="17"/>
  <c r="AU31" i="17"/>
  <c r="AS56" i="17"/>
  <c r="BL60" i="17"/>
  <c r="BL61" i="17"/>
  <c r="BC59" i="17"/>
  <c r="BG58" i="17"/>
  <c r="BH58" i="17" s="1"/>
  <c r="AO57" i="17"/>
  <c r="BP57" i="17"/>
  <c r="BQ57" i="17" s="1"/>
  <c r="BN61" i="17"/>
  <c r="BN60" i="17"/>
  <c r="F72" i="17"/>
  <c r="F54" i="17"/>
  <c r="CQ28" i="17"/>
  <c r="CR28" i="17" s="1"/>
  <c r="F29" i="17"/>
  <c r="BF61" i="17"/>
  <c r="BF60" i="17"/>
  <c r="BK59" i="17"/>
  <c r="BP58" i="17"/>
  <c r="BQ58" i="17" s="1"/>
  <c r="AL160" i="17"/>
  <c r="AN160" i="17" s="1"/>
  <c r="BD159" i="17"/>
  <c r="BE159" i="17" s="1"/>
  <c r="AM159" i="17"/>
  <c r="BG57" i="17"/>
  <c r="BH57" i="17" s="1"/>
  <c r="BB61" i="17"/>
  <c r="BB60" i="17"/>
  <c r="BD60" i="17"/>
  <c r="BD61" i="17"/>
  <c r="BE60" i="17"/>
  <c r="BE61" i="17"/>
  <c r="AG62" i="17"/>
  <c r="AL62" i="17" s="1"/>
  <c r="AA212" i="17" s="1"/>
  <c r="AE212" i="17" s="1"/>
  <c r="AL61" i="17"/>
  <c r="BO60" i="17"/>
  <c r="BO61" i="17"/>
  <c r="AE211" i="17"/>
  <c r="BM61" i="17"/>
  <c r="BM60" i="17"/>
  <c r="BG59" i="17" l="1"/>
  <c r="BH59" i="17" s="1"/>
  <c r="BC65" i="17"/>
  <c r="BG65" i="17" s="1"/>
  <c r="BK242" i="17" s="1"/>
  <c r="BC64" i="17"/>
  <c r="BC66" i="17" s="1"/>
  <c r="BG66" i="17" s="1"/>
  <c r="BK65" i="17"/>
  <c r="BP65" i="17" s="1"/>
  <c r="BK64" i="17"/>
  <c r="BK66" i="17" s="1"/>
  <c r="BP66" i="17" s="1"/>
  <c r="AQ58" i="17"/>
  <c r="AP58" i="17"/>
  <c r="AR58" i="17"/>
  <c r="AO58" i="17"/>
  <c r="AW53" i="17" s="1"/>
  <c r="AX53" i="17" s="1"/>
  <c r="AN58" i="17"/>
  <c r="G147" i="17"/>
  <c r="I147" i="17" s="1"/>
  <c r="AA209" i="17"/>
  <c r="AE209" i="17"/>
  <c r="BD160" i="17"/>
  <c r="BE160" i="17" s="1"/>
  <c r="AL161" i="17"/>
  <c r="AN161" i="17" s="1"/>
  <c r="AM160" i="17"/>
  <c r="F73" i="17"/>
  <c r="F55" i="17"/>
  <c r="CQ29" i="17"/>
  <c r="CR29" i="17" s="1"/>
  <c r="F30" i="17"/>
  <c r="BK60" i="17"/>
  <c r="BP60" i="17" s="1"/>
  <c r="BQ60" i="17" s="1"/>
  <c r="BP59" i="17"/>
  <c r="BK61" i="17"/>
  <c r="BP61" i="17" s="1"/>
  <c r="BQ61" i="17" s="1"/>
  <c r="BC61" i="17"/>
  <c r="BG61" i="17" s="1"/>
  <c r="BH61" i="17" s="1"/>
  <c r="BC60" i="17"/>
  <c r="BG60" i="17" s="1"/>
  <c r="BH60" i="17" s="1"/>
  <c r="BD213" i="17" l="1"/>
  <c r="BK213" i="17" s="1"/>
  <c r="BG64" i="17"/>
  <c r="BK231" i="17" s="1"/>
  <c r="BK253" i="17" s="1"/>
  <c r="BP64" i="17"/>
  <c r="AW46" i="17"/>
  <c r="AX46" i="17" s="1"/>
  <c r="AW54" i="17"/>
  <c r="AX54" i="17" s="1"/>
  <c r="AW44" i="17"/>
  <c r="AX44" i="17" s="1"/>
  <c r="AW49" i="17"/>
  <c r="AX49" i="17" s="1"/>
  <c r="AT54" i="17"/>
  <c r="AU54" i="17" s="1"/>
  <c r="AH66" i="12" s="1"/>
  <c r="AN66" i="12" s="1"/>
  <c r="AW47" i="17"/>
  <c r="AX47" i="17" s="1"/>
  <c r="AT49" i="17"/>
  <c r="AV49" i="17" s="1"/>
  <c r="AW51" i="17"/>
  <c r="AX51" i="17" s="1"/>
  <c r="AW52" i="17"/>
  <c r="AX52" i="17" s="1"/>
  <c r="AT53" i="17"/>
  <c r="AT44" i="17"/>
  <c r="AT52" i="17"/>
  <c r="AT45" i="17"/>
  <c r="AT55" i="17"/>
  <c r="AT46" i="17"/>
  <c r="AT48" i="17"/>
  <c r="AT50" i="17"/>
  <c r="AW50" i="17"/>
  <c r="AX50" i="17" s="1"/>
  <c r="AW48" i="17"/>
  <c r="AX48" i="17" s="1"/>
  <c r="AW45" i="17"/>
  <c r="AX45" i="17" s="1"/>
  <c r="AW55" i="17"/>
  <c r="AX55" i="17" s="1"/>
  <c r="AT51" i="17"/>
  <c r="AU51" i="17" s="1"/>
  <c r="AH63" i="12" s="1"/>
  <c r="AN63" i="12" s="1"/>
  <c r="AT47" i="17"/>
  <c r="BD161" i="17"/>
  <c r="BE161" i="17" s="1"/>
  <c r="AL162" i="17"/>
  <c r="AN162" i="17" s="1"/>
  <c r="AM161" i="17"/>
  <c r="BQ59" i="17"/>
  <c r="F74" i="17"/>
  <c r="F56" i="17"/>
  <c r="CQ30" i="17"/>
  <c r="CR30" i="17" s="1"/>
  <c r="AU49" i="17" l="1"/>
  <c r="AH61" i="12" s="1"/>
  <c r="AN61" i="12" s="1"/>
  <c r="AV54" i="17"/>
  <c r="AV51" i="17"/>
  <c r="AU52" i="17"/>
  <c r="AH64" i="12" s="1"/>
  <c r="AN64" i="12" s="1"/>
  <c r="AV52" i="17"/>
  <c r="AU44" i="17"/>
  <c r="AH56" i="12" s="1"/>
  <c r="AV44" i="17"/>
  <c r="AU50" i="17"/>
  <c r="AH62" i="12" s="1"/>
  <c r="AN62" i="12" s="1"/>
  <c r="AV50" i="17"/>
  <c r="AU48" i="17"/>
  <c r="AH60" i="12" s="1"/>
  <c r="AN60" i="12" s="1"/>
  <c r="AV48" i="17"/>
  <c r="AU47" i="17"/>
  <c r="AH59" i="12" s="1"/>
  <c r="AN59" i="12" s="1"/>
  <c r="AV47" i="17"/>
  <c r="AU46" i="17"/>
  <c r="AH58" i="12" s="1"/>
  <c r="AN58" i="12" s="1"/>
  <c r="AV46" i="17"/>
  <c r="AV55" i="17"/>
  <c r="AU55" i="17"/>
  <c r="AH67" i="12" s="1"/>
  <c r="AN67" i="12" s="1"/>
  <c r="AW56" i="17"/>
  <c r="AU45" i="17"/>
  <c r="AH57" i="12" s="1"/>
  <c r="AN57" i="12" s="1"/>
  <c r="AV45" i="17"/>
  <c r="AT56" i="17"/>
  <c r="AV53" i="17"/>
  <c r="AU53" i="17"/>
  <c r="AH65" i="12" s="1"/>
  <c r="AN65" i="12" s="1"/>
  <c r="BD162" i="17"/>
  <c r="BE162" i="17" s="1"/>
  <c r="AL163" i="17"/>
  <c r="AN163" i="17" s="1"/>
  <c r="G172" i="17" s="1"/>
  <c r="I172" i="17" s="1"/>
  <c r="AM162" i="17"/>
  <c r="G148" i="17" l="1"/>
  <c r="I148" i="17" s="1"/>
  <c r="AH68" i="12"/>
  <c r="AN56" i="12"/>
  <c r="AN68" i="12" s="1"/>
  <c r="AU56" i="17"/>
  <c r="BD163" i="17"/>
  <c r="AM163" i="17"/>
  <c r="AM164" i="17" s="1"/>
  <c r="AL164" i="17"/>
  <c r="BE163" i="17" l="1"/>
  <c r="BE164" i="17" s="1"/>
  <c r="BD166" i="17" s="1"/>
  <c r="BD164" i="17"/>
  <c r="BD168" i="17" l="1"/>
  <c r="BD169" i="17" s="1"/>
  <c r="C63" i="12"/>
  <c r="D63" i="12" s="1"/>
  <c r="BD171" i="17" l="1"/>
  <c r="CD11" i="17" s="1"/>
  <c r="G53" i="12"/>
  <c r="F20" i="14" l="1"/>
  <c r="F21" i="14" s="1"/>
  <c r="F19" i="14" s="1"/>
  <c r="T39" i="14"/>
  <c r="R39" i="14"/>
  <c r="P39" i="14"/>
  <c r="N39" i="14"/>
  <c r="L39" i="14"/>
  <c r="J39" i="14"/>
  <c r="H39" i="14"/>
  <c r="F39" i="14"/>
  <c r="D39" i="14"/>
  <c r="T38" i="14"/>
  <c r="R38" i="14"/>
  <c r="P38" i="14"/>
  <c r="N38" i="14"/>
  <c r="L38" i="14"/>
  <c r="J38" i="14"/>
  <c r="H38" i="14"/>
  <c r="F38" i="14"/>
  <c r="D38" i="14"/>
  <c r="T24" i="14"/>
  <c r="T23" i="14"/>
  <c r="R24" i="14"/>
  <c r="R23" i="14"/>
  <c r="P24" i="14"/>
  <c r="P23" i="14"/>
  <c r="N24" i="14"/>
  <c r="N23" i="14"/>
  <c r="L24" i="14"/>
  <c r="L23" i="14"/>
  <c r="J24" i="14"/>
  <c r="J23" i="14"/>
  <c r="H24" i="14"/>
  <c r="H23" i="14"/>
  <c r="F24" i="14"/>
  <c r="F23" i="14"/>
  <c r="D23" i="14"/>
  <c r="D24" i="14"/>
  <c r="B34" i="14"/>
  <c r="B33" i="14"/>
  <c r="D11" i="14"/>
  <c r="D10" i="14"/>
  <c r="D9" i="14"/>
  <c r="D8" i="14"/>
  <c r="D7" i="14"/>
  <c r="B17" i="14" s="1"/>
  <c r="C12" i="12"/>
  <c r="C18" i="12"/>
  <c r="C9" i="12"/>
  <c r="C8" i="12"/>
  <c r="C7" i="12"/>
  <c r="B21" i="12" l="1"/>
  <c r="C57" i="12"/>
  <c r="C58" i="12"/>
  <c r="D57" i="12"/>
  <c r="D58" i="12"/>
  <c r="C56" i="12"/>
  <c r="C55" i="12"/>
  <c r="C53" i="12"/>
  <c r="D56" i="12"/>
  <c r="M59" i="12"/>
  <c r="L54" i="12"/>
  <c r="M58" i="12"/>
  <c r="K63" i="12"/>
  <c r="M55" i="12"/>
  <c r="K54" i="12"/>
  <c r="L56" i="12"/>
  <c r="M60" i="12"/>
  <c r="M57" i="12"/>
  <c r="L53" i="12"/>
  <c r="K56" i="12"/>
  <c r="L58" i="12"/>
  <c r="M62" i="12"/>
  <c r="M63" i="12"/>
  <c r="K58" i="12"/>
  <c r="L60" i="12"/>
  <c r="M64" i="12"/>
  <c r="L55" i="12"/>
  <c r="K53" i="12"/>
  <c r="K60" i="12"/>
  <c r="L62" i="12"/>
  <c r="K55" i="12"/>
  <c r="L57" i="12"/>
  <c r="K62" i="12"/>
  <c r="L64" i="12"/>
  <c r="K57" i="12"/>
  <c r="L59" i="12"/>
  <c r="M56" i="12"/>
  <c r="K61" i="12"/>
  <c r="K64" i="12"/>
  <c r="M54" i="12"/>
  <c r="K59" i="12"/>
  <c r="L61" i="12"/>
  <c r="L63" i="12"/>
  <c r="B20" i="12"/>
  <c r="C14" i="12"/>
  <c r="C13" i="12"/>
  <c r="J146" i="1"/>
  <c r="AD147" i="1"/>
  <c r="AJ147" i="1" s="1"/>
  <c r="D194" i="1"/>
  <c r="D201" i="1" l="1"/>
  <c r="AJ151" i="1"/>
  <c r="BB151" i="1" s="1"/>
  <c r="O160" i="1" l="1"/>
  <c r="O161" i="1"/>
  <c r="O162" i="1"/>
  <c r="O163" i="1"/>
  <c r="O164" i="1"/>
  <c r="O165" i="1"/>
  <c r="O166" i="1"/>
  <c r="O167" i="1"/>
  <c r="O168" i="1"/>
  <c r="O169" i="1"/>
  <c r="O170" i="1"/>
  <c r="O159" i="1"/>
  <c r="L160" i="1"/>
  <c r="L161" i="1"/>
  <c r="L162" i="1"/>
  <c r="L163" i="1"/>
  <c r="L164" i="1"/>
  <c r="L165" i="1"/>
  <c r="L166" i="1"/>
  <c r="L167" i="1"/>
  <c r="L168" i="1"/>
  <c r="L169" i="1"/>
  <c r="L170" i="1"/>
  <c r="L159" i="1"/>
  <c r="I159" i="1"/>
  <c r="I160" i="1"/>
  <c r="I161" i="1"/>
  <c r="I162" i="1"/>
  <c r="I163" i="1"/>
  <c r="I164" i="1"/>
  <c r="I165" i="1"/>
  <c r="I166" i="1"/>
  <c r="I167" i="1"/>
  <c r="I168" i="1"/>
  <c r="I169" i="1"/>
  <c r="I170" i="1"/>
  <c r="AF147" i="1"/>
  <c r="AE147" i="1"/>
  <c r="AK147" i="1" s="1"/>
  <c r="AK151" i="1" s="1"/>
  <c r="Z147" i="1"/>
  <c r="Y147" i="1"/>
  <c r="Y151" i="1" s="1"/>
  <c r="Y152" i="1" s="1"/>
  <c r="AA147" i="1"/>
  <c r="Y154" i="1" l="1"/>
  <c r="Y162" i="1"/>
  <c r="Y155" i="1"/>
  <c r="Y163" i="1"/>
  <c r="Y158" i="1"/>
  <c r="Y161" i="1"/>
  <c r="Y153" i="1"/>
  <c r="Y159" i="1"/>
  <c r="Y157" i="1"/>
  <c r="Y156" i="1"/>
  <c r="Y160" i="1"/>
  <c r="AF151" i="1"/>
  <c r="BD146" i="1" s="1"/>
  <c r="AL147" i="1"/>
  <c r="AL151" i="1" s="1"/>
  <c r="BC151" i="1"/>
  <c r="AA151" i="1"/>
  <c r="AD151" i="1"/>
  <c r="BB146" i="1" s="1"/>
  <c r="AE151" i="1"/>
  <c r="BC146" i="1" s="1"/>
  <c r="Z151" i="1"/>
  <c r="Z159" i="1" l="1"/>
  <c r="Z160" i="1"/>
  <c r="Z152" i="1"/>
  <c r="Z157" i="1"/>
  <c r="Z155" i="1"/>
  <c r="Z163" i="1"/>
  <c r="Z156" i="1"/>
  <c r="Z154" i="1"/>
  <c r="Z162" i="1"/>
  <c r="Z158" i="1"/>
  <c r="Z153" i="1"/>
  <c r="Z161" i="1"/>
  <c r="AA156" i="1"/>
  <c r="AA154" i="1"/>
  <c r="AA157" i="1"/>
  <c r="AA160" i="1"/>
  <c r="AA162" i="1"/>
  <c r="AA155" i="1"/>
  <c r="AA163" i="1"/>
  <c r="AA158" i="1"/>
  <c r="AA152" i="1"/>
  <c r="AA153" i="1"/>
  <c r="AA161" i="1"/>
  <c r="AA159" i="1"/>
  <c r="AF152" i="1"/>
  <c r="AL152" i="1" s="1"/>
  <c r="BD152" i="1" s="1"/>
  <c r="AF156" i="1"/>
  <c r="AF154" i="1"/>
  <c r="AF158" i="1"/>
  <c r="AF157" i="1"/>
  <c r="BC148" i="1"/>
  <c r="BC147" i="1"/>
  <c r="BB148" i="1"/>
  <c r="BB147" i="1"/>
  <c r="BD151" i="1"/>
  <c r="BD148" i="1"/>
  <c r="BD147" i="1"/>
  <c r="AF153" i="1"/>
  <c r="AF160" i="1"/>
  <c r="AF155" i="1"/>
  <c r="AF163" i="1"/>
  <c r="AF159" i="1"/>
  <c r="AF162" i="1"/>
  <c r="AF161" i="1"/>
  <c r="AE158" i="1"/>
  <c r="AK158" i="1" s="1"/>
  <c r="AE160" i="1"/>
  <c r="AK160" i="1" s="1"/>
  <c r="AE162" i="1"/>
  <c r="AK162" i="1" s="1"/>
  <c r="AE157" i="1"/>
  <c r="AK157" i="1" s="1"/>
  <c r="AE153" i="1"/>
  <c r="AK153" i="1" s="1"/>
  <c r="AE161" i="1"/>
  <c r="AK161" i="1" s="1"/>
  <c r="AE154" i="1"/>
  <c r="AK154" i="1" s="1"/>
  <c r="AE159" i="1"/>
  <c r="AK159" i="1" s="1"/>
  <c r="AE155" i="1"/>
  <c r="AK155" i="1" s="1"/>
  <c r="AE163" i="1"/>
  <c r="AK163" i="1" s="1"/>
  <c r="AE156" i="1"/>
  <c r="AK156" i="1" s="1"/>
  <c r="AE152" i="1"/>
  <c r="AK152" i="1" s="1"/>
  <c r="BC152" i="1" s="1"/>
  <c r="AL153" i="1" l="1"/>
  <c r="AL154" i="1" s="1"/>
  <c r="AL155" i="1" s="1"/>
  <c r="AL156" i="1" s="1"/>
  <c r="AL157" i="1" s="1"/>
  <c r="AL158" i="1" s="1"/>
  <c r="AL159" i="1" s="1"/>
  <c r="AL160" i="1" s="1"/>
  <c r="AL161" i="1" s="1"/>
  <c r="AL162" i="1" s="1"/>
  <c r="AL163" i="1" s="1"/>
  <c r="AF164" i="1"/>
  <c r="Z164" i="1"/>
  <c r="AA164" i="1"/>
  <c r="BC153" i="1" l="1"/>
  <c r="Z102" i="1"/>
  <c r="AG102" i="1" s="1"/>
  <c r="EY13" i="1"/>
  <c r="EY12" i="1"/>
  <c r="EY11" i="1"/>
  <c r="EY10" i="1"/>
  <c r="EY9" i="1"/>
  <c r="EY8" i="1"/>
  <c r="EY7" i="1"/>
  <c r="EY6" i="1"/>
  <c r="EY5" i="1"/>
  <c r="EY4" i="1"/>
  <c r="EX14" i="1" s="1"/>
  <c r="BC154" i="1" l="1"/>
  <c r="EY14" i="1"/>
  <c r="Z104" i="1"/>
  <c r="Y104" i="1"/>
  <c r="AF104" i="1" s="1"/>
  <c r="AJ44" i="1"/>
  <c r="AK44" i="1"/>
  <c r="O64" i="1"/>
  <c r="AA66" i="1" s="1"/>
  <c r="O65" i="1"/>
  <c r="AA67" i="1" s="1"/>
  <c r="O66" i="1"/>
  <c r="AA68" i="1" s="1"/>
  <c r="O67" i="1"/>
  <c r="AA69" i="1" s="1"/>
  <c r="O68" i="1"/>
  <c r="AA70" i="1" s="1"/>
  <c r="O69" i="1"/>
  <c r="AA71" i="1" s="1"/>
  <c r="O70" i="1"/>
  <c r="AA72" i="1" s="1"/>
  <c r="O71" i="1"/>
  <c r="AA73" i="1" s="1"/>
  <c r="O72" i="1"/>
  <c r="AA74" i="1" s="1"/>
  <c r="O73" i="1"/>
  <c r="AA75" i="1" s="1"/>
  <c r="O74" i="1"/>
  <c r="AA76" i="1" s="1"/>
  <c r="O63" i="1"/>
  <c r="L63" i="1"/>
  <c r="L70" i="1"/>
  <c r="L71" i="1"/>
  <c r="L72" i="1"/>
  <c r="L73" i="1"/>
  <c r="L74" i="1"/>
  <c r="L64" i="1"/>
  <c r="L65" i="1"/>
  <c r="L66" i="1"/>
  <c r="L67" i="1"/>
  <c r="L68" i="1"/>
  <c r="L69" i="1"/>
  <c r="I63" i="1"/>
  <c r="I64" i="1"/>
  <c r="I65" i="1"/>
  <c r="I66" i="1"/>
  <c r="I67" i="1"/>
  <c r="I68" i="1"/>
  <c r="I69" i="1"/>
  <c r="I70" i="1"/>
  <c r="I71" i="1"/>
  <c r="I72" i="1"/>
  <c r="I73" i="1"/>
  <c r="I74" i="1"/>
  <c r="F19" i="1"/>
  <c r="F63" i="1" s="1"/>
  <c r="AB66" i="1"/>
  <c r="AC66" i="1"/>
  <c r="AB67" i="1"/>
  <c r="AC67" i="1"/>
  <c r="AB68" i="1"/>
  <c r="AC68" i="1"/>
  <c r="AB69" i="1"/>
  <c r="AC69" i="1"/>
  <c r="AB70" i="1"/>
  <c r="AC70" i="1"/>
  <c r="AB71" i="1"/>
  <c r="AC71" i="1"/>
  <c r="AB72" i="1"/>
  <c r="AC72" i="1"/>
  <c r="AB73" i="1"/>
  <c r="AC73" i="1"/>
  <c r="AB74" i="1"/>
  <c r="AC74" i="1"/>
  <c r="AB75" i="1"/>
  <c r="AC75" i="1"/>
  <c r="AB76" i="1"/>
  <c r="AC76" i="1"/>
  <c r="AK65" i="1"/>
  <c r="AJ65" i="1"/>
  <c r="BD19" i="1"/>
  <c r="BC19" i="1"/>
  <c r="BB19" i="1"/>
  <c r="BO4" i="1"/>
  <c r="BO6" i="1"/>
  <c r="BO5" i="1"/>
  <c r="BO3" i="1"/>
  <c r="F1" i="8"/>
  <c r="BB51" i="1"/>
  <c r="BB48" i="1"/>
  <c r="C11" i="12"/>
  <c r="C10" i="12"/>
  <c r="C32" i="13"/>
  <c r="Q10" i="13" s="1"/>
  <c r="S10" i="13" s="1"/>
  <c r="C29" i="13"/>
  <c r="D29" i="13"/>
  <c r="C25" i="13"/>
  <c r="D32" i="13"/>
  <c r="Z65" i="1" l="1"/>
  <c r="AJ19" i="1"/>
  <c r="AQ19" i="1"/>
  <c r="AK19" i="1"/>
  <c r="AR19" i="1"/>
  <c r="Z68" i="1"/>
  <c r="Y65" i="1"/>
  <c r="Z73" i="1"/>
  <c r="Z76" i="1"/>
  <c r="Z72" i="1"/>
  <c r="Z69" i="1"/>
  <c r="Z70" i="1"/>
  <c r="Z66" i="1"/>
  <c r="Z71" i="1"/>
  <c r="Z75" i="1"/>
  <c r="Z67" i="1"/>
  <c r="Z74" i="1"/>
  <c r="BB53" i="1"/>
  <c r="BB54" i="1" s="1"/>
  <c r="BC155" i="1"/>
  <c r="AG104" i="1"/>
  <c r="Y66" i="1"/>
  <c r="Y76" i="1"/>
  <c r="Y71" i="1"/>
  <c r="Y74" i="1"/>
  <c r="F45" i="1"/>
  <c r="Y70" i="1"/>
  <c r="Y73" i="1"/>
  <c r="Y72" i="1"/>
  <c r="Y75" i="1"/>
  <c r="Y69" i="1"/>
  <c r="Y68" i="1"/>
  <c r="Y67" i="1"/>
  <c r="BO7" i="1"/>
  <c r="BO8" i="1" s="1"/>
  <c r="R9" i="13"/>
  <c r="T9" i="13" s="1"/>
  <c r="Q9" i="13"/>
  <c r="S9" i="13" s="1"/>
  <c r="C33" i="13" s="1"/>
  <c r="C34" i="13" s="1"/>
  <c r="R10" i="13"/>
  <c r="T10" i="13" s="1"/>
  <c r="B63" i="12" l="1"/>
  <c r="BC104" i="1"/>
  <c r="BC108" i="1" s="1"/>
  <c r="BC126" i="1" s="1"/>
  <c r="BM104" i="1"/>
  <c r="BL104" i="1"/>
  <c r="BL108" i="1" s="1"/>
  <c r="BB104" i="1"/>
  <c r="D33" i="13"/>
  <c r="D34" i="13" s="1"/>
  <c r="BC156" i="1"/>
  <c r="DD359" i="11"/>
  <c r="DD357" i="11" s="1"/>
  <c r="DD356" i="11" s="1"/>
  <c r="DD355" i="11" s="1"/>
  <c r="DD354" i="11" s="1"/>
  <c r="DD353" i="11" s="1"/>
  <c r="DD352" i="11" s="1"/>
  <c r="DD351" i="11" s="1"/>
  <c r="DD350" i="11" s="1"/>
  <c r="DD349" i="11" s="1"/>
  <c r="DD348" i="11" s="1"/>
  <c r="DD347" i="11" s="1"/>
  <c r="DD346" i="11" s="1"/>
  <c r="DD345" i="11" s="1"/>
  <c r="DD344" i="11" s="1"/>
  <c r="DD343" i="11" s="1"/>
  <c r="DD342" i="11" s="1"/>
  <c r="DD341" i="11" s="1"/>
  <c r="DD340" i="11" s="1"/>
  <c r="DD339" i="11" s="1"/>
  <c r="DD338" i="11" s="1"/>
  <c r="DD337" i="11" s="1"/>
  <c r="DD336" i="11" s="1"/>
  <c r="DD335" i="11" s="1"/>
  <c r="DD334" i="11" s="1"/>
  <c r="DD333" i="11" s="1"/>
  <c r="DD332" i="11" s="1"/>
  <c r="BO9" i="1"/>
  <c r="BO10" i="1" s="1"/>
  <c r="C35" i="13" l="1"/>
  <c r="B64" i="12" s="1"/>
  <c r="BC106" i="1"/>
  <c r="BL105" i="1"/>
  <c r="BB105" i="1"/>
  <c r="BB108" i="1"/>
  <c r="BB126" i="1" s="1"/>
  <c r="BL106" i="1"/>
  <c r="BB106" i="1"/>
  <c r="BM108" i="1"/>
  <c r="BM126" i="1" s="1"/>
  <c r="BM106" i="1"/>
  <c r="BM105" i="1"/>
  <c r="BC105" i="1"/>
  <c r="BC157" i="1"/>
  <c r="BC158" i="1" l="1"/>
  <c r="O134" i="1"/>
  <c r="R145" i="1"/>
  <c r="R135" i="1"/>
  <c r="R136" i="1"/>
  <c r="R137" i="1"/>
  <c r="R138" i="1"/>
  <c r="R139" i="1"/>
  <c r="R140" i="1"/>
  <c r="R141" i="1"/>
  <c r="R142" i="1"/>
  <c r="R143" i="1"/>
  <c r="R144" i="1"/>
  <c r="R134" i="1"/>
  <c r="U135" i="1"/>
  <c r="U136" i="1"/>
  <c r="U137" i="1"/>
  <c r="U138" i="1"/>
  <c r="U139" i="1"/>
  <c r="U140" i="1"/>
  <c r="U141" i="1"/>
  <c r="U142" i="1"/>
  <c r="U143" i="1"/>
  <c r="U144" i="1"/>
  <c r="U145" i="1"/>
  <c r="U134" i="1"/>
  <c r="V146" i="1"/>
  <c r="S146" i="1"/>
  <c r="P146" i="1"/>
  <c r="M146" i="1"/>
  <c r="P171" i="1"/>
  <c r="M171" i="1"/>
  <c r="J171" i="1"/>
  <c r="P120" i="1"/>
  <c r="M120" i="1"/>
  <c r="P97" i="1"/>
  <c r="M97" i="1"/>
  <c r="J97" i="1"/>
  <c r="P75" i="1"/>
  <c r="M75" i="1"/>
  <c r="P57" i="1"/>
  <c r="M57" i="1"/>
  <c r="J57" i="1"/>
  <c r="BC78" i="1"/>
  <c r="BB78" i="1"/>
  <c r="AC57" i="1"/>
  <c r="AB57" i="1"/>
  <c r="P31" i="1"/>
  <c r="J31" i="1"/>
  <c r="M31" i="1"/>
  <c r="AM131" i="1"/>
  <c r="AO131" i="1"/>
  <c r="AM132" i="1"/>
  <c r="AO132" i="1"/>
  <c r="AM133" i="1"/>
  <c r="AO133" i="1"/>
  <c r="AM134" i="1"/>
  <c r="AO134" i="1"/>
  <c r="AM135" i="1"/>
  <c r="AO135" i="1"/>
  <c r="AM136" i="1"/>
  <c r="AO136" i="1"/>
  <c r="AM137" i="1"/>
  <c r="AO137" i="1"/>
  <c r="AM138" i="1"/>
  <c r="AO138" i="1"/>
  <c r="AM139" i="1"/>
  <c r="AO139" i="1"/>
  <c r="AM140" i="1"/>
  <c r="AO140" i="1"/>
  <c r="AM141" i="1"/>
  <c r="AO141" i="1"/>
  <c r="AO130" i="1"/>
  <c r="AM130" i="1"/>
  <c r="AM129" i="1"/>
  <c r="AC45" i="1"/>
  <c r="AK45" i="1" s="1"/>
  <c r="AC46" i="1"/>
  <c r="AK46" i="1" s="1"/>
  <c r="AC47" i="1"/>
  <c r="AK47" i="1" s="1"/>
  <c r="AC48" i="1"/>
  <c r="AK48" i="1" s="1"/>
  <c r="AC49" i="1"/>
  <c r="AK49" i="1" s="1"/>
  <c r="AC50" i="1"/>
  <c r="AK50" i="1" s="1"/>
  <c r="AC51" i="1"/>
  <c r="AK51" i="1" s="1"/>
  <c r="AC52" i="1"/>
  <c r="AK52" i="1" s="1"/>
  <c r="AC53" i="1"/>
  <c r="AK53" i="1" s="1"/>
  <c r="AC54" i="1"/>
  <c r="AK54" i="1" s="1"/>
  <c r="AB45" i="1"/>
  <c r="AJ45" i="1" s="1"/>
  <c r="AB46" i="1"/>
  <c r="AJ46" i="1" s="1"/>
  <c r="AB47" i="1"/>
  <c r="AJ47" i="1" s="1"/>
  <c r="AB48" i="1"/>
  <c r="AJ48" i="1" s="1"/>
  <c r="AB49" i="1"/>
  <c r="AJ49" i="1" s="1"/>
  <c r="AB50" i="1"/>
  <c r="AJ50" i="1" s="1"/>
  <c r="AB51" i="1"/>
  <c r="AJ51" i="1" s="1"/>
  <c r="AB52" i="1"/>
  <c r="AJ52" i="1" s="1"/>
  <c r="AB53" i="1"/>
  <c r="AJ53" i="1" s="1"/>
  <c r="AB54" i="1"/>
  <c r="AJ54" i="1" s="1"/>
  <c r="AB55" i="1"/>
  <c r="AJ55" i="1" s="1"/>
  <c r="BH16" i="1"/>
  <c r="BI16" i="1" s="1"/>
  <c r="BH15" i="1"/>
  <c r="BI15" i="1" s="1"/>
  <c r="BC159" i="1" l="1"/>
  <c r="AJ72" i="1"/>
  <c r="AK75" i="1"/>
  <c r="AK67" i="1"/>
  <c r="AK66" i="1"/>
  <c r="AK74" i="1"/>
  <c r="AK73" i="1"/>
  <c r="AJ69" i="1"/>
  <c r="AK72" i="1"/>
  <c r="AJ76" i="1"/>
  <c r="AJ68" i="1"/>
  <c r="AK71" i="1"/>
  <c r="AJ75" i="1"/>
  <c r="AJ67" i="1"/>
  <c r="AK70" i="1"/>
  <c r="AJ71" i="1"/>
  <c r="AJ70" i="1"/>
  <c r="AJ74" i="1"/>
  <c r="AJ66" i="1"/>
  <c r="AK69" i="1"/>
  <c r="AJ73" i="1"/>
  <c r="AK76" i="1"/>
  <c r="AK68" i="1"/>
  <c r="U146" i="1"/>
  <c r="R146" i="1"/>
  <c r="AC77" i="1"/>
  <c r="AC78" i="1" s="1"/>
  <c r="AB77" i="1"/>
  <c r="AB78" i="1" s="1"/>
  <c r="BH24" i="1"/>
  <c r="BI24" i="1" s="1"/>
  <c r="BJ24" i="1" s="1"/>
  <c r="BK24" i="1" s="1"/>
  <c r="BH30" i="1"/>
  <c r="BI30" i="1" s="1"/>
  <c r="BJ30" i="1" s="1"/>
  <c r="BK30" i="1" s="1"/>
  <c r="BH23" i="1"/>
  <c r="BI23" i="1" s="1"/>
  <c r="BJ23" i="1" s="1"/>
  <c r="BK23" i="1" s="1"/>
  <c r="BH21" i="1"/>
  <c r="BI21" i="1" s="1"/>
  <c r="BJ21" i="1" s="1"/>
  <c r="BK21" i="1" s="1"/>
  <c r="BH29" i="1"/>
  <c r="BI29" i="1" s="1"/>
  <c r="BJ29" i="1" s="1"/>
  <c r="BK29" i="1" s="1"/>
  <c r="BH27" i="1"/>
  <c r="BI27" i="1" s="1"/>
  <c r="BJ27" i="1" s="1"/>
  <c r="BK27" i="1" s="1"/>
  <c r="BH19" i="1"/>
  <c r="BH26" i="1"/>
  <c r="BI26" i="1" s="1"/>
  <c r="BJ26" i="1" s="1"/>
  <c r="BK26" i="1" s="1"/>
  <c r="BH28" i="1"/>
  <c r="BI28" i="1" s="1"/>
  <c r="BJ28" i="1" s="1"/>
  <c r="BK28" i="1" s="1"/>
  <c r="BH25" i="1"/>
  <c r="BI25" i="1" s="1"/>
  <c r="BJ25" i="1" s="1"/>
  <c r="BK25" i="1" s="1"/>
  <c r="BH22" i="1"/>
  <c r="BI22" i="1" s="1"/>
  <c r="BJ22" i="1" s="1"/>
  <c r="BK22" i="1" s="1"/>
  <c r="BH20" i="1"/>
  <c r="BI20" i="1" s="1"/>
  <c r="BJ20" i="1" s="1"/>
  <c r="BK20" i="1" s="1"/>
  <c r="AJ25" i="1" l="1"/>
  <c r="AQ25" i="1"/>
  <c r="AJ23" i="1"/>
  <c r="AQ23" i="1"/>
  <c r="AK22" i="1"/>
  <c r="AR22" i="1"/>
  <c r="AK24" i="1"/>
  <c r="AR24" i="1"/>
  <c r="AK27" i="1"/>
  <c r="AR27" i="1"/>
  <c r="AK30" i="1"/>
  <c r="AR30" i="1"/>
  <c r="AJ21" i="1"/>
  <c r="AQ21" i="1"/>
  <c r="AK28" i="1"/>
  <c r="AR28" i="1"/>
  <c r="AJ27" i="1"/>
  <c r="AQ27" i="1"/>
  <c r="AJ29" i="1"/>
  <c r="AQ29" i="1"/>
  <c r="AK20" i="1"/>
  <c r="AR20" i="1"/>
  <c r="AK23" i="1"/>
  <c r="AR23" i="1"/>
  <c r="AK25" i="1"/>
  <c r="AR25" i="1"/>
  <c r="AK21" i="1"/>
  <c r="AR21" i="1"/>
  <c r="AJ20" i="1"/>
  <c r="AQ20" i="1"/>
  <c r="AK29" i="1"/>
  <c r="AR29" i="1"/>
  <c r="AJ28" i="1"/>
  <c r="AQ28" i="1"/>
  <c r="AJ30" i="1"/>
  <c r="AQ30" i="1"/>
  <c r="AJ26" i="1"/>
  <c r="AQ26" i="1"/>
  <c r="AJ22" i="1"/>
  <c r="AQ22" i="1"/>
  <c r="AJ24" i="1"/>
  <c r="AQ24" i="1"/>
  <c r="AK26" i="1"/>
  <c r="AR26" i="1"/>
  <c r="BC160" i="1"/>
  <c r="AJ56" i="1"/>
  <c r="BN43" i="1" s="1"/>
  <c r="AJ77" i="1"/>
  <c r="AJ78" i="1" s="1"/>
  <c r="AJ32" i="1" s="1"/>
  <c r="AK56" i="1"/>
  <c r="AK77" i="1"/>
  <c r="AK78" i="1" s="1"/>
  <c r="AK32" i="1" s="1"/>
  <c r="BI19" i="1"/>
  <c r="BJ19" i="1" s="1"/>
  <c r="BK19" i="1" s="1"/>
  <c r="BK31" i="1" s="1"/>
  <c r="BD170" i="1" s="1"/>
  <c r="AJ31" i="1" l="1"/>
  <c r="AK31" i="1"/>
  <c r="AR31" i="1"/>
  <c r="AQ31" i="1"/>
  <c r="AR57" i="1"/>
  <c r="BO43" i="1"/>
  <c r="AJ57" i="1"/>
  <c r="AQ57" i="1"/>
  <c r="BC161" i="1"/>
  <c r="BE43" i="1"/>
  <c r="AK57" i="1"/>
  <c r="BF43" i="1"/>
  <c r="AD153" i="1"/>
  <c r="AD154" i="1"/>
  <c r="AD155" i="1"/>
  <c r="AD156" i="1"/>
  <c r="AD157" i="1"/>
  <c r="AD158" i="1"/>
  <c r="AD159" i="1"/>
  <c r="AD160" i="1"/>
  <c r="AD161" i="1"/>
  <c r="AD162" i="1"/>
  <c r="AD163" i="1"/>
  <c r="AD152" i="1"/>
  <c r="AB153" i="1"/>
  <c r="AB154" i="1"/>
  <c r="AB155" i="1"/>
  <c r="AB156" i="1"/>
  <c r="AB157" i="1"/>
  <c r="AB158" i="1"/>
  <c r="AB159" i="1"/>
  <c r="AB160" i="1"/>
  <c r="AB161" i="1"/>
  <c r="AB162" i="1"/>
  <c r="AB163" i="1"/>
  <c r="O108" i="1"/>
  <c r="AD105" i="1" s="1"/>
  <c r="L108" i="1"/>
  <c r="I108" i="1"/>
  <c r="Y105" i="1" s="1"/>
  <c r="AA102" i="1"/>
  <c r="AH102" i="1" s="1"/>
  <c r="G155" i="1"/>
  <c r="EI45" i="1" s="1"/>
  <c r="G154" i="1"/>
  <c r="F159" i="1" s="1"/>
  <c r="AG131" i="1"/>
  <c r="AG132" i="1"/>
  <c r="AG133" i="1"/>
  <c r="AG134" i="1"/>
  <c r="AG135" i="1"/>
  <c r="AG136" i="1"/>
  <c r="AG137" i="1"/>
  <c r="AG138" i="1"/>
  <c r="AG139" i="1"/>
  <c r="AG140" i="1"/>
  <c r="AG141" i="1"/>
  <c r="AG130" i="1"/>
  <c r="AN129" i="1"/>
  <c r="AL129" i="1"/>
  <c r="AK129" i="1"/>
  <c r="AK130" i="1" s="1"/>
  <c r="AE130" i="1" s="1"/>
  <c r="AP129" i="1"/>
  <c r="AQ129" i="1"/>
  <c r="AR129" i="1"/>
  <c r="AS129" i="1"/>
  <c r="AT129" i="1"/>
  <c r="AU129" i="1"/>
  <c r="AO129" i="1"/>
  <c r="Y130" i="1" s="1"/>
  <c r="G130" i="1"/>
  <c r="EI42" i="1" s="1"/>
  <c r="G129" i="1"/>
  <c r="G104" i="1"/>
  <c r="EI39" i="1" s="1"/>
  <c r="G103" i="1"/>
  <c r="F108" i="1" s="1"/>
  <c r="G81" i="1"/>
  <c r="EI35" i="1" s="1"/>
  <c r="EI36" i="1" s="1"/>
  <c r="G80" i="1"/>
  <c r="G41" i="1"/>
  <c r="EI31" i="1" s="1"/>
  <c r="G40" i="1"/>
  <c r="I135" i="1"/>
  <c r="I136" i="1"/>
  <c r="I137" i="1"/>
  <c r="I138" i="1"/>
  <c r="I139" i="1"/>
  <c r="I140" i="1"/>
  <c r="I141" i="1"/>
  <c r="I142" i="1"/>
  <c r="I143" i="1"/>
  <c r="I144" i="1"/>
  <c r="I145" i="1"/>
  <c r="I134" i="1"/>
  <c r="L135" i="1"/>
  <c r="AS131" i="1" s="1"/>
  <c r="L136" i="1"/>
  <c r="AS132" i="1" s="1"/>
  <c r="L137" i="1"/>
  <c r="AS133" i="1" s="1"/>
  <c r="L138" i="1"/>
  <c r="AS134" i="1" s="1"/>
  <c r="L139" i="1"/>
  <c r="AS135" i="1" s="1"/>
  <c r="L140" i="1"/>
  <c r="L141" i="1"/>
  <c r="AS137" i="1" s="1"/>
  <c r="L142" i="1"/>
  <c r="AS138" i="1" s="1"/>
  <c r="L143" i="1"/>
  <c r="AS139" i="1" s="1"/>
  <c r="L144" i="1"/>
  <c r="AS140" i="1" s="1"/>
  <c r="L145" i="1"/>
  <c r="AS141" i="1" s="1"/>
  <c r="AC141" i="1" s="1"/>
  <c r="L134" i="1"/>
  <c r="AS130" i="1" s="1"/>
  <c r="O135" i="1"/>
  <c r="AK131" i="1" s="1"/>
  <c r="O136" i="1"/>
  <c r="O137" i="1"/>
  <c r="O138" i="1"/>
  <c r="O139" i="1"/>
  <c r="O140" i="1"/>
  <c r="O141" i="1"/>
  <c r="O142" i="1"/>
  <c r="O143" i="1"/>
  <c r="AK139" i="1" s="1"/>
  <c r="O144" i="1"/>
  <c r="O145" i="1"/>
  <c r="I109" i="1"/>
  <c r="I110" i="1"/>
  <c r="I111" i="1"/>
  <c r="I112" i="1"/>
  <c r="I113" i="1"/>
  <c r="I114" i="1"/>
  <c r="I115" i="1"/>
  <c r="I116" i="1"/>
  <c r="I117" i="1"/>
  <c r="I118" i="1"/>
  <c r="I119" i="1"/>
  <c r="L109" i="1"/>
  <c r="L110" i="1"/>
  <c r="L111" i="1"/>
  <c r="L112" i="1"/>
  <c r="L113" i="1"/>
  <c r="L114" i="1"/>
  <c r="L115" i="1"/>
  <c r="L116" i="1"/>
  <c r="L117" i="1"/>
  <c r="L118" i="1"/>
  <c r="L119" i="1"/>
  <c r="O109" i="1"/>
  <c r="AD106" i="1" s="1"/>
  <c r="O110" i="1"/>
  <c r="O111" i="1"/>
  <c r="AD108" i="1" s="1"/>
  <c r="O112" i="1"/>
  <c r="O113" i="1"/>
  <c r="O114" i="1"/>
  <c r="O115" i="1"/>
  <c r="O116" i="1"/>
  <c r="O117" i="1"/>
  <c r="AD114" i="1" s="1"/>
  <c r="O118" i="1"/>
  <c r="O119" i="1"/>
  <c r="AD116" i="1" s="1"/>
  <c r="AK138" i="1" l="1"/>
  <c r="AS136" i="1"/>
  <c r="AK135" i="1"/>
  <c r="AK134" i="1"/>
  <c r="AR132" i="1"/>
  <c r="AR140" i="1"/>
  <c r="AB140" i="1" s="1"/>
  <c r="AR136" i="1"/>
  <c r="AB136" i="1" s="1"/>
  <c r="AR139" i="1"/>
  <c r="AB139" i="1" s="1"/>
  <c r="AR135" i="1"/>
  <c r="AR138" i="1"/>
  <c r="AR131" i="1"/>
  <c r="AR133" i="1"/>
  <c r="AR141" i="1"/>
  <c r="AR130" i="1"/>
  <c r="AB130" i="1" s="1"/>
  <c r="AR134" i="1"/>
  <c r="AR137" i="1"/>
  <c r="AB137" i="1" s="1"/>
  <c r="AK136" i="1"/>
  <c r="AK141" i="1"/>
  <c r="AK133" i="1"/>
  <c r="AK137" i="1"/>
  <c r="AK140" i="1"/>
  <c r="AB132" i="1"/>
  <c r="AK132" i="1"/>
  <c r="AR45" i="1"/>
  <c r="AR53" i="1"/>
  <c r="AR50" i="1"/>
  <c r="AR47" i="1"/>
  <c r="AR55" i="1"/>
  <c r="AR52" i="1"/>
  <c r="AR48" i="1"/>
  <c r="AR49" i="1"/>
  <c r="AR44" i="1"/>
  <c r="AR46" i="1"/>
  <c r="AR54" i="1"/>
  <c r="AR51" i="1"/>
  <c r="AD112" i="1"/>
  <c r="AD115" i="1"/>
  <c r="AD107" i="1"/>
  <c r="AD113" i="1"/>
  <c r="AD111" i="1"/>
  <c r="AD110" i="1"/>
  <c r="AD109" i="1"/>
  <c r="BF42" i="1"/>
  <c r="BO42" i="1"/>
  <c r="BE42" i="1"/>
  <c r="BN42" i="1"/>
  <c r="AT132" i="1"/>
  <c r="AD132" i="1" s="1"/>
  <c r="AT140" i="1"/>
  <c r="AD140" i="1" s="1"/>
  <c r="AT139" i="1"/>
  <c r="AD139" i="1" s="1"/>
  <c r="AT138" i="1"/>
  <c r="AD138" i="1" s="1"/>
  <c r="AT137" i="1"/>
  <c r="AD137" i="1" s="1"/>
  <c r="AT136" i="1"/>
  <c r="AD136" i="1" s="1"/>
  <c r="AT135" i="1"/>
  <c r="AD135" i="1" s="1"/>
  <c r="AT134" i="1"/>
  <c r="AD134" i="1" s="1"/>
  <c r="AT141" i="1"/>
  <c r="AD141" i="1" s="1"/>
  <c r="AT133" i="1"/>
  <c r="AD133" i="1" s="1"/>
  <c r="AQ131" i="1"/>
  <c r="AA131" i="1" s="1"/>
  <c r="AQ139" i="1"/>
  <c r="AA139" i="1" s="1"/>
  <c r="AQ136" i="1"/>
  <c r="AA136" i="1" s="1"/>
  <c r="AQ133" i="1"/>
  <c r="AA133" i="1" s="1"/>
  <c r="AQ141" i="1"/>
  <c r="AA141" i="1" s="1"/>
  <c r="AQ137" i="1"/>
  <c r="AA137" i="1" s="1"/>
  <c r="AQ134" i="1"/>
  <c r="AA134" i="1" s="1"/>
  <c r="AQ138" i="1"/>
  <c r="AA138" i="1" s="1"/>
  <c r="AQ135" i="1"/>
  <c r="AA135" i="1" s="1"/>
  <c r="AQ132" i="1"/>
  <c r="AA132" i="1" s="1"/>
  <c r="AQ140" i="1"/>
  <c r="AA140" i="1" s="1"/>
  <c r="AQ130" i="1"/>
  <c r="AA130" i="1" s="1"/>
  <c r="AT130" i="1"/>
  <c r="AD130" i="1" s="1"/>
  <c r="I146" i="1"/>
  <c r="BC162" i="1"/>
  <c r="AD164" i="1"/>
  <c r="Y164" i="1"/>
  <c r="AB152" i="1"/>
  <c r="AB164" i="1" s="1"/>
  <c r="Z105" i="1"/>
  <c r="AG105" i="1" s="1"/>
  <c r="BM109" i="1" s="1"/>
  <c r="AA104" i="1"/>
  <c r="AN131" i="1"/>
  <c r="AH131" i="1" s="1"/>
  <c r="AT131" i="1"/>
  <c r="AD131" i="1" s="1"/>
  <c r="AN130" i="1"/>
  <c r="AH130" i="1" s="1"/>
  <c r="AN136" i="1"/>
  <c r="AH136" i="1" s="1"/>
  <c r="AN141" i="1"/>
  <c r="AH141" i="1" s="1"/>
  <c r="AN133" i="1"/>
  <c r="AH133" i="1" s="1"/>
  <c r="AN140" i="1"/>
  <c r="AH140" i="1" s="1"/>
  <c r="AN132" i="1"/>
  <c r="AH132" i="1" s="1"/>
  <c r="AN138" i="1"/>
  <c r="AH138" i="1" s="1"/>
  <c r="AC137" i="1"/>
  <c r="AN137" i="1"/>
  <c r="AH137" i="1" s="1"/>
  <c r="AC135" i="1"/>
  <c r="AN135" i="1"/>
  <c r="AH135" i="1" s="1"/>
  <c r="AC134" i="1"/>
  <c r="AN134" i="1"/>
  <c r="AH134" i="1" s="1"/>
  <c r="AC139" i="1"/>
  <c r="AN139" i="1"/>
  <c r="AH139" i="1" s="1"/>
  <c r="O146" i="1"/>
  <c r="L146" i="1"/>
  <c r="I171" i="1"/>
  <c r="O171" i="1"/>
  <c r="L171" i="1"/>
  <c r="O120" i="1"/>
  <c r="I120" i="1"/>
  <c r="L120" i="1"/>
  <c r="AL133" i="1"/>
  <c r="AL137" i="1"/>
  <c r="AL141" i="1"/>
  <c r="AL136" i="1"/>
  <c r="AL134" i="1"/>
  <c r="AL138" i="1"/>
  <c r="AL130" i="1"/>
  <c r="AF130" i="1" s="1"/>
  <c r="AL132" i="1"/>
  <c r="AL140" i="1"/>
  <c r="AL131" i="1"/>
  <c r="AL135" i="1"/>
  <c r="AL139" i="1"/>
  <c r="AG142" i="1"/>
  <c r="AU132" i="1"/>
  <c r="AU136" i="1"/>
  <c r="AU140" i="1"/>
  <c r="AU130" i="1"/>
  <c r="AU133" i="1"/>
  <c r="AU137" i="1"/>
  <c r="AU141" i="1"/>
  <c r="AU134" i="1"/>
  <c r="AU138" i="1"/>
  <c r="AU131" i="1"/>
  <c r="AU135" i="1"/>
  <c r="AU139" i="1"/>
  <c r="AP131" i="1"/>
  <c r="Z131" i="1" s="1"/>
  <c r="AP135" i="1"/>
  <c r="Z135" i="1" s="1"/>
  <c r="AP139" i="1"/>
  <c r="Z139" i="1" s="1"/>
  <c r="AP132" i="1"/>
  <c r="Z132" i="1" s="1"/>
  <c r="AP136" i="1"/>
  <c r="Z136" i="1" s="1"/>
  <c r="AP140" i="1"/>
  <c r="Z140" i="1" s="1"/>
  <c r="AP130" i="1"/>
  <c r="Z130" i="1" s="1"/>
  <c r="AP134" i="1"/>
  <c r="Z134" i="1" s="1"/>
  <c r="AP138" i="1"/>
  <c r="Z138" i="1" s="1"/>
  <c r="AP133" i="1"/>
  <c r="Z133" i="1" s="1"/>
  <c r="AP137" i="1"/>
  <c r="Z137" i="1" s="1"/>
  <c r="AP141" i="1"/>
  <c r="Z141" i="1" s="1"/>
  <c r="O75" i="1"/>
  <c r="L75" i="1"/>
  <c r="I75" i="1"/>
  <c r="AB135" i="1"/>
  <c r="AB134" i="1"/>
  <c r="AB141" i="1"/>
  <c r="AB133" i="1"/>
  <c r="AB131" i="1"/>
  <c r="AB138" i="1"/>
  <c r="AC130" i="1"/>
  <c r="AC136" i="1"/>
  <c r="AC138" i="1"/>
  <c r="AC131" i="1"/>
  <c r="AC132" i="1"/>
  <c r="AC140" i="1"/>
  <c r="AC133" i="1"/>
  <c r="Y141" i="1"/>
  <c r="Y140" i="1"/>
  <c r="Y139" i="1"/>
  <c r="Y138" i="1"/>
  <c r="Y137" i="1"/>
  <c r="Y136" i="1"/>
  <c r="Y135" i="1"/>
  <c r="Y134" i="1"/>
  <c r="Y133" i="1"/>
  <c r="Y132" i="1"/>
  <c r="Y131" i="1"/>
  <c r="AR56" i="1" l="1"/>
  <c r="AB165" i="1"/>
  <c r="C152" i="1" s="1"/>
  <c r="BE44" i="1"/>
  <c r="BN44" i="1"/>
  <c r="BF44" i="1"/>
  <c r="BO44" i="1"/>
  <c r="AH104" i="1"/>
  <c r="AA105" i="1"/>
  <c r="BC163" i="1"/>
  <c r="AK164" i="1"/>
  <c r="AA142" i="1"/>
  <c r="Y142" i="1"/>
  <c r="AC142" i="1"/>
  <c r="AD142" i="1"/>
  <c r="AH142" i="1"/>
  <c r="CK11" i="1" s="1"/>
  <c r="G37" i="12" s="1"/>
  <c r="AB142" i="1"/>
  <c r="Z142" i="1"/>
  <c r="AA77" i="1"/>
  <c r="AA78" i="1" s="1"/>
  <c r="Z77" i="1"/>
  <c r="Z78" i="1" s="1"/>
  <c r="Y77" i="1"/>
  <c r="AA106" i="1"/>
  <c r="AA114" i="1"/>
  <c r="AA107" i="1"/>
  <c r="AA115" i="1"/>
  <c r="AA111" i="1"/>
  <c r="AA108" i="1"/>
  <c r="AA116" i="1"/>
  <c r="AA109" i="1"/>
  <c r="AA110" i="1"/>
  <c r="AA112" i="1"/>
  <c r="AA113" i="1"/>
  <c r="Z107" i="1"/>
  <c r="AG107" i="1" s="1"/>
  <c r="BM111" i="1" s="1"/>
  <c r="Z114" i="1"/>
  <c r="AG114" i="1" s="1"/>
  <c r="BM118" i="1" s="1"/>
  <c r="Z113" i="1"/>
  <c r="AG113" i="1" s="1"/>
  <c r="BM117" i="1" s="1"/>
  <c r="Z116" i="1"/>
  <c r="AG116" i="1" s="1"/>
  <c r="BM120" i="1" s="1"/>
  <c r="Z115" i="1"/>
  <c r="AG115" i="1" s="1"/>
  <c r="BM119" i="1" s="1"/>
  <c r="Z111" i="1"/>
  <c r="AG111" i="1" s="1"/>
  <c r="BM115" i="1" s="1"/>
  <c r="Z109" i="1"/>
  <c r="AG109" i="1" s="1"/>
  <c r="BM113" i="1" s="1"/>
  <c r="Z106" i="1"/>
  <c r="AG106" i="1" s="1"/>
  <c r="BM110" i="1" s="1"/>
  <c r="Z110" i="1"/>
  <c r="AG110" i="1" s="1"/>
  <c r="BM114" i="1" s="1"/>
  <c r="Z112" i="1"/>
  <c r="AG112" i="1" s="1"/>
  <c r="BM116" i="1" s="1"/>
  <c r="Z108" i="1"/>
  <c r="AG108" i="1" s="1"/>
  <c r="BM112" i="1" s="1"/>
  <c r="Y107" i="1"/>
  <c r="Y110" i="1"/>
  <c r="Y108" i="1"/>
  <c r="Y109" i="1"/>
  <c r="Y112" i="1"/>
  <c r="Y115" i="1"/>
  <c r="Y114" i="1"/>
  <c r="Y116" i="1"/>
  <c r="Y111" i="1"/>
  <c r="Y113" i="1"/>
  <c r="Y106" i="1"/>
  <c r="P84" i="1"/>
  <c r="O85" i="1" s="1"/>
  <c r="M84" i="1"/>
  <c r="J84" i="1"/>
  <c r="I85" i="1" s="1"/>
  <c r="C47" i="12" l="1"/>
  <c r="BM121" i="1"/>
  <c r="BM122" i="1" s="1"/>
  <c r="BN104" i="1"/>
  <c r="BD104" i="1"/>
  <c r="BD108" i="1" s="1"/>
  <c r="BD126" i="1" s="1"/>
  <c r="Z117" i="1"/>
  <c r="Z118" i="1" s="1"/>
  <c r="Y82" i="1"/>
  <c r="BC164" i="1"/>
  <c r="AB105" i="1"/>
  <c r="AB106" i="1"/>
  <c r="AB115" i="1"/>
  <c r="AB112" i="1"/>
  <c r="AB114" i="1"/>
  <c r="AB116" i="1"/>
  <c r="AB113" i="1"/>
  <c r="AB108" i="1"/>
  <c r="AB107" i="1"/>
  <c r="AB110" i="1"/>
  <c r="AB111" i="1"/>
  <c r="AA117" i="1"/>
  <c r="AA118" i="1" s="1"/>
  <c r="AB109" i="1"/>
  <c r="O92" i="1"/>
  <c r="O93" i="1"/>
  <c r="O96" i="1"/>
  <c r="O90" i="1"/>
  <c r="O86" i="1"/>
  <c r="O94" i="1"/>
  <c r="O88" i="1"/>
  <c r="O87" i="1"/>
  <c r="O95" i="1"/>
  <c r="O89" i="1"/>
  <c r="O91" i="1"/>
  <c r="I92" i="1"/>
  <c r="I93" i="1"/>
  <c r="I96" i="1"/>
  <c r="I86" i="1"/>
  <c r="I94" i="1"/>
  <c r="I90" i="1"/>
  <c r="I87" i="1"/>
  <c r="I95" i="1"/>
  <c r="I88" i="1"/>
  <c r="I89" i="1"/>
  <c r="I91" i="1"/>
  <c r="L88" i="1"/>
  <c r="L96" i="1"/>
  <c r="L92" i="1"/>
  <c r="L86" i="1"/>
  <c r="L89" i="1"/>
  <c r="L85" i="1"/>
  <c r="L90" i="1"/>
  <c r="L91" i="1"/>
  <c r="L93" i="1"/>
  <c r="L94" i="1"/>
  <c r="L87" i="1"/>
  <c r="L95" i="1"/>
  <c r="J44" i="1"/>
  <c r="I45" i="1" s="1"/>
  <c r="Y44" i="1" s="1"/>
  <c r="P44" i="1"/>
  <c r="O45" i="1" s="1"/>
  <c r="M44" i="1"/>
  <c r="P18" i="1"/>
  <c r="O19" i="1" s="1"/>
  <c r="M18" i="1"/>
  <c r="L19" i="1" s="1"/>
  <c r="J18" i="1"/>
  <c r="I19" i="1" s="1"/>
  <c r="Y19" i="1" s="1"/>
  <c r="BM128" i="1" l="1"/>
  <c r="BM127" i="1"/>
  <c r="BM129" i="1" s="1"/>
  <c r="AG65" i="1"/>
  <c r="AG19" i="1" s="1"/>
  <c r="AG44" i="1"/>
  <c r="BM124" i="1"/>
  <c r="BD105" i="1"/>
  <c r="BM123" i="1"/>
  <c r="BD106" i="1"/>
  <c r="BN108" i="1"/>
  <c r="BN126" i="1" s="1"/>
  <c r="BN106" i="1"/>
  <c r="BN105" i="1"/>
  <c r="BL78" i="1"/>
  <c r="BB79" i="1"/>
  <c r="AC82" i="1"/>
  <c r="AA44" i="1"/>
  <c r="Z19" i="1"/>
  <c r="Y93" i="1"/>
  <c r="BL89" i="1" s="1"/>
  <c r="Z82" i="1"/>
  <c r="L97" i="1"/>
  <c r="O97" i="1"/>
  <c r="I97" i="1"/>
  <c r="L22" i="1"/>
  <c r="L30" i="1"/>
  <c r="L23" i="1"/>
  <c r="L24" i="1"/>
  <c r="L25" i="1"/>
  <c r="L26" i="1"/>
  <c r="L20" i="1"/>
  <c r="L28" i="1"/>
  <c r="L21" i="1"/>
  <c r="L29" i="1"/>
  <c r="L27" i="1"/>
  <c r="O26" i="1"/>
  <c r="BB26" i="1" s="1"/>
  <c r="O27" i="1"/>
  <c r="BB27" i="1" s="1"/>
  <c r="O28" i="1"/>
  <c r="BB28" i="1" s="1"/>
  <c r="O20" i="1"/>
  <c r="O21" i="1"/>
  <c r="BB21" i="1" s="1"/>
  <c r="O29" i="1"/>
  <c r="BB29" i="1" s="1"/>
  <c r="O30" i="1"/>
  <c r="O23" i="1"/>
  <c r="BB23" i="1" s="1"/>
  <c r="O22" i="1"/>
  <c r="BB22" i="1" s="1"/>
  <c r="O24" i="1"/>
  <c r="BB24" i="1" s="1"/>
  <c r="O25" i="1"/>
  <c r="BB25" i="1" s="1"/>
  <c r="L48" i="1"/>
  <c r="L56" i="1"/>
  <c r="L52" i="1"/>
  <c r="L49" i="1"/>
  <c r="L45" i="1"/>
  <c r="L50" i="1"/>
  <c r="L54" i="1"/>
  <c r="L51" i="1"/>
  <c r="L53" i="1"/>
  <c r="L47" i="1"/>
  <c r="L55" i="1"/>
  <c r="L46" i="1"/>
  <c r="O52" i="1"/>
  <c r="O53" i="1"/>
  <c r="O50" i="1"/>
  <c r="O46" i="1"/>
  <c r="O54" i="1"/>
  <c r="O56" i="1"/>
  <c r="O47" i="1"/>
  <c r="O55" i="1"/>
  <c r="O48" i="1"/>
  <c r="O49" i="1"/>
  <c r="O51" i="1"/>
  <c r="I52" i="1"/>
  <c r="I53" i="1"/>
  <c r="I48" i="1"/>
  <c r="I46" i="1"/>
  <c r="I54" i="1"/>
  <c r="I56" i="1"/>
  <c r="I47" i="1"/>
  <c r="I55" i="1"/>
  <c r="I50" i="1"/>
  <c r="I49" i="1"/>
  <c r="I51" i="1"/>
  <c r="I20" i="1"/>
  <c r="I28" i="1"/>
  <c r="I22" i="1"/>
  <c r="I30" i="1"/>
  <c r="I23" i="1"/>
  <c r="I24" i="1"/>
  <c r="I25" i="1"/>
  <c r="I21" i="1"/>
  <c r="I26" i="1"/>
  <c r="I27" i="1"/>
  <c r="I29" i="1"/>
  <c r="BB30" i="1"/>
  <c r="F134" i="1"/>
  <c r="EI46" i="1"/>
  <c r="G145" i="1" s="1"/>
  <c r="EI43" i="1"/>
  <c r="DD360" i="11"/>
  <c r="DD361" i="11" s="1"/>
  <c r="DD362" i="11" s="1"/>
  <c r="DD363" i="11" s="1"/>
  <c r="DD364" i="11" s="1"/>
  <c r="DD365" i="11" s="1"/>
  <c r="DD366" i="11" s="1"/>
  <c r="DD367" i="11" s="1"/>
  <c r="DD368" i="11" s="1"/>
  <c r="DD369" i="11" s="1"/>
  <c r="DD370" i="11" s="1"/>
  <c r="DD371" i="11" s="1"/>
  <c r="DD372" i="11" s="1"/>
  <c r="DD373" i="11" s="1"/>
  <c r="DD374" i="11" s="1"/>
  <c r="DD375" i="11" s="1"/>
  <c r="DD376" i="11" s="1"/>
  <c r="DD377" i="11" s="1"/>
  <c r="DD378" i="11" s="1"/>
  <c r="DD379" i="11" s="1"/>
  <c r="DD380" i="11" s="1"/>
  <c r="DD381" i="11" s="1"/>
  <c r="DD382" i="11" s="1"/>
  <c r="DD383" i="11" s="1"/>
  <c r="DD384" i="11" s="1"/>
  <c r="DD385" i="11" s="1"/>
  <c r="DD386" i="11" s="1"/>
  <c r="DD387" i="11" s="1"/>
  <c r="DD388" i="11" s="1"/>
  <c r="DD389" i="11" s="1"/>
  <c r="DD390" i="11" s="1"/>
  <c r="DD391" i="11" s="1"/>
  <c r="DD392" i="11" s="1"/>
  <c r="DD393" i="11" s="1"/>
  <c r="DD394" i="11" s="1"/>
  <c r="DD395" i="11" s="1"/>
  <c r="DD396" i="11" s="1"/>
  <c r="DD397" i="11" s="1"/>
  <c r="DD398" i="11" s="1"/>
  <c r="Z83" i="1"/>
  <c r="BM79" i="1" s="1"/>
  <c r="Z84" i="1"/>
  <c r="BM80" i="1" s="1"/>
  <c r="Z85" i="1"/>
  <c r="BM81" i="1" s="1"/>
  <c r="Z86" i="1"/>
  <c r="BM82" i="1" s="1"/>
  <c r="Z87" i="1"/>
  <c r="BM83" i="1" s="1"/>
  <c r="Z88" i="1"/>
  <c r="BM84" i="1" s="1"/>
  <c r="Z89" i="1"/>
  <c r="BM85" i="1" s="1"/>
  <c r="Z90" i="1"/>
  <c r="BM86" i="1" s="1"/>
  <c r="Z91" i="1"/>
  <c r="BM87" i="1" s="1"/>
  <c r="Z92" i="1"/>
  <c r="BM88" i="1" s="1"/>
  <c r="Z93" i="1"/>
  <c r="BM89" i="1" s="1"/>
  <c r="Y83" i="1"/>
  <c r="BL79" i="1" s="1"/>
  <c r="Y84" i="1"/>
  <c r="BL80" i="1" s="1"/>
  <c r="Y85" i="1"/>
  <c r="BL81" i="1" s="1"/>
  <c r="Y86" i="1"/>
  <c r="BL82" i="1" s="1"/>
  <c r="Y87" i="1"/>
  <c r="BL83" i="1" s="1"/>
  <c r="Y88" i="1"/>
  <c r="BL84" i="1" s="1"/>
  <c r="Y89" i="1"/>
  <c r="BL85" i="1" s="1"/>
  <c r="Y90" i="1"/>
  <c r="BL86" i="1" s="1"/>
  <c r="Y91" i="1"/>
  <c r="BL87" i="1" s="1"/>
  <c r="Y92" i="1"/>
  <c r="BL88" i="1" s="1"/>
  <c r="BB20" i="1"/>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5" i="8"/>
  <c r="F85" i="1"/>
  <c r="EI40" i="1"/>
  <c r="G88" i="1" s="1"/>
  <c r="EI32" i="1"/>
  <c r="EI27" i="1"/>
  <c r="EI28" i="1" s="1"/>
  <c r="Z44" i="1" l="1"/>
  <c r="AH44" i="1" s="1"/>
  <c r="AZ19" i="1"/>
  <c r="G27" i="1"/>
  <c r="G19" i="1"/>
  <c r="G26" i="1"/>
  <c r="G28" i="1"/>
  <c r="G25" i="1"/>
  <c r="G30" i="1"/>
  <c r="G21" i="1"/>
  <c r="G20" i="1"/>
  <c r="G24" i="1"/>
  <c r="G23" i="1"/>
  <c r="G22" i="1"/>
  <c r="G29" i="1"/>
  <c r="BN82" i="1"/>
  <c r="BN81" i="1"/>
  <c r="BN83" i="1"/>
  <c r="BN80" i="1"/>
  <c r="BN87" i="1"/>
  <c r="BN88" i="1"/>
  <c r="BN79" i="1"/>
  <c r="BC79" i="1"/>
  <c r="BM78" i="1"/>
  <c r="BM90" i="1" s="1"/>
  <c r="BN89" i="1"/>
  <c r="BN86" i="1"/>
  <c r="BN85" i="1"/>
  <c r="BN84" i="1"/>
  <c r="BL90" i="1"/>
  <c r="Z28" i="1"/>
  <c r="BA28" i="1" s="1"/>
  <c r="BB87" i="1"/>
  <c r="AC90" i="1"/>
  <c r="BB85" i="1"/>
  <c r="AC88" i="1"/>
  <c r="BC87" i="1"/>
  <c r="AD90" i="1"/>
  <c r="AE90" i="1" s="1"/>
  <c r="AG90" i="1" s="1"/>
  <c r="BB83" i="1"/>
  <c r="AC86" i="1"/>
  <c r="BC86" i="1"/>
  <c r="AD89" i="1"/>
  <c r="AE89" i="1" s="1"/>
  <c r="AG89" i="1" s="1"/>
  <c r="BC81" i="1"/>
  <c r="AD84" i="1"/>
  <c r="AE84" i="1" s="1"/>
  <c r="AG84" i="1" s="1"/>
  <c r="BB90" i="1"/>
  <c r="AC93" i="1"/>
  <c r="BC88" i="1"/>
  <c r="AD91" i="1"/>
  <c r="AE91" i="1" s="1"/>
  <c r="AG91" i="1" s="1"/>
  <c r="BC90" i="1"/>
  <c r="AD93" i="1"/>
  <c r="AE93" i="1" s="1"/>
  <c r="AG93" i="1" s="1"/>
  <c r="BB86" i="1"/>
  <c r="AC89" i="1"/>
  <c r="BC80" i="1"/>
  <c r="AD83" i="1"/>
  <c r="AE83" i="1" s="1"/>
  <c r="AG83" i="1" s="1"/>
  <c r="BC85" i="1"/>
  <c r="AD88" i="1"/>
  <c r="AE88" i="1" s="1"/>
  <c r="AG88" i="1" s="1"/>
  <c r="BB89" i="1"/>
  <c r="AC92" i="1"/>
  <c r="BB81" i="1"/>
  <c r="AC84" i="1"/>
  <c r="BC84" i="1"/>
  <c r="AD87" i="1"/>
  <c r="AE87" i="1" s="1"/>
  <c r="AG87" i="1" s="1"/>
  <c r="AD82" i="1"/>
  <c r="AE82" i="1" s="1"/>
  <c r="AG82" i="1" s="1"/>
  <c r="BC82" i="1"/>
  <c r="AD85" i="1"/>
  <c r="AE85" i="1" s="1"/>
  <c r="AG85" i="1" s="1"/>
  <c r="BC89" i="1"/>
  <c r="AD92" i="1"/>
  <c r="AE92" i="1" s="1"/>
  <c r="AG92" i="1" s="1"/>
  <c r="BB84" i="1"/>
  <c r="AC87" i="1"/>
  <c r="BB82" i="1"/>
  <c r="AC85" i="1"/>
  <c r="BB88" i="1"/>
  <c r="AC91" i="1"/>
  <c r="BB80" i="1"/>
  <c r="AC83" i="1"/>
  <c r="BC83" i="1"/>
  <c r="AD86" i="1"/>
  <c r="AE86" i="1" s="1"/>
  <c r="AG86" i="1" s="1"/>
  <c r="Z50" i="1"/>
  <c r="Z47" i="1"/>
  <c r="AA55" i="1"/>
  <c r="AI55" i="1" s="1"/>
  <c r="Z48" i="1"/>
  <c r="Z52" i="1"/>
  <c r="AA53" i="1"/>
  <c r="AI53" i="1" s="1"/>
  <c r="Z45" i="1"/>
  <c r="Z49" i="1"/>
  <c r="Z51" i="1"/>
  <c r="AA45" i="1"/>
  <c r="AI45" i="1" s="1"/>
  <c r="Z54" i="1"/>
  <c r="AA50" i="1"/>
  <c r="AI50" i="1" s="1"/>
  <c r="AA49" i="1"/>
  <c r="AI49" i="1" s="1"/>
  <c r="AA46" i="1"/>
  <c r="AI46" i="1" s="1"/>
  <c r="Z46" i="1"/>
  <c r="AA48" i="1"/>
  <c r="AI48" i="1" s="1"/>
  <c r="AA52" i="1"/>
  <c r="AI52" i="1" s="1"/>
  <c r="AH65" i="1"/>
  <c r="Z55" i="1"/>
  <c r="AA47" i="1"/>
  <c r="AI47" i="1" s="1"/>
  <c r="AA51" i="1"/>
  <c r="AI51" i="1" s="1"/>
  <c r="Z53" i="1"/>
  <c r="AA54" i="1"/>
  <c r="AI54" i="1" s="1"/>
  <c r="Y55" i="1"/>
  <c r="AG55" i="1" s="1"/>
  <c r="Y52" i="1"/>
  <c r="AG52" i="1" s="1"/>
  <c r="Z29" i="1"/>
  <c r="BA29" i="1" s="1"/>
  <c r="Z24" i="1"/>
  <c r="BA24" i="1" s="1"/>
  <c r="Z27" i="1"/>
  <c r="BA27" i="1" s="1"/>
  <c r="Z30" i="1"/>
  <c r="BA30" i="1" s="1"/>
  <c r="Y26" i="1"/>
  <c r="Y20" i="1"/>
  <c r="Z21" i="1"/>
  <c r="BA21" i="1" s="1"/>
  <c r="Z22" i="1"/>
  <c r="BA22" i="1" s="1"/>
  <c r="Y28" i="1"/>
  <c r="Y25" i="1"/>
  <c r="Z20" i="1"/>
  <c r="BA20" i="1" s="1"/>
  <c r="Y21" i="1"/>
  <c r="Y24" i="1"/>
  <c r="Z26" i="1"/>
  <c r="BA26" i="1" s="1"/>
  <c r="Y23" i="1"/>
  <c r="Z25" i="1"/>
  <c r="BA25" i="1" s="1"/>
  <c r="Y30" i="1"/>
  <c r="BA19" i="1"/>
  <c r="Y27" i="1"/>
  <c r="Y29" i="1"/>
  <c r="Y22" i="1"/>
  <c r="Z23" i="1"/>
  <c r="BA23" i="1" s="1"/>
  <c r="AD19" i="1"/>
  <c r="AI76" i="1"/>
  <c r="AI66" i="1"/>
  <c r="AI44" i="1"/>
  <c r="AI65" i="1"/>
  <c r="AI72" i="1"/>
  <c r="Y48" i="1"/>
  <c r="AG48" i="1" s="1"/>
  <c r="Y45" i="1"/>
  <c r="AG45" i="1" s="1"/>
  <c r="Y50" i="1"/>
  <c r="AG50" i="1" s="1"/>
  <c r="Y47" i="1"/>
  <c r="AG47" i="1" s="1"/>
  <c r="Y49" i="1"/>
  <c r="AG49" i="1" s="1"/>
  <c r="Y53" i="1"/>
  <c r="AG53" i="1" s="1"/>
  <c r="Y51" i="1"/>
  <c r="AG51" i="1" s="1"/>
  <c r="Y54" i="1"/>
  <c r="Y46" i="1"/>
  <c r="AG46" i="1" s="1"/>
  <c r="BC30" i="1"/>
  <c r="BC23" i="1"/>
  <c r="BD20" i="1"/>
  <c r="BD25" i="1"/>
  <c r="BD26" i="1"/>
  <c r="BD24" i="1"/>
  <c r="BC26" i="1"/>
  <c r="BC20" i="1"/>
  <c r="BD27" i="1"/>
  <c r="BD23" i="1"/>
  <c r="BC29" i="1"/>
  <c r="BC21" i="1"/>
  <c r="BD29" i="1"/>
  <c r="BD30" i="1"/>
  <c r="BC25" i="1"/>
  <c r="BD21" i="1"/>
  <c r="BD22" i="1"/>
  <c r="BC24" i="1"/>
  <c r="BD28" i="1"/>
  <c r="BB31" i="1"/>
  <c r="O57" i="1"/>
  <c r="AA57" i="1" s="1"/>
  <c r="L57" i="1"/>
  <c r="I57" i="1"/>
  <c r="Y57" i="1" s="1"/>
  <c r="I31" i="1"/>
  <c r="Y32" i="1" s="1"/>
  <c r="L31" i="1"/>
  <c r="O31" i="1"/>
  <c r="BC22" i="1"/>
  <c r="BC27" i="1"/>
  <c r="BC28" i="1"/>
  <c r="G159" i="1"/>
  <c r="G160" i="1"/>
  <c r="F160" i="1" s="1"/>
  <c r="G168" i="1"/>
  <c r="G161" i="1"/>
  <c r="G169" i="1"/>
  <c r="G162" i="1"/>
  <c r="G170" i="1"/>
  <c r="G163" i="1"/>
  <c r="G164" i="1"/>
  <c r="G108" i="1"/>
  <c r="AM105" i="1" s="1"/>
  <c r="G165" i="1"/>
  <c r="G166" i="1"/>
  <c r="G167" i="1"/>
  <c r="AE131" i="1"/>
  <c r="AE132" i="1"/>
  <c r="AE133" i="1"/>
  <c r="AE134" i="1"/>
  <c r="AE135" i="1"/>
  <c r="AE136" i="1"/>
  <c r="AE137" i="1"/>
  <c r="AE138" i="1"/>
  <c r="AE139" i="1"/>
  <c r="AE140" i="1"/>
  <c r="AE141" i="1"/>
  <c r="AF131" i="1"/>
  <c r="AF132" i="1"/>
  <c r="AF133" i="1"/>
  <c r="AF134" i="1"/>
  <c r="AF135" i="1"/>
  <c r="AF136" i="1"/>
  <c r="AF137" i="1"/>
  <c r="AF138" i="1"/>
  <c r="AF139" i="1"/>
  <c r="AF140" i="1"/>
  <c r="AF141" i="1"/>
  <c r="G117" i="1"/>
  <c r="AM114" i="1" s="1"/>
  <c r="AN114" i="1" s="1"/>
  <c r="AO114" i="1" s="1"/>
  <c r="G113" i="1"/>
  <c r="AM110" i="1" s="1"/>
  <c r="AN110" i="1" s="1"/>
  <c r="AO110" i="1" s="1"/>
  <c r="G109" i="1"/>
  <c r="G134" i="1"/>
  <c r="AJ130" i="1" s="1"/>
  <c r="G138" i="1"/>
  <c r="AJ134" i="1" s="1"/>
  <c r="G142" i="1"/>
  <c r="AJ138" i="1" s="1"/>
  <c r="G135" i="1"/>
  <c r="AJ131" i="1" s="1"/>
  <c r="G139" i="1"/>
  <c r="AJ135" i="1" s="1"/>
  <c r="G143" i="1"/>
  <c r="AJ139" i="1" s="1"/>
  <c r="G136" i="1"/>
  <c r="AJ132" i="1" s="1"/>
  <c r="G140" i="1"/>
  <c r="AJ136" i="1" s="1"/>
  <c r="G144" i="1"/>
  <c r="AJ140" i="1" s="1"/>
  <c r="G137" i="1"/>
  <c r="AJ133" i="1" s="1"/>
  <c r="G141" i="1"/>
  <c r="AJ137" i="1" s="1"/>
  <c r="AJ141" i="1"/>
  <c r="G95" i="1"/>
  <c r="G91" i="1"/>
  <c r="G87" i="1"/>
  <c r="G94" i="1"/>
  <c r="G90" i="1"/>
  <c r="G86" i="1"/>
  <c r="F86" i="1" s="1"/>
  <c r="G116" i="1"/>
  <c r="AM113" i="1" s="1"/>
  <c r="AN113" i="1" s="1"/>
  <c r="AO113" i="1" s="1"/>
  <c r="G112" i="1"/>
  <c r="AM109" i="1" s="1"/>
  <c r="AN109" i="1" s="1"/>
  <c r="AO109" i="1" s="1"/>
  <c r="G93" i="1"/>
  <c r="G89" i="1"/>
  <c r="G85" i="1"/>
  <c r="G119" i="1"/>
  <c r="AM116" i="1" s="1"/>
  <c r="AN116" i="1" s="1"/>
  <c r="AO116" i="1" s="1"/>
  <c r="G115" i="1"/>
  <c r="AM112" i="1" s="1"/>
  <c r="AN112" i="1" s="1"/>
  <c r="AO112" i="1" s="1"/>
  <c r="G111" i="1"/>
  <c r="AM108" i="1" s="1"/>
  <c r="AN108" i="1" s="1"/>
  <c r="AO108" i="1" s="1"/>
  <c r="G96" i="1"/>
  <c r="G92" i="1"/>
  <c r="G118" i="1"/>
  <c r="AM115" i="1" s="1"/>
  <c r="AN115" i="1" s="1"/>
  <c r="AO115" i="1" s="1"/>
  <c r="G114" i="1"/>
  <c r="AM111" i="1" s="1"/>
  <c r="AN111" i="1" s="1"/>
  <c r="AO111" i="1" s="1"/>
  <c r="G110" i="1"/>
  <c r="AM107" i="1" s="1"/>
  <c r="AN107" i="1" s="1"/>
  <c r="AO107" i="1" s="1"/>
  <c r="AD117" i="1"/>
  <c r="AD65" i="1"/>
  <c r="G149" i="1" l="1"/>
  <c r="AG73" i="1"/>
  <c r="AG27" i="1" s="1"/>
  <c r="BE19" i="1"/>
  <c r="AI19" i="1"/>
  <c r="AP19" i="1"/>
  <c r="AH19" i="1"/>
  <c r="AI20" i="1"/>
  <c r="AP20" i="1"/>
  <c r="AI30" i="1"/>
  <c r="AP30" i="1"/>
  <c r="AI26" i="1"/>
  <c r="AP26" i="1"/>
  <c r="BN78" i="1"/>
  <c r="AF113" i="1"/>
  <c r="AM64" i="12"/>
  <c r="AF112" i="1"/>
  <c r="AM63" i="12"/>
  <c r="AF108" i="1"/>
  <c r="AM59" i="12"/>
  <c r="AF116" i="1"/>
  <c r="AM67" i="12"/>
  <c r="AF109" i="1"/>
  <c r="AM60" i="12"/>
  <c r="AF110" i="1"/>
  <c r="AM61" i="12"/>
  <c r="AF107" i="1"/>
  <c r="AM58" i="12"/>
  <c r="AF111" i="1"/>
  <c r="AM62" i="12"/>
  <c r="AF114" i="1"/>
  <c r="AM65" i="12"/>
  <c r="AF115" i="1"/>
  <c r="AM66" i="12"/>
  <c r="AF39" i="12"/>
  <c r="AL39" i="12" s="1"/>
  <c r="AN105" i="1"/>
  <c r="AO105" i="1" s="1"/>
  <c r="AF105" i="1" s="1"/>
  <c r="AK105" i="1" s="1"/>
  <c r="BL91" i="1"/>
  <c r="BN90" i="1"/>
  <c r="BM91" i="1"/>
  <c r="AD30" i="1"/>
  <c r="AH105" i="1"/>
  <c r="AJ156" i="1"/>
  <c r="AN156" i="1" s="1"/>
  <c r="AH109" i="1"/>
  <c r="BN113" i="1" s="1"/>
  <c r="AJ155" i="1"/>
  <c r="AN155" i="1" s="1"/>
  <c r="AH108" i="1"/>
  <c r="BN112" i="1" s="1"/>
  <c r="AJ159" i="1"/>
  <c r="AN159" i="1" s="1"/>
  <c r="AH112" i="1"/>
  <c r="BN116" i="1" s="1"/>
  <c r="AJ162" i="1"/>
  <c r="AN162" i="1" s="1"/>
  <c r="AH115" i="1"/>
  <c r="BN119" i="1" s="1"/>
  <c r="AJ163" i="1"/>
  <c r="AN163" i="1" s="1"/>
  <c r="AH116" i="1"/>
  <c r="BN120" i="1" s="1"/>
  <c r="AJ154" i="1"/>
  <c r="AN154" i="1" s="1"/>
  <c r="AH107" i="1"/>
  <c r="BN111" i="1" s="1"/>
  <c r="AJ157" i="1"/>
  <c r="AN157" i="1" s="1"/>
  <c r="AH110" i="1"/>
  <c r="BN114" i="1" s="1"/>
  <c r="AJ160" i="1"/>
  <c r="AN160" i="1" s="1"/>
  <c r="AH113" i="1"/>
  <c r="BN117" i="1" s="1"/>
  <c r="AJ158" i="1"/>
  <c r="AN158" i="1" s="1"/>
  <c r="AH111" i="1"/>
  <c r="BN115" i="1" s="1"/>
  <c r="AJ161" i="1"/>
  <c r="AN161" i="1" s="1"/>
  <c r="AH114" i="1"/>
  <c r="BN118" i="1" s="1"/>
  <c r="AF89" i="1"/>
  <c r="AI46" i="12" s="1"/>
  <c r="AI68" i="1"/>
  <c r="AI69" i="1"/>
  <c r="AF87" i="1"/>
  <c r="AI44" i="12" s="1"/>
  <c r="AF82" i="1"/>
  <c r="AI39" i="12" s="1"/>
  <c r="AF86" i="1"/>
  <c r="AI43" i="12" s="1"/>
  <c r="AF91" i="1"/>
  <c r="AI48" i="12" s="1"/>
  <c r="BB91" i="1"/>
  <c r="BB92" i="1" s="1"/>
  <c r="BC91" i="1"/>
  <c r="BC92" i="1" s="1"/>
  <c r="AD52" i="1"/>
  <c r="AF92" i="1"/>
  <c r="AI49" i="12" s="1"/>
  <c r="AI73" i="1"/>
  <c r="AI74" i="1"/>
  <c r="AI67" i="1"/>
  <c r="AF88" i="1"/>
  <c r="AI45" i="12" s="1"/>
  <c r="AD94" i="1"/>
  <c r="Z56" i="1"/>
  <c r="AF85" i="1"/>
  <c r="AI42" i="12" s="1"/>
  <c r="AF83" i="1"/>
  <c r="AI40" i="12" s="1"/>
  <c r="AC94" i="1"/>
  <c r="AF93" i="1"/>
  <c r="AI50" i="12" s="1"/>
  <c r="AF90" i="1"/>
  <c r="AI47" i="12" s="1"/>
  <c r="AI70" i="1"/>
  <c r="AF84" i="1"/>
  <c r="AI41" i="12" s="1"/>
  <c r="AH53" i="1"/>
  <c r="AH74" i="1"/>
  <c r="AH54" i="1"/>
  <c r="AH75" i="1"/>
  <c r="AH45" i="1"/>
  <c r="AH66" i="1"/>
  <c r="Z57" i="1"/>
  <c r="AH46" i="1"/>
  <c r="AH67" i="1"/>
  <c r="AI75" i="1"/>
  <c r="AH47" i="1"/>
  <c r="AH68" i="1"/>
  <c r="AA56" i="1"/>
  <c r="AI71" i="1"/>
  <c r="AH51" i="1"/>
  <c r="AH72" i="1"/>
  <c r="AH52" i="1"/>
  <c r="AH73" i="1"/>
  <c r="AH50" i="1"/>
  <c r="AH71" i="1"/>
  <c r="AH55" i="1"/>
  <c r="AH76" i="1"/>
  <c r="AH49" i="1"/>
  <c r="AH70" i="1"/>
  <c r="AH48" i="1"/>
  <c r="AH69" i="1"/>
  <c r="AD54" i="1"/>
  <c r="AG54" i="1"/>
  <c r="Z32" i="1"/>
  <c r="Y31" i="1"/>
  <c r="Z31" i="1"/>
  <c r="AZ26" i="1"/>
  <c r="BE26" i="1" s="1"/>
  <c r="AD26" i="1"/>
  <c r="AZ30" i="1"/>
  <c r="BE30" i="1" s="1"/>
  <c r="AZ25" i="1"/>
  <c r="BE25" i="1" s="1"/>
  <c r="AD25" i="1"/>
  <c r="AZ21" i="1"/>
  <c r="BE21" i="1" s="1"/>
  <c r="AD21" i="1"/>
  <c r="AZ22" i="1"/>
  <c r="BE22" i="1" s="1"/>
  <c r="AD22" i="1"/>
  <c r="AZ24" i="1"/>
  <c r="BE24" i="1" s="1"/>
  <c r="AD24" i="1"/>
  <c r="AZ27" i="1"/>
  <c r="BE27" i="1" s="1"/>
  <c r="AD27" i="1"/>
  <c r="AZ29" i="1"/>
  <c r="BE29" i="1" s="1"/>
  <c r="AD29" i="1"/>
  <c r="AZ20" i="1"/>
  <c r="BE20" i="1" s="1"/>
  <c r="AD20" i="1"/>
  <c r="AZ23" i="1"/>
  <c r="BE23" i="1" s="1"/>
  <c r="AD23" i="1"/>
  <c r="AZ28" i="1"/>
  <c r="BE28" i="1" s="1"/>
  <c r="AD28" i="1"/>
  <c r="AF50" i="12"/>
  <c r="AL50" i="12" s="1"/>
  <c r="AF48" i="12"/>
  <c r="AL48" i="12" s="1"/>
  <c r="AF41" i="12"/>
  <c r="AL41" i="12" s="1"/>
  <c r="AF46" i="12"/>
  <c r="AL46" i="12" s="1"/>
  <c r="AF43" i="12"/>
  <c r="AL43" i="12" s="1"/>
  <c r="AF45" i="12"/>
  <c r="AL45" i="12" s="1"/>
  <c r="AF44" i="12"/>
  <c r="AL44" i="12" s="1"/>
  <c r="AF47" i="12"/>
  <c r="AL47" i="12" s="1"/>
  <c r="AF49" i="12"/>
  <c r="AL49" i="12" s="1"/>
  <c r="AF42" i="12"/>
  <c r="AL42" i="12" s="1"/>
  <c r="G64" i="1"/>
  <c r="AF40" i="12"/>
  <c r="AL40" i="12" s="1"/>
  <c r="AL44" i="1"/>
  <c r="AG71" i="1"/>
  <c r="AG66" i="1"/>
  <c r="AG76" i="1"/>
  <c r="AG67" i="1"/>
  <c r="AG69" i="1"/>
  <c r="AG75" i="1"/>
  <c r="AG72" i="1"/>
  <c r="AL65" i="1"/>
  <c r="AG74" i="1"/>
  <c r="AG70" i="1"/>
  <c r="AI56" i="1"/>
  <c r="AG68" i="1"/>
  <c r="AD48" i="1"/>
  <c r="AD45" i="1"/>
  <c r="AD47" i="1"/>
  <c r="AD50" i="1"/>
  <c r="F109" i="1"/>
  <c r="F110" i="1" s="1"/>
  <c r="AM106" i="1"/>
  <c r="AN106" i="1" s="1"/>
  <c r="AO106" i="1" s="1"/>
  <c r="AD53" i="1"/>
  <c r="AD55" i="1"/>
  <c r="AD51" i="1"/>
  <c r="AD46" i="1"/>
  <c r="AD49" i="1"/>
  <c r="G50" i="1"/>
  <c r="G68" i="1"/>
  <c r="G48" i="1"/>
  <c r="G66" i="1"/>
  <c r="G49" i="1"/>
  <c r="G67" i="1"/>
  <c r="G47" i="1"/>
  <c r="G65" i="1"/>
  <c r="G56" i="1"/>
  <c r="G74" i="1"/>
  <c r="G52" i="1"/>
  <c r="G70" i="1"/>
  <c r="G51" i="1"/>
  <c r="G69" i="1"/>
  <c r="G55" i="1"/>
  <c r="G73" i="1"/>
  <c r="G54" i="1"/>
  <c r="G72" i="1"/>
  <c r="G53" i="1"/>
  <c r="G71" i="1"/>
  <c r="G45" i="1"/>
  <c r="G63" i="1"/>
  <c r="F20" i="1"/>
  <c r="CQ20" i="1" s="1"/>
  <c r="CR20" i="1" s="1"/>
  <c r="G46" i="1"/>
  <c r="BD31" i="1"/>
  <c r="AC31" i="1"/>
  <c r="AR32" i="1" s="1"/>
  <c r="AF142" i="1"/>
  <c r="AE142" i="1"/>
  <c r="BB55" i="1" s="1"/>
  <c r="BA31" i="1"/>
  <c r="AD44" i="1"/>
  <c r="BC31" i="1"/>
  <c r="AC56" i="1"/>
  <c r="AB31" i="1"/>
  <c r="AQ32" i="1" s="1"/>
  <c r="BL27" i="1"/>
  <c r="BM27" i="1" s="1"/>
  <c r="BL19" i="1"/>
  <c r="BM19" i="1" s="1"/>
  <c r="BL30" i="1"/>
  <c r="BM30" i="1" s="1"/>
  <c r="BL28" i="1"/>
  <c r="BM28" i="1" s="1"/>
  <c r="BL29" i="1"/>
  <c r="BM29" i="1" s="1"/>
  <c r="BL26" i="1"/>
  <c r="BM26" i="1" s="1"/>
  <c r="BL25" i="1"/>
  <c r="BM25" i="1" s="1"/>
  <c r="F161" i="1"/>
  <c r="F162" i="1" s="1"/>
  <c r="F163" i="1" s="1"/>
  <c r="F164" i="1" s="1"/>
  <c r="F165" i="1" s="1"/>
  <c r="F166" i="1" s="1"/>
  <c r="F167" i="1" s="1"/>
  <c r="F168" i="1" s="1"/>
  <c r="F169" i="1" s="1"/>
  <c r="F170" i="1" s="1"/>
  <c r="BL24" i="1"/>
  <c r="BM24" i="1" s="1"/>
  <c r="BL23" i="1"/>
  <c r="BM23" i="1" s="1"/>
  <c r="BL21" i="1"/>
  <c r="BM21" i="1" s="1"/>
  <c r="BL22" i="1"/>
  <c r="BM22" i="1" s="1"/>
  <c r="BL20" i="1"/>
  <c r="BM20" i="1" s="1"/>
  <c r="F135" i="1"/>
  <c r="F136" i="1" s="1"/>
  <c r="F137" i="1" s="1"/>
  <c r="F138" i="1" s="1"/>
  <c r="F139" i="1" s="1"/>
  <c r="F140" i="1" s="1"/>
  <c r="F141" i="1" s="1"/>
  <c r="F142" i="1" s="1"/>
  <c r="F143" i="1" s="1"/>
  <c r="F144" i="1" s="1"/>
  <c r="F145" i="1" s="1"/>
  <c r="CQ19" i="1"/>
  <c r="CR19" i="1" s="1"/>
  <c r="F87" i="1"/>
  <c r="BD90" i="1"/>
  <c r="BD89" i="1"/>
  <c r="BD88" i="1"/>
  <c r="BD87" i="1"/>
  <c r="BD86" i="1"/>
  <c r="BD85" i="1"/>
  <c r="BD84" i="1"/>
  <c r="BD83" i="1"/>
  <c r="BD82" i="1"/>
  <c r="BD81" i="1"/>
  <c r="BD80" i="1"/>
  <c r="BD79" i="1"/>
  <c r="AA83" i="1"/>
  <c r="AA84" i="1"/>
  <c r="AA85" i="1"/>
  <c r="AA86" i="1"/>
  <c r="AA87" i="1"/>
  <c r="AA88" i="1"/>
  <c r="AA89" i="1"/>
  <c r="AA90" i="1"/>
  <c r="AA91" i="1"/>
  <c r="AA92" i="1"/>
  <c r="AA93" i="1"/>
  <c r="AA82" i="1"/>
  <c r="Z94" i="1"/>
  <c r="Z95" i="1" s="1"/>
  <c r="Y94" i="1"/>
  <c r="Y95" i="1" s="1"/>
  <c r="AD76" i="1"/>
  <c r="AD75" i="1"/>
  <c r="AD74" i="1"/>
  <c r="AD73" i="1"/>
  <c r="AD72" i="1"/>
  <c r="AD71" i="1"/>
  <c r="AD70" i="1"/>
  <c r="AD69" i="1"/>
  <c r="AD68" i="1"/>
  <c r="AD67" i="1"/>
  <c r="AD66" i="1"/>
  <c r="Y56" i="1"/>
  <c r="Y78" i="1" s="1"/>
  <c r="AD78" i="1" s="1"/>
  <c r="AA31" i="1"/>
  <c r="AP32" i="1" s="1"/>
  <c r="DB398" i="11"/>
  <c r="CI397" i="11"/>
  <c r="CZ396" i="11"/>
  <c r="CM395" i="11"/>
  <c r="DA394" i="11"/>
  <c r="CZ393" i="11"/>
  <c r="DA392" i="11"/>
  <c r="CX391" i="11"/>
  <c r="CY390" i="11"/>
  <c r="CZ388" i="11"/>
  <c r="DA387" i="11"/>
  <c r="DB386" i="11"/>
  <c r="CN384" i="11"/>
  <c r="CY383" i="11"/>
  <c r="CW382" i="11"/>
  <c r="CM381" i="11"/>
  <c r="DB380" i="11"/>
  <c r="DA379" i="11"/>
  <c r="DA378" i="11"/>
  <c r="DA377" i="11"/>
  <c r="CY376" i="11"/>
  <c r="DA374" i="11"/>
  <c r="DA373" i="11"/>
  <c r="DA372" i="11"/>
  <c r="DB370" i="11"/>
  <c r="CX369" i="11"/>
  <c r="CZ366" i="11"/>
  <c r="DB364" i="11"/>
  <c r="DB357" i="11"/>
  <c r="DA357" i="11"/>
  <c r="CZ357" i="11"/>
  <c r="CY357" i="11"/>
  <c r="CX357" i="11"/>
  <c r="CW357" i="11"/>
  <c r="CV357" i="11"/>
  <c r="CU357" i="11"/>
  <c r="CT357" i="11"/>
  <c r="CS357" i="11"/>
  <c r="CR357" i="11"/>
  <c r="CQ357" i="11"/>
  <c r="CP357" i="11"/>
  <c r="CO357" i="11"/>
  <c r="CN357" i="11"/>
  <c r="CM357" i="11"/>
  <c r="CL357" i="11"/>
  <c r="CK357" i="11"/>
  <c r="CJ357" i="11"/>
  <c r="CI357" i="11"/>
  <c r="CH357" i="11"/>
  <c r="CG357" i="11"/>
  <c r="CF357" i="11"/>
  <c r="CE357" i="11"/>
  <c r="CD357" i="11"/>
  <c r="CC357" i="11"/>
  <c r="CB357" i="11"/>
  <c r="CA357" i="11"/>
  <c r="BZ357" i="11"/>
  <c r="BY357" i="11"/>
  <c r="BX357" i="11"/>
  <c r="BW357" i="11"/>
  <c r="BV357" i="11"/>
  <c r="BU357" i="11"/>
  <c r="BT357" i="11"/>
  <c r="BS357" i="11"/>
  <c r="BR357" i="11"/>
  <c r="BQ357" i="11"/>
  <c r="BP357" i="11"/>
  <c r="BO357" i="11"/>
  <c r="BN357" i="11"/>
  <c r="BM357" i="11"/>
  <c r="BL357" i="11"/>
  <c r="BK357" i="11"/>
  <c r="BJ357" i="11"/>
  <c r="BI357" i="11"/>
  <c r="BH357" i="11"/>
  <c r="BG357" i="11"/>
  <c r="BF357" i="11"/>
  <c r="BE357" i="11"/>
  <c r="BD357" i="11"/>
  <c r="BC357" i="11"/>
  <c r="BB357" i="11"/>
  <c r="BA357" i="11"/>
  <c r="AZ357" i="11"/>
  <c r="AY357" i="11"/>
  <c r="AX357" i="11"/>
  <c r="AW357" i="11"/>
  <c r="AV357" i="11"/>
  <c r="AU357" i="11"/>
  <c r="AT357" i="11"/>
  <c r="AS357" i="11"/>
  <c r="AR357" i="11"/>
  <c r="AQ357" i="11"/>
  <c r="AP357" i="11"/>
  <c r="AO357" i="11"/>
  <c r="AN357" i="11"/>
  <c r="AM357" i="11"/>
  <c r="AL357" i="11"/>
  <c r="AK357" i="11"/>
  <c r="AJ357" i="11"/>
  <c r="AI357" i="11"/>
  <c r="AH357" i="11"/>
  <c r="AG357" i="11"/>
  <c r="AF357" i="11"/>
  <c r="AE357" i="11"/>
  <c r="AD357" i="11"/>
  <c r="AC357" i="11"/>
  <c r="AB357" i="11"/>
  <c r="AA357" i="11"/>
  <c r="Z357" i="11"/>
  <c r="Y357" i="11"/>
  <c r="X357" i="11"/>
  <c r="W357" i="11"/>
  <c r="V357" i="11"/>
  <c r="U357" i="11"/>
  <c r="T357" i="11"/>
  <c r="S357" i="11"/>
  <c r="R357" i="11"/>
  <c r="Q357" i="11"/>
  <c r="P357" i="11"/>
  <c r="O357" i="11"/>
  <c r="N357" i="11"/>
  <c r="M357" i="11"/>
  <c r="L357" i="11"/>
  <c r="K357" i="11"/>
  <c r="J357" i="11"/>
  <c r="I357" i="11"/>
  <c r="H357" i="11"/>
  <c r="G357" i="11"/>
  <c r="BM99" i="1" l="1"/>
  <c r="BM98" i="1"/>
  <c r="BM100" i="1" s="1"/>
  <c r="BC98" i="1"/>
  <c r="BC100" i="1" s="1"/>
  <c r="BC99" i="1"/>
  <c r="BB99" i="1"/>
  <c r="BB98" i="1"/>
  <c r="BB100" i="1" s="1"/>
  <c r="BL99" i="1"/>
  <c r="BL98" i="1"/>
  <c r="BL100" i="1" s="1"/>
  <c r="AI105" i="1"/>
  <c r="AL105" i="1" s="1"/>
  <c r="BL119" i="1"/>
  <c r="BO119" i="1" s="1"/>
  <c r="AK115" i="1"/>
  <c r="BL114" i="1"/>
  <c r="BO114" i="1" s="1"/>
  <c r="AK110" i="1"/>
  <c r="BL118" i="1"/>
  <c r="BO118" i="1" s="1"/>
  <c r="AK114" i="1"/>
  <c r="BL113" i="1"/>
  <c r="BO113" i="1" s="1"/>
  <c r="AK109" i="1"/>
  <c r="BL117" i="1"/>
  <c r="BO117" i="1" s="1"/>
  <c r="AK113" i="1"/>
  <c r="BL116" i="1"/>
  <c r="BO116" i="1" s="1"/>
  <c r="AK112" i="1"/>
  <c r="BL115" i="1"/>
  <c r="BO115" i="1" s="1"/>
  <c r="AK111" i="1"/>
  <c r="BL120" i="1"/>
  <c r="BO120" i="1" s="1"/>
  <c r="AK116" i="1"/>
  <c r="BB111" i="1"/>
  <c r="AK107" i="1"/>
  <c r="BL112" i="1"/>
  <c r="BO112" i="1" s="1"/>
  <c r="AK108" i="1"/>
  <c r="AN19" i="1"/>
  <c r="J64" i="12"/>
  <c r="J58" i="12"/>
  <c r="J60" i="12"/>
  <c r="J59" i="12"/>
  <c r="J56" i="12"/>
  <c r="J57" i="12"/>
  <c r="J55" i="12"/>
  <c r="J63" i="12"/>
  <c r="AM56" i="12"/>
  <c r="AL52" i="1"/>
  <c r="CC14" i="1"/>
  <c r="CK14" i="1"/>
  <c r="AL49" i="1"/>
  <c r="AL51" i="1"/>
  <c r="AL53" i="1"/>
  <c r="AL55" i="1"/>
  <c r="AL45" i="1"/>
  <c r="AL48" i="1"/>
  <c r="AL50" i="1"/>
  <c r="AL47" i="1"/>
  <c r="AO19" i="1"/>
  <c r="AL19" i="1"/>
  <c r="AN27" i="1"/>
  <c r="AG30" i="1"/>
  <c r="AN30" i="1"/>
  <c r="AH30" i="1"/>
  <c r="AO30" i="1"/>
  <c r="AI25" i="1"/>
  <c r="AP25" i="1"/>
  <c r="AI24" i="1"/>
  <c r="AP24" i="1"/>
  <c r="AG24" i="1"/>
  <c r="AN24" i="1"/>
  <c r="AG20" i="1"/>
  <c r="AN20" i="1"/>
  <c r="AH20" i="1"/>
  <c r="AO20" i="1"/>
  <c r="AG28" i="1"/>
  <c r="AN28" i="1"/>
  <c r="AG25" i="1"/>
  <c r="AN25" i="1"/>
  <c r="AH25" i="1"/>
  <c r="AO25" i="1"/>
  <c r="AH22" i="1"/>
  <c r="AO22" i="1"/>
  <c r="AI21" i="1"/>
  <c r="AP21" i="1"/>
  <c r="AH29" i="1"/>
  <c r="AO29" i="1"/>
  <c r="AI28" i="1"/>
  <c r="AP28" i="1"/>
  <c r="AG26" i="1"/>
  <c r="AN26" i="1"/>
  <c r="AH23" i="1"/>
  <c r="AO23" i="1"/>
  <c r="AH27" i="1"/>
  <c r="AO27" i="1"/>
  <c r="AI29" i="1"/>
  <c r="AP29" i="1"/>
  <c r="AI27" i="1"/>
  <c r="AP27" i="1"/>
  <c r="AG29" i="1"/>
  <c r="AN29" i="1"/>
  <c r="AH21" i="1"/>
  <c r="AO21" i="1"/>
  <c r="AH28" i="1"/>
  <c r="AO28" i="1"/>
  <c r="AI23" i="1"/>
  <c r="AP23" i="1"/>
  <c r="AG23" i="1"/>
  <c r="AN23" i="1"/>
  <c r="AH24" i="1"/>
  <c r="AO24" i="1"/>
  <c r="AH26" i="1"/>
  <c r="AO26" i="1"/>
  <c r="AI22" i="1"/>
  <c r="AP22" i="1"/>
  <c r="AG22" i="1"/>
  <c r="AN22" i="1"/>
  <c r="AG21" i="1"/>
  <c r="AN21" i="1"/>
  <c r="BB112" i="1"/>
  <c r="BL111" i="1"/>
  <c r="BO111" i="1" s="1"/>
  <c r="BM92" i="1"/>
  <c r="AF106" i="1"/>
  <c r="AM57" i="12"/>
  <c r="J62" i="12" s="1"/>
  <c r="AJ152" i="1"/>
  <c r="AN152" i="1" s="1"/>
  <c r="BN109" i="1"/>
  <c r="BK55" i="1"/>
  <c r="BC94" i="1"/>
  <c r="BC93" i="1"/>
  <c r="BM93" i="1"/>
  <c r="AP57" i="1"/>
  <c r="BM43" i="1"/>
  <c r="BL93" i="1"/>
  <c r="BL92" i="1"/>
  <c r="BN91" i="1"/>
  <c r="AO50" i="12"/>
  <c r="AO47" i="12"/>
  <c r="AO48" i="12"/>
  <c r="AJ153" i="1"/>
  <c r="AN153" i="1" s="1"/>
  <c r="AH106" i="1"/>
  <c r="BN110" i="1" s="1"/>
  <c r="AL69" i="1"/>
  <c r="AO41" i="12"/>
  <c r="AO42" i="12"/>
  <c r="AO49" i="12"/>
  <c r="AO44" i="12"/>
  <c r="AO40" i="12"/>
  <c r="AO45" i="12"/>
  <c r="AA95" i="1"/>
  <c r="AA213" i="1" s="1"/>
  <c r="BD109" i="1"/>
  <c r="AO46" i="12"/>
  <c r="AO43" i="12"/>
  <c r="AL54" i="1"/>
  <c r="AL75" i="1"/>
  <c r="AL68" i="1"/>
  <c r="AL73" i="1"/>
  <c r="BD91" i="1"/>
  <c r="AL70" i="1"/>
  <c r="AI77" i="1"/>
  <c r="AI78" i="1" s="1"/>
  <c r="AI32" i="1" s="1"/>
  <c r="AL76" i="1"/>
  <c r="AF94" i="1"/>
  <c r="AL66" i="1"/>
  <c r="AL71" i="1"/>
  <c r="AL74" i="1"/>
  <c r="AL67" i="1"/>
  <c r="AH77" i="1"/>
  <c r="AH78" i="1" s="1"/>
  <c r="AH32" i="1" s="1"/>
  <c r="AL72" i="1"/>
  <c r="AH56" i="1"/>
  <c r="BL43" i="1" s="1"/>
  <c r="AD31" i="1"/>
  <c r="CF14" i="1"/>
  <c r="AO39" i="12"/>
  <c r="AI51" i="12"/>
  <c r="AD32" i="1"/>
  <c r="Y33" i="1" s="1"/>
  <c r="BD153" i="1"/>
  <c r="CB14" i="1"/>
  <c r="CJ14" i="1"/>
  <c r="AO117" i="1"/>
  <c r="BC109" i="1"/>
  <c r="BB113" i="1"/>
  <c r="AG56" i="1"/>
  <c r="AG57" i="1" s="1"/>
  <c r="AI57" i="1"/>
  <c r="BD42" i="1" s="1"/>
  <c r="BD43" i="1"/>
  <c r="AL46" i="1"/>
  <c r="AG77" i="1"/>
  <c r="AG78" i="1" s="1"/>
  <c r="AG32" i="1" s="1"/>
  <c r="AE94" i="1"/>
  <c r="F88" i="1"/>
  <c r="F46" i="1"/>
  <c r="F64" i="1"/>
  <c r="CN14" i="1"/>
  <c r="AZ31" i="1"/>
  <c r="CD14" i="1"/>
  <c r="CL14" i="1"/>
  <c r="CM14" i="1"/>
  <c r="CE14" i="1"/>
  <c r="AD57" i="1"/>
  <c r="Y58" i="1" s="1"/>
  <c r="AA94" i="1"/>
  <c r="AD77" i="1"/>
  <c r="AB56" i="1"/>
  <c r="BE31" i="1"/>
  <c r="CA27" i="1"/>
  <c r="CA20" i="1"/>
  <c r="CA25" i="1"/>
  <c r="CA24" i="1"/>
  <c r="CA22" i="1"/>
  <c r="CA21" i="1"/>
  <c r="CA29" i="1"/>
  <c r="CA26" i="1"/>
  <c r="CA23" i="1"/>
  <c r="CA28" i="1"/>
  <c r="CA30" i="1"/>
  <c r="BZ19" i="1"/>
  <c r="BZ29" i="1"/>
  <c r="BZ27" i="1"/>
  <c r="BZ28" i="1"/>
  <c r="BZ20" i="1"/>
  <c r="BZ24" i="1"/>
  <c r="BZ22" i="1"/>
  <c r="BZ25" i="1"/>
  <c r="BZ30" i="1"/>
  <c r="BZ21" i="1"/>
  <c r="BZ23" i="1"/>
  <c r="BZ26" i="1"/>
  <c r="F111" i="1"/>
  <c r="F21" i="1"/>
  <c r="F65" i="1" s="1"/>
  <c r="CO380" i="11"/>
  <c r="CT380" i="11"/>
  <c r="CP380" i="11"/>
  <c r="CL380" i="11"/>
  <c r="CS374" i="11"/>
  <c r="CW380" i="11"/>
  <c r="CE392" i="11"/>
  <c r="CY397" i="11"/>
  <c r="CM392" i="11"/>
  <c r="CQ378" i="11"/>
  <c r="CF388" i="11"/>
  <c r="CT374" i="11"/>
  <c r="CX380" i="11"/>
  <c r="CE387" i="11"/>
  <c r="BW398" i="11"/>
  <c r="CW374" i="11"/>
  <c r="CT387" i="11"/>
  <c r="CK390" i="11"/>
  <c r="CI398" i="11"/>
  <c r="CX372" i="11"/>
  <c r="DB374" i="11"/>
  <c r="CY379" i="11"/>
  <c r="CS390" i="11"/>
  <c r="CH391" i="11"/>
  <c r="BX394" i="11"/>
  <c r="CD394" i="11"/>
  <c r="CH390" i="11"/>
  <c r="CT394" i="11"/>
  <c r="CF396" i="11"/>
  <c r="BW397" i="11"/>
  <c r="CN388" i="11"/>
  <c r="CU388" i="11"/>
  <c r="CX368" i="11"/>
  <c r="CU383" i="11"/>
  <c r="DB387" i="11"/>
  <c r="CI388" i="11"/>
  <c r="CO388" i="11"/>
  <c r="CV388" i="11"/>
  <c r="CL391" i="11"/>
  <c r="CM397" i="11"/>
  <c r="CG398" i="11"/>
  <c r="CJ388" i="11"/>
  <c r="CQ388" i="11"/>
  <c r="CY388" i="11"/>
  <c r="CL387" i="11"/>
  <c r="CE388" i="11"/>
  <c r="CK388" i="11"/>
  <c r="CS388" i="11"/>
  <c r="DA388" i="11"/>
  <c r="CU392" i="11"/>
  <c r="CE393" i="11"/>
  <c r="CM393" i="11"/>
  <c r="CU393" i="11"/>
  <c r="BZ392" i="11"/>
  <c r="CW392" i="11"/>
  <c r="CG393" i="11"/>
  <c r="CW393" i="11"/>
  <c r="CT372" i="11"/>
  <c r="CU374" i="11"/>
  <c r="CY374" i="11"/>
  <c r="CM379" i="11"/>
  <c r="CH387" i="11"/>
  <c r="CP387" i="11"/>
  <c r="CX387" i="11"/>
  <c r="CU390" i="11"/>
  <c r="CZ391" i="11"/>
  <c r="CA392" i="11"/>
  <c r="CI392" i="11"/>
  <c r="CQ392" i="11"/>
  <c r="CY392" i="11"/>
  <c r="CA393" i="11"/>
  <c r="CI393" i="11"/>
  <c r="CQ393" i="11"/>
  <c r="CY393" i="11"/>
  <c r="CQ396" i="11"/>
  <c r="CR398" i="11"/>
  <c r="CX374" i="11"/>
  <c r="CM387" i="11"/>
  <c r="CU387" i="11"/>
  <c r="CG392" i="11"/>
  <c r="CO392" i="11"/>
  <c r="BY393" i="11"/>
  <c r="CO393" i="11"/>
  <c r="CK396" i="11"/>
  <c r="CV372" i="11"/>
  <c r="CR374" i="11"/>
  <c r="CV374" i="11"/>
  <c r="CZ374" i="11"/>
  <c r="CU376" i="11"/>
  <c r="CQ379" i="11"/>
  <c r="CM383" i="11"/>
  <c r="CI387" i="11"/>
  <c r="CQ387" i="11"/>
  <c r="CY387" i="11"/>
  <c r="CC392" i="11"/>
  <c r="CK392" i="11"/>
  <c r="CS392" i="11"/>
  <c r="CC393" i="11"/>
  <c r="CK393" i="11"/>
  <c r="CS393" i="11"/>
  <c r="DA393" i="11"/>
  <c r="CA396" i="11"/>
  <c r="CW396" i="11"/>
  <c r="CB396" i="11"/>
  <c r="CM396" i="11"/>
  <c r="CX396" i="11"/>
  <c r="CY370" i="11"/>
  <c r="DB372" i="11"/>
  <c r="CV378" i="11"/>
  <c r="CS380" i="11"/>
  <c r="CP386" i="11"/>
  <c r="CF387" i="11"/>
  <c r="CJ387" i="11"/>
  <c r="CN387" i="11"/>
  <c r="CR387" i="11"/>
  <c r="CV387" i="11"/>
  <c r="CZ387" i="11"/>
  <c r="CP391" i="11"/>
  <c r="BY394" i="11"/>
  <c r="CI394" i="11"/>
  <c r="BX396" i="11"/>
  <c r="CC396" i="11"/>
  <c r="CI396" i="11"/>
  <c r="CN396" i="11"/>
  <c r="CS396" i="11"/>
  <c r="DA396" i="11"/>
  <c r="BX398" i="11"/>
  <c r="CS398" i="11"/>
  <c r="CT378" i="11"/>
  <c r="CH394" i="11"/>
  <c r="BW396" i="11"/>
  <c r="CG396" i="11"/>
  <c r="CR396" i="11"/>
  <c r="CU377" i="11"/>
  <c r="CN378" i="11"/>
  <c r="CY378" i="11"/>
  <c r="CY381" i="11"/>
  <c r="CQ382" i="11"/>
  <c r="CW386" i="11"/>
  <c r="CG387" i="11"/>
  <c r="CK387" i="11"/>
  <c r="CO387" i="11"/>
  <c r="CS387" i="11"/>
  <c r="CW387" i="11"/>
  <c r="CA391" i="11"/>
  <c r="CV391" i="11"/>
  <c r="CB394" i="11"/>
  <c r="CR394" i="11"/>
  <c r="BY396" i="11"/>
  <c r="CE396" i="11"/>
  <c r="CJ396" i="11"/>
  <c r="CO396" i="11"/>
  <c r="CU396" i="11"/>
  <c r="DB396" i="11"/>
  <c r="CV370" i="11"/>
  <c r="CZ370" i="11"/>
  <c r="CY372" i="11"/>
  <c r="CY377" i="11"/>
  <c r="CP378" i="11"/>
  <c r="CU378" i="11"/>
  <c r="DB378" i="11"/>
  <c r="DA380" i="11"/>
  <c r="CZ380" i="11"/>
  <c r="CV380" i="11"/>
  <c r="CR380" i="11"/>
  <c r="CN380" i="11"/>
  <c r="CY380" i="11"/>
  <c r="CU380" i="11"/>
  <c r="CQ380" i="11"/>
  <c r="CM380" i="11"/>
  <c r="CS382" i="11"/>
  <c r="DB384" i="11"/>
  <c r="CZ384" i="11"/>
  <c r="CR384" i="11"/>
  <c r="CJ384" i="11"/>
  <c r="CY384" i="11"/>
  <c r="CQ384" i="11"/>
  <c r="CI384" i="11"/>
  <c r="CW370" i="11"/>
  <c r="DA370" i="11"/>
  <c r="CL382" i="11"/>
  <c r="CU384" i="11"/>
  <c r="DB382" i="11"/>
  <c r="DA382" i="11"/>
  <c r="CU382" i="11"/>
  <c r="CP382" i="11"/>
  <c r="CK382" i="11"/>
  <c r="CY382" i="11"/>
  <c r="CT382" i="11"/>
  <c r="CO382" i="11"/>
  <c r="CJ382" i="11"/>
  <c r="CM384" i="11"/>
  <c r="DA366" i="11"/>
  <c r="CX370" i="11"/>
  <c r="CU373" i="11"/>
  <c r="CQ377" i="11"/>
  <c r="CR378" i="11"/>
  <c r="CX378" i="11"/>
  <c r="CU381" i="11"/>
  <c r="CQ381" i="11"/>
  <c r="CM382" i="11"/>
  <c r="CX382" i="11"/>
  <c r="CV384" i="11"/>
  <c r="CC390" i="11"/>
  <c r="CM390" i="11"/>
  <c r="CX390" i="11"/>
  <c r="BZ394" i="11"/>
  <c r="CE394" i="11"/>
  <c r="CM394" i="11"/>
  <c r="CX394" i="11"/>
  <c r="CB398" i="11"/>
  <c r="CM398" i="11"/>
  <c r="CW398" i="11"/>
  <c r="CH386" i="11"/>
  <c r="CG388" i="11"/>
  <c r="CM388" i="11"/>
  <c r="CR388" i="11"/>
  <c r="CW388" i="11"/>
  <c r="CE390" i="11"/>
  <c r="CP390" i="11"/>
  <c r="DA390" i="11"/>
  <c r="CE391" i="11"/>
  <c r="CR391" i="11"/>
  <c r="CA394" i="11"/>
  <c r="CF394" i="11"/>
  <c r="CN394" i="11"/>
  <c r="CY394" i="11"/>
  <c r="BV396" i="11"/>
  <c r="BZ396" i="11"/>
  <c r="CD396" i="11"/>
  <c r="CH396" i="11"/>
  <c r="CL396" i="11"/>
  <c r="CP396" i="11"/>
  <c r="CT396" i="11"/>
  <c r="CY396" i="11"/>
  <c r="CC398" i="11"/>
  <c r="CN398" i="11"/>
  <c r="CY398" i="11"/>
  <c r="DB366" i="11"/>
  <c r="CU372" i="11"/>
  <c r="CZ372" i="11"/>
  <c r="CW373" i="11"/>
  <c r="CI383" i="11"/>
  <c r="DB397" i="11"/>
  <c r="CX397" i="11"/>
  <c r="CT397" i="11"/>
  <c r="CP397" i="11"/>
  <c r="CL397" i="11"/>
  <c r="CH397" i="11"/>
  <c r="CD397" i="11"/>
  <c r="BZ397" i="11"/>
  <c r="BV397" i="11"/>
  <c r="DA397" i="11"/>
  <c r="CW397" i="11"/>
  <c r="CS397" i="11"/>
  <c r="CO397" i="11"/>
  <c r="CK397" i="11"/>
  <c r="CG397" i="11"/>
  <c r="CC397" i="11"/>
  <c r="BY397" i="11"/>
  <c r="BU397" i="11"/>
  <c r="CZ397" i="11"/>
  <c r="CV397" i="11"/>
  <c r="CR397" i="11"/>
  <c r="CN397" i="11"/>
  <c r="CJ397" i="11"/>
  <c r="CF397" i="11"/>
  <c r="CB397" i="11"/>
  <c r="BX397" i="11"/>
  <c r="DB376" i="11"/>
  <c r="CX376" i="11"/>
  <c r="CT376" i="11"/>
  <c r="CP376" i="11"/>
  <c r="DA376" i="11"/>
  <c r="CW376" i="11"/>
  <c r="CS376" i="11"/>
  <c r="CZ376" i="11"/>
  <c r="CV376" i="11"/>
  <c r="CR376" i="11"/>
  <c r="DB383" i="11"/>
  <c r="CX383" i="11"/>
  <c r="CT383" i="11"/>
  <c r="CP383" i="11"/>
  <c r="CL383" i="11"/>
  <c r="DA383" i="11"/>
  <c r="CW383" i="11"/>
  <c r="CS383" i="11"/>
  <c r="CO383" i="11"/>
  <c r="CK383" i="11"/>
  <c r="CZ383" i="11"/>
  <c r="CV383" i="11"/>
  <c r="CR383" i="11"/>
  <c r="CN383" i="11"/>
  <c r="CJ383" i="11"/>
  <c r="CA397" i="11"/>
  <c r="CQ397" i="11"/>
  <c r="CQ376" i="11"/>
  <c r="CQ383" i="11"/>
  <c r="CE397" i="11"/>
  <c r="CU397" i="11"/>
  <c r="CK386" i="11"/>
  <c r="CX386" i="11"/>
  <c r="CG390" i="11"/>
  <c r="CL390" i="11"/>
  <c r="CQ390" i="11"/>
  <c r="CW390" i="11"/>
  <c r="DB390" i="11"/>
  <c r="CF391" i="11"/>
  <c r="CM391" i="11"/>
  <c r="CU391" i="11"/>
  <c r="DB391" i="11"/>
  <c r="BZ393" i="11"/>
  <c r="CD393" i="11"/>
  <c r="CH393" i="11"/>
  <c r="CL393" i="11"/>
  <c r="CP393" i="11"/>
  <c r="CT393" i="11"/>
  <c r="CX393" i="11"/>
  <c r="DB393" i="11"/>
  <c r="CJ394" i="11"/>
  <c r="CP394" i="11"/>
  <c r="CU394" i="11"/>
  <c r="CZ394" i="11"/>
  <c r="BW395" i="11"/>
  <c r="BT398" i="11"/>
  <c r="BY398" i="11"/>
  <c r="CE398" i="11"/>
  <c r="CJ398" i="11"/>
  <c r="CO398" i="11"/>
  <c r="CU398" i="11"/>
  <c r="CZ398" i="11"/>
  <c r="CL394" i="11"/>
  <c r="CQ394" i="11"/>
  <c r="CV394" i="11"/>
  <c r="DB394" i="11"/>
  <c r="CV396" i="11"/>
  <c r="BU398" i="11"/>
  <c r="CA398" i="11"/>
  <c r="CF398" i="11"/>
  <c r="CK398" i="11"/>
  <c r="CQ398" i="11"/>
  <c r="CV398" i="11"/>
  <c r="DA398" i="11"/>
  <c r="CZ378" i="11"/>
  <c r="CU379" i="11"/>
  <c r="CQ386" i="11"/>
  <c r="CD390" i="11"/>
  <c r="CI390" i="11"/>
  <c r="CO390" i="11"/>
  <c r="CT390" i="11"/>
  <c r="CB391" i="11"/>
  <c r="CJ391" i="11"/>
  <c r="CQ391" i="11"/>
  <c r="CB393" i="11"/>
  <c r="CF393" i="11"/>
  <c r="CJ393" i="11"/>
  <c r="CN393" i="11"/>
  <c r="CR393" i="11"/>
  <c r="CV393" i="11"/>
  <c r="DB371" i="11"/>
  <c r="CX371" i="11"/>
  <c r="DA371" i="11"/>
  <c r="CV371" i="11"/>
  <c r="CZ371" i="11"/>
  <c r="CU371" i="11"/>
  <c r="CY371" i="11"/>
  <c r="DA368" i="11"/>
  <c r="DB368" i="11"/>
  <c r="CZ368" i="11"/>
  <c r="CY368" i="11"/>
  <c r="DB365" i="11"/>
  <c r="DA365" i="11"/>
  <c r="DB375" i="11"/>
  <c r="CX375" i="11"/>
  <c r="CT375" i="11"/>
  <c r="DA375" i="11"/>
  <c r="CW375" i="11"/>
  <c r="CS375" i="11"/>
  <c r="CZ375" i="11"/>
  <c r="CV375" i="11"/>
  <c r="CR375" i="11"/>
  <c r="CY375" i="11"/>
  <c r="CU375" i="11"/>
  <c r="CQ375" i="11"/>
  <c r="DB367" i="11"/>
  <c r="DA367" i="11"/>
  <c r="CZ367" i="11"/>
  <c r="CY367" i="11"/>
  <c r="CZ369" i="11"/>
  <c r="DB369" i="11"/>
  <c r="CW369" i="11"/>
  <c r="DA369" i="11"/>
  <c r="CY369" i="11"/>
  <c r="CW371" i="11"/>
  <c r="CY373" i="11"/>
  <c r="DB385" i="11"/>
  <c r="CX385" i="11"/>
  <c r="CT385" i="11"/>
  <c r="CP385" i="11"/>
  <c r="CL385" i="11"/>
  <c r="CH385" i="11"/>
  <c r="DA385" i="11"/>
  <c r="CW385" i="11"/>
  <c r="CS385" i="11"/>
  <c r="CO385" i="11"/>
  <c r="CK385" i="11"/>
  <c r="CG385" i="11"/>
  <c r="CZ385" i="11"/>
  <c r="CV385" i="11"/>
  <c r="CR385" i="11"/>
  <c r="CN385" i="11"/>
  <c r="CJ385" i="11"/>
  <c r="CQ385" i="11"/>
  <c r="CY385" i="11"/>
  <c r="CI385" i="11"/>
  <c r="CU385" i="11"/>
  <c r="CM385" i="11"/>
  <c r="CS373" i="11"/>
  <c r="DA389" i="11"/>
  <c r="CW389" i="11"/>
  <c r="CS389" i="11"/>
  <c r="CO389" i="11"/>
  <c r="CK389" i="11"/>
  <c r="CG389" i="11"/>
  <c r="CC389" i="11"/>
  <c r="CZ389" i="11"/>
  <c r="CV389" i="11"/>
  <c r="CR389" i="11"/>
  <c r="CN389" i="11"/>
  <c r="CJ389" i="11"/>
  <c r="CF389" i="11"/>
  <c r="CY389" i="11"/>
  <c r="CQ389" i="11"/>
  <c r="CI389" i="11"/>
  <c r="CX389" i="11"/>
  <c r="CP389" i="11"/>
  <c r="CH389" i="11"/>
  <c r="DB389" i="11"/>
  <c r="CL389" i="11"/>
  <c r="CU389" i="11"/>
  <c r="CE389" i="11"/>
  <c r="CT389" i="11"/>
  <c r="CD389" i="11"/>
  <c r="CM389" i="11"/>
  <c r="CZ373" i="11"/>
  <c r="CV373" i="11"/>
  <c r="DB373" i="11"/>
  <c r="CX373" i="11"/>
  <c r="CT373" i="11"/>
  <c r="CS377" i="11"/>
  <c r="CS379" i="11"/>
  <c r="CZ377" i="11"/>
  <c r="CV377" i="11"/>
  <c r="CR377" i="11"/>
  <c r="DB377" i="11"/>
  <c r="CX377" i="11"/>
  <c r="CT377" i="11"/>
  <c r="CP377" i="11"/>
  <c r="DB379" i="11"/>
  <c r="CX379" i="11"/>
  <c r="CT379" i="11"/>
  <c r="CP379" i="11"/>
  <c r="CZ379" i="11"/>
  <c r="CV379" i="11"/>
  <c r="CR379" i="11"/>
  <c r="CN379" i="11"/>
  <c r="CW372" i="11"/>
  <c r="CO377" i="11"/>
  <c r="CW377" i="11"/>
  <c r="CO379" i="11"/>
  <c r="CW379" i="11"/>
  <c r="DA381" i="11"/>
  <c r="CW381" i="11"/>
  <c r="CS381" i="11"/>
  <c r="CO381" i="11"/>
  <c r="CK381" i="11"/>
  <c r="CZ381" i="11"/>
  <c r="CV381" i="11"/>
  <c r="CR381" i="11"/>
  <c r="CN381" i="11"/>
  <c r="DB381" i="11"/>
  <c r="CT381" i="11"/>
  <c r="CL381" i="11"/>
  <c r="CX381" i="11"/>
  <c r="CP381" i="11"/>
  <c r="CO378" i="11"/>
  <c r="CS378" i="11"/>
  <c r="CW378" i="11"/>
  <c r="CK384" i="11"/>
  <c r="CO384" i="11"/>
  <c r="CS384" i="11"/>
  <c r="CW384" i="11"/>
  <c r="DA384" i="11"/>
  <c r="CL386" i="11"/>
  <c r="CS386" i="11"/>
  <c r="DA386" i="11"/>
  <c r="CN382" i="11"/>
  <c r="CR382" i="11"/>
  <c r="CV382" i="11"/>
  <c r="CZ382" i="11"/>
  <c r="CH384" i="11"/>
  <c r="CL384" i="11"/>
  <c r="CP384" i="11"/>
  <c r="CT384" i="11"/>
  <c r="CX384" i="11"/>
  <c r="CG386" i="11"/>
  <c r="CM386" i="11"/>
  <c r="CU386" i="11"/>
  <c r="CZ386" i="11"/>
  <c r="CV386" i="11"/>
  <c r="CR386" i="11"/>
  <c r="CN386" i="11"/>
  <c r="CJ386" i="11"/>
  <c r="CF386" i="11"/>
  <c r="CY386" i="11"/>
  <c r="CT386" i="11"/>
  <c r="CO386" i="11"/>
  <c r="CI386" i="11"/>
  <c r="DB388" i="11"/>
  <c r="CX388" i="11"/>
  <c r="CT388" i="11"/>
  <c r="CP388" i="11"/>
  <c r="CL388" i="11"/>
  <c r="CH388" i="11"/>
  <c r="CD388" i="11"/>
  <c r="DA391" i="11"/>
  <c r="CW391" i="11"/>
  <c r="CS391" i="11"/>
  <c r="CO391" i="11"/>
  <c r="CK391" i="11"/>
  <c r="CG391" i="11"/>
  <c r="CC391" i="11"/>
  <c r="CB390" i="11"/>
  <c r="CF390" i="11"/>
  <c r="CJ390" i="11"/>
  <c r="CN390" i="11"/>
  <c r="CR390" i="11"/>
  <c r="CV390" i="11"/>
  <c r="CZ390" i="11"/>
  <c r="CD391" i="11"/>
  <c r="CI391" i="11"/>
  <c r="CN391" i="11"/>
  <c r="CT391" i="11"/>
  <c r="CY391" i="11"/>
  <c r="DB395" i="11"/>
  <c r="CX395" i="11"/>
  <c r="CT395" i="11"/>
  <c r="CP395" i="11"/>
  <c r="CL395" i="11"/>
  <c r="CH395" i="11"/>
  <c r="CD395" i="11"/>
  <c r="BZ395" i="11"/>
  <c r="DA395" i="11"/>
  <c r="CW395" i="11"/>
  <c r="CS395" i="11"/>
  <c r="CO395" i="11"/>
  <c r="CK395" i="11"/>
  <c r="CG395" i="11"/>
  <c r="CC395" i="11"/>
  <c r="BY395" i="11"/>
  <c r="CZ395" i="11"/>
  <c r="CV395" i="11"/>
  <c r="CR395" i="11"/>
  <c r="CN395" i="11"/>
  <c r="CJ395" i="11"/>
  <c r="CF395" i="11"/>
  <c r="CB395" i="11"/>
  <c r="BX395" i="11"/>
  <c r="CY395" i="11"/>
  <c r="CI395" i="11"/>
  <c r="CU395" i="11"/>
  <c r="CE395" i="11"/>
  <c r="CQ395" i="11"/>
  <c r="CA395" i="11"/>
  <c r="CD392" i="11"/>
  <c r="CH392" i="11"/>
  <c r="CL392" i="11"/>
  <c r="CP392" i="11"/>
  <c r="CT392" i="11"/>
  <c r="CX392" i="11"/>
  <c r="DB392" i="11"/>
  <c r="CB392" i="11"/>
  <c r="CF392" i="11"/>
  <c r="CJ392" i="11"/>
  <c r="CN392" i="11"/>
  <c r="CR392" i="11"/>
  <c r="CV392" i="11"/>
  <c r="CZ392" i="11"/>
  <c r="CC394" i="11"/>
  <c r="CG394" i="11"/>
  <c r="CK394" i="11"/>
  <c r="CO394" i="11"/>
  <c r="CS394" i="11"/>
  <c r="CW394" i="11"/>
  <c r="BV398" i="11"/>
  <c r="BZ398" i="11"/>
  <c r="CD398" i="11"/>
  <c r="CH398" i="11"/>
  <c r="CL398" i="11"/>
  <c r="CP398" i="11"/>
  <c r="CT398" i="11"/>
  <c r="CX398" i="11"/>
  <c r="BD100" i="1" l="1"/>
  <c r="BD98" i="1"/>
  <c r="BK232" i="1" s="1"/>
  <c r="BK254" i="1" s="1"/>
  <c r="BD99" i="1"/>
  <c r="BK243" i="1" s="1"/>
  <c r="BN98" i="1"/>
  <c r="BO232" i="1" s="1"/>
  <c r="BO254" i="1" s="1"/>
  <c r="BN100" i="1"/>
  <c r="BN99" i="1"/>
  <c r="BO243" i="1" s="1"/>
  <c r="BB110" i="1"/>
  <c r="AK106" i="1"/>
  <c r="G172" i="1"/>
  <c r="I172" i="1" s="1"/>
  <c r="AC33" i="1"/>
  <c r="Y34" i="1"/>
  <c r="AA33" i="1"/>
  <c r="AB33" i="1"/>
  <c r="Z33" i="1"/>
  <c r="Z58" i="1"/>
  <c r="Z59" i="1" s="1"/>
  <c r="Z60" i="1" s="1"/>
  <c r="AA58" i="1"/>
  <c r="AB58" i="1"/>
  <c r="AC58" i="1"/>
  <c r="Y59" i="1"/>
  <c r="Y60" i="1" s="1"/>
  <c r="Y61" i="1" s="1"/>
  <c r="AG31" i="1"/>
  <c r="AN32" i="1" s="1"/>
  <c r="J61" i="12"/>
  <c r="J53" i="12"/>
  <c r="J54" i="12"/>
  <c r="AS19" i="1"/>
  <c r="AS21" i="1"/>
  <c r="AL20" i="1"/>
  <c r="AS29" i="1"/>
  <c r="AL29" i="1"/>
  <c r="AL24" i="1"/>
  <c r="AL22" i="1"/>
  <c r="AL23" i="1"/>
  <c r="AI31" i="1"/>
  <c r="AL28" i="1"/>
  <c r="AH31" i="1"/>
  <c r="AO32" i="1" s="1"/>
  <c r="AP31" i="1"/>
  <c r="AL21" i="1"/>
  <c r="AS28" i="1"/>
  <c r="AS26" i="1"/>
  <c r="AO31" i="1"/>
  <c r="AL26" i="1"/>
  <c r="AS22" i="1"/>
  <c r="AN31" i="1"/>
  <c r="AS20" i="1"/>
  <c r="AS23" i="1"/>
  <c r="AS27" i="1"/>
  <c r="AS25" i="1"/>
  <c r="AS24" i="1"/>
  <c r="AS30" i="1"/>
  <c r="AL27" i="1"/>
  <c r="AL25" i="1"/>
  <c r="AL30" i="1"/>
  <c r="BN92" i="1"/>
  <c r="L46" i="12"/>
  <c r="BL110" i="1"/>
  <c r="BO110" i="1" s="1"/>
  <c r="L40" i="12"/>
  <c r="L47" i="12"/>
  <c r="BG214" i="1"/>
  <c r="BO214" i="1" s="1"/>
  <c r="AM68" i="12"/>
  <c r="AG68" i="12"/>
  <c r="L43" i="12"/>
  <c r="L42" i="12"/>
  <c r="L41" i="12"/>
  <c r="L45" i="12"/>
  <c r="AM152" i="1"/>
  <c r="BB152" i="1"/>
  <c r="BE152" i="1" s="1"/>
  <c r="BL109" i="1"/>
  <c r="BO109" i="1" s="1"/>
  <c r="BB109" i="1"/>
  <c r="BE109" i="1" s="1"/>
  <c r="L38" i="12"/>
  <c r="BN121" i="1"/>
  <c r="BN122" i="1" s="1"/>
  <c r="BB43" i="1"/>
  <c r="BK43" i="1"/>
  <c r="BP43" i="1" s="1"/>
  <c r="BN93" i="1"/>
  <c r="BM42" i="1"/>
  <c r="L44" i="12"/>
  <c r="AL56" i="1"/>
  <c r="L37" i="12"/>
  <c r="L39" i="12"/>
  <c r="AI106" i="1"/>
  <c r="BD110" i="1"/>
  <c r="AO51" i="12"/>
  <c r="AL77" i="1"/>
  <c r="AH57" i="1"/>
  <c r="BC43" i="1"/>
  <c r="L36" i="12"/>
  <c r="BD154" i="1"/>
  <c r="BB93" i="1"/>
  <c r="BB94" i="1"/>
  <c r="BD92" i="1"/>
  <c r="BD214" i="1" s="1"/>
  <c r="BK214" i="1" s="1"/>
  <c r="AM153" i="1"/>
  <c r="BB153" i="1"/>
  <c r="BE153" i="1" s="1"/>
  <c r="AM154" i="1"/>
  <c r="BC110" i="1"/>
  <c r="BB114" i="1"/>
  <c r="F89" i="1"/>
  <c r="CQ21" i="1"/>
  <c r="CR21" i="1" s="1"/>
  <c r="F47" i="1"/>
  <c r="AD56" i="1"/>
  <c r="CA19" i="1"/>
  <c r="F112" i="1"/>
  <c r="F22" i="1"/>
  <c r="F66" i="1" s="1"/>
  <c r="M1"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5" i="8"/>
  <c r="H1" i="8"/>
  <c r="BN127" i="1" l="1"/>
  <c r="BN129" i="1" s="1"/>
  <c r="BN128" i="1"/>
  <c r="G121" i="1"/>
  <c r="I121" i="1" s="1"/>
  <c r="AL106" i="1"/>
  <c r="AJ105" i="1"/>
  <c r="AJ39" i="12" s="1"/>
  <c r="AP39" i="12" s="1"/>
  <c r="AC34" i="1"/>
  <c r="AC35" i="1" s="1"/>
  <c r="AC36" i="1"/>
  <c r="AC37" i="1" s="1"/>
  <c r="AB34" i="1"/>
  <c r="AB35" i="1" s="1"/>
  <c r="AB36" i="1"/>
  <c r="AB37" i="1" s="1"/>
  <c r="AA34" i="1"/>
  <c r="AA35" i="1" s="1"/>
  <c r="AA36" i="1"/>
  <c r="AA37" i="1" s="1"/>
  <c r="AB59" i="1"/>
  <c r="AB60" i="1" s="1"/>
  <c r="AB61" i="1"/>
  <c r="AC59" i="1"/>
  <c r="AC60" i="1" s="1"/>
  <c r="AC61" i="1"/>
  <c r="AA59" i="1"/>
  <c r="AA60" i="1" s="1"/>
  <c r="AA62" i="1" s="1"/>
  <c r="AA61" i="1"/>
  <c r="Z61" i="1"/>
  <c r="Z62" i="1" s="1"/>
  <c r="AP56" i="12"/>
  <c r="M53" i="12" s="1"/>
  <c r="AJ68" i="12"/>
  <c r="AK68" i="12" s="1"/>
  <c r="AL31" i="1"/>
  <c r="AL32" i="1"/>
  <c r="AG33" i="1" s="1"/>
  <c r="AG34" i="1" s="1"/>
  <c r="AL78" i="1"/>
  <c r="AS31" i="1"/>
  <c r="D40" i="12"/>
  <c r="BL121" i="1"/>
  <c r="BL122" i="1" s="1"/>
  <c r="BL128" i="1" s="1"/>
  <c r="BO128" i="1" s="1"/>
  <c r="BO244" i="1" s="1"/>
  <c r="BO121" i="1"/>
  <c r="BN124" i="1"/>
  <c r="BN123" i="1"/>
  <c r="BC42" i="1"/>
  <c r="BL44" i="1" s="1"/>
  <c r="BL42" i="1"/>
  <c r="BD44" i="1"/>
  <c r="BM44" i="1"/>
  <c r="BK42" i="1"/>
  <c r="BB42" i="1"/>
  <c r="AJ106" i="1"/>
  <c r="AJ40" i="12" s="1"/>
  <c r="AP40" i="12" s="1"/>
  <c r="BE110" i="1"/>
  <c r="AI107" i="1"/>
  <c r="AL107" i="1" s="1"/>
  <c r="BD111" i="1"/>
  <c r="BG43" i="1"/>
  <c r="Y62" i="1"/>
  <c r="Y35" i="1"/>
  <c r="Y36" i="1" s="1"/>
  <c r="Z34" i="1"/>
  <c r="Z35" i="1" s="1"/>
  <c r="AL57" i="1"/>
  <c r="BD155" i="1"/>
  <c r="AE213" i="1"/>
  <c r="C40" i="12" s="1"/>
  <c r="BD94" i="1"/>
  <c r="BD93" i="1"/>
  <c r="BB154" i="1"/>
  <c r="BE154" i="1" s="1"/>
  <c r="BC111" i="1"/>
  <c r="BB115" i="1"/>
  <c r="F90" i="1"/>
  <c r="CQ22" i="1"/>
  <c r="CR22" i="1" s="1"/>
  <c r="F48" i="1"/>
  <c r="F113" i="1"/>
  <c r="F23" i="1"/>
  <c r="F67" i="1" s="1"/>
  <c r="D1" i="8"/>
  <c r="BL127" i="1" l="1"/>
  <c r="AJ58" i="1"/>
  <c r="AJ61" i="1" s="1"/>
  <c r="AK58" i="1"/>
  <c r="AH58" i="1"/>
  <c r="AG58" i="1"/>
  <c r="AI58" i="1"/>
  <c r="AI61" i="1" s="1"/>
  <c r="AP33" i="1"/>
  <c r="AQ33" i="1"/>
  <c r="AR33" i="1"/>
  <c r="AO33" i="1"/>
  <c r="AW19" i="1" s="1"/>
  <c r="AN33" i="1"/>
  <c r="AH33" i="1"/>
  <c r="AH34" i="1" s="1"/>
  <c r="AI33" i="1"/>
  <c r="AI36" i="1" s="1"/>
  <c r="AJ33" i="1"/>
  <c r="AJ36" i="1" s="1"/>
  <c r="AK33" i="1"/>
  <c r="AK36" i="1" s="1"/>
  <c r="AD60" i="1"/>
  <c r="AD59" i="1"/>
  <c r="AC62" i="1"/>
  <c r="AB62" i="1"/>
  <c r="Z36" i="1"/>
  <c r="Z37" i="1" s="1"/>
  <c r="AP68" i="12"/>
  <c r="AQ68" i="12" s="1"/>
  <c r="M61" i="12"/>
  <c r="BC44" i="1"/>
  <c r="BO122" i="1"/>
  <c r="BP122" i="1" s="1"/>
  <c r="BL123" i="1"/>
  <c r="BO123" i="1" s="1"/>
  <c r="BL124" i="1"/>
  <c r="BO124" i="1" s="1"/>
  <c r="BP42" i="1"/>
  <c r="BG42" i="1"/>
  <c r="BB44" i="1"/>
  <c r="BK44" i="1"/>
  <c r="AJ107" i="1"/>
  <c r="AJ41" i="12" s="1"/>
  <c r="AP41" i="12" s="1"/>
  <c r="BE111" i="1"/>
  <c r="AI108" i="1"/>
  <c r="AL108" i="1" s="1"/>
  <c r="BD112" i="1"/>
  <c r="AD34" i="1"/>
  <c r="Y37" i="1"/>
  <c r="BD156" i="1"/>
  <c r="AD35" i="1"/>
  <c r="AD61" i="1"/>
  <c r="BB155" i="1"/>
  <c r="BE155" i="1" s="1"/>
  <c r="AM155" i="1"/>
  <c r="BC112" i="1"/>
  <c r="BB116" i="1"/>
  <c r="F91" i="1"/>
  <c r="CQ23" i="1"/>
  <c r="CR23" i="1" s="1"/>
  <c r="F49" i="1"/>
  <c r="F114" i="1"/>
  <c r="F24" i="1"/>
  <c r="F68" i="1" s="1"/>
  <c r="G1" i="8"/>
  <c r="A357" i="11"/>
  <c r="B357" i="11" s="1"/>
  <c r="BY358" i="11" s="1"/>
  <c r="A358" i="11"/>
  <c r="BO127" i="1" l="1"/>
  <c r="BO233" i="1" s="1"/>
  <c r="BO255" i="1" s="1"/>
  <c r="BL129" i="1"/>
  <c r="BO129" i="1" s="1"/>
  <c r="BB45" i="1"/>
  <c r="BB57" i="1" s="1"/>
  <c r="BD45" i="1"/>
  <c r="BD58" i="1" s="1"/>
  <c r="BD59" i="1" s="1"/>
  <c r="BD64" i="1" s="1"/>
  <c r="BF45" i="1"/>
  <c r="BF58" i="1" s="1"/>
  <c r="BF59" i="1" s="1"/>
  <c r="BC45" i="1"/>
  <c r="BC57" i="1" s="1"/>
  <c r="BE45" i="1"/>
  <c r="BE57" i="1" s="1"/>
  <c r="BN45" i="1"/>
  <c r="BN57" i="1" s="1"/>
  <c r="BK45" i="1"/>
  <c r="BK57" i="1" s="1"/>
  <c r="BK58" i="1" s="1"/>
  <c r="BO45" i="1"/>
  <c r="BO57" i="1" s="1"/>
  <c r="BL45" i="1"/>
  <c r="BL57" i="1" s="1"/>
  <c r="BL58" i="1" s="1"/>
  <c r="BL59" i="1" s="1"/>
  <c r="BL64" i="1" s="1"/>
  <c r="BM45" i="1"/>
  <c r="BM58" i="1" s="1"/>
  <c r="BM59" i="1" s="1"/>
  <c r="BM64" i="1" s="1"/>
  <c r="AJ34" i="1"/>
  <c r="AJ35" i="1" s="1"/>
  <c r="AJ37" i="1" s="1"/>
  <c r="AK34" i="1"/>
  <c r="AK35" i="1" s="1"/>
  <c r="AK37" i="1"/>
  <c r="AD62" i="1"/>
  <c r="AT25" i="1"/>
  <c r="AV25" i="1" s="1"/>
  <c r="AK59" i="1"/>
  <c r="AK60" i="1" s="1"/>
  <c r="AK61" i="1"/>
  <c r="AI34" i="1"/>
  <c r="AI35" i="1" s="1"/>
  <c r="AI37" i="1" s="1"/>
  <c r="AT20" i="1"/>
  <c r="AV20" i="1" s="1"/>
  <c r="AT19" i="1"/>
  <c r="AU19" i="1" s="1"/>
  <c r="AJ59" i="1"/>
  <c r="AJ60" i="1" s="1"/>
  <c r="AJ62" i="1" s="1"/>
  <c r="AQ50" i="1"/>
  <c r="AQ53" i="1"/>
  <c r="AQ47" i="1"/>
  <c r="AQ55" i="1"/>
  <c r="AQ52" i="1"/>
  <c r="AQ49" i="1"/>
  <c r="AQ44" i="1"/>
  <c r="AQ46" i="1"/>
  <c r="AQ54" i="1"/>
  <c r="AQ51" i="1"/>
  <c r="AQ45" i="1"/>
  <c r="AQ48" i="1"/>
  <c r="AT21" i="1"/>
  <c r="AV21" i="1" s="1"/>
  <c r="AH59" i="1"/>
  <c r="AH60" i="1" s="1"/>
  <c r="AO52" i="1"/>
  <c r="AO47" i="1"/>
  <c r="AO49" i="1"/>
  <c r="AO55" i="1"/>
  <c r="AO46" i="1"/>
  <c r="AO54" i="1"/>
  <c r="AO51" i="1"/>
  <c r="AO48" i="1"/>
  <c r="AO45" i="1"/>
  <c r="AO53" i="1"/>
  <c r="AO50" i="1"/>
  <c r="AO44" i="1"/>
  <c r="AI59" i="1"/>
  <c r="AI60" i="1" s="1"/>
  <c r="AI62" i="1" s="1"/>
  <c r="AP47" i="1"/>
  <c r="AP55" i="1"/>
  <c r="AP52" i="1"/>
  <c r="AP49" i="1"/>
  <c r="AP46" i="1"/>
  <c r="AP54" i="1"/>
  <c r="AP51" i="1"/>
  <c r="AP48" i="1"/>
  <c r="AP50" i="1"/>
  <c r="AP45" i="1"/>
  <c r="AP53" i="1"/>
  <c r="AP44" i="1"/>
  <c r="AN49" i="1"/>
  <c r="AN44" i="1"/>
  <c r="AN46" i="1"/>
  <c r="AN54" i="1"/>
  <c r="AN51" i="1"/>
  <c r="AN52" i="1"/>
  <c r="AN48" i="1"/>
  <c r="AN50" i="1"/>
  <c r="AN45" i="1"/>
  <c r="AN53" i="1"/>
  <c r="AN47" i="1"/>
  <c r="AN55" i="1"/>
  <c r="AG59" i="1"/>
  <c r="AG60" i="1" s="1"/>
  <c r="AT28" i="1"/>
  <c r="AV28" i="1" s="1"/>
  <c r="AT29" i="1"/>
  <c r="AV29" i="1" s="1"/>
  <c r="AT22" i="1"/>
  <c r="AV22" i="1" s="1"/>
  <c r="AW20" i="1"/>
  <c r="AW28" i="1"/>
  <c r="AW21" i="1"/>
  <c r="AW29" i="1"/>
  <c r="AW27" i="1"/>
  <c r="AW22" i="1"/>
  <c r="AW30" i="1"/>
  <c r="AW25" i="1"/>
  <c r="AW23" i="1"/>
  <c r="AW24" i="1"/>
  <c r="AW26" i="1"/>
  <c r="AT27" i="1"/>
  <c r="AV27" i="1" s="1"/>
  <c r="AT24" i="1"/>
  <c r="AV24" i="1" s="1"/>
  <c r="AT26" i="1"/>
  <c r="AV26" i="1" s="1"/>
  <c r="AT30" i="1"/>
  <c r="AV30" i="1" s="1"/>
  <c r="AH35" i="1"/>
  <c r="AG35" i="1"/>
  <c r="AG36" i="1" s="1"/>
  <c r="AT23" i="1"/>
  <c r="AV23" i="1" s="1"/>
  <c r="BG215" i="1"/>
  <c r="BO215" i="1" s="1"/>
  <c r="AJ108" i="1"/>
  <c r="AJ42" i="12" s="1"/>
  <c r="AP42" i="12" s="1"/>
  <c r="BE112" i="1"/>
  <c r="AI109" i="1"/>
  <c r="AL109" i="1" s="1"/>
  <c r="BD113" i="1"/>
  <c r="BY380" i="11"/>
  <c r="BY387" i="11"/>
  <c r="BY378" i="11"/>
  <c r="BY384" i="11"/>
  <c r="BY382" i="11"/>
  <c r="BY392" i="11"/>
  <c r="BY385" i="11"/>
  <c r="BY379" i="11"/>
  <c r="BY383" i="11"/>
  <c r="BY391" i="11"/>
  <c r="BY389" i="11"/>
  <c r="BY381" i="11"/>
  <c r="BY388" i="11"/>
  <c r="BY377" i="11"/>
  <c r="BY390" i="11"/>
  <c r="BY386" i="11"/>
  <c r="BD157" i="1"/>
  <c r="AD36" i="1"/>
  <c r="AD37" i="1"/>
  <c r="BB156" i="1"/>
  <c r="BE156" i="1" s="1"/>
  <c r="AM156" i="1"/>
  <c r="BC113" i="1"/>
  <c r="BB117" i="1"/>
  <c r="F92" i="1"/>
  <c r="CQ24" i="1"/>
  <c r="CR24" i="1" s="1"/>
  <c r="F50" i="1"/>
  <c r="F115" i="1"/>
  <c r="F25" i="1"/>
  <c r="F69" i="1" s="1"/>
  <c r="J6" i="8"/>
  <c r="J10" i="8"/>
  <c r="J14" i="8"/>
  <c r="J4" i="8"/>
  <c r="H10" i="8"/>
  <c r="H14" i="8"/>
  <c r="H18" i="8"/>
  <c r="H22" i="8"/>
  <c r="H26" i="8"/>
  <c r="H30" i="8"/>
  <c r="H34" i="8"/>
  <c r="H38" i="8"/>
  <c r="H42" i="8"/>
  <c r="H46" i="8"/>
  <c r="H50" i="8"/>
  <c r="H54" i="8"/>
  <c r="H58" i="8"/>
  <c r="H62" i="8"/>
  <c r="H66" i="8"/>
  <c r="H70" i="8"/>
  <c r="H74" i="8"/>
  <c r="H5" i="8"/>
  <c r="J7" i="8"/>
  <c r="J11" i="8"/>
  <c r="J15" i="8"/>
  <c r="H7" i="8"/>
  <c r="H11" i="8"/>
  <c r="H15" i="8"/>
  <c r="H19" i="8"/>
  <c r="H23" i="8"/>
  <c r="H27" i="8"/>
  <c r="H31" i="8"/>
  <c r="H35" i="8"/>
  <c r="H39" i="8"/>
  <c r="H43" i="8"/>
  <c r="H51" i="8"/>
  <c r="H55" i="8"/>
  <c r="H59" i="8"/>
  <c r="H63" i="8"/>
  <c r="H67" i="8"/>
  <c r="H71" i="8"/>
  <c r="H75" i="8"/>
  <c r="H4" i="8"/>
  <c r="H47" i="8"/>
  <c r="J8" i="8"/>
  <c r="J12" i="8"/>
  <c r="J16" i="8"/>
  <c r="H8" i="8"/>
  <c r="H12" i="8"/>
  <c r="H16" i="8"/>
  <c r="H20" i="8"/>
  <c r="H24" i="8"/>
  <c r="H28" i="8"/>
  <c r="H32" i="8"/>
  <c r="H36" i="8"/>
  <c r="H40" i="8"/>
  <c r="H44" i="8"/>
  <c r="H48" i="8"/>
  <c r="H52" i="8"/>
  <c r="H56" i="8"/>
  <c r="H60" i="8"/>
  <c r="H64" i="8"/>
  <c r="H68" i="8"/>
  <c r="H72" i="8"/>
  <c r="H76" i="8"/>
  <c r="J9" i="8"/>
  <c r="J13" i="8"/>
  <c r="J5" i="8"/>
  <c r="H9" i="8"/>
  <c r="H13" i="8"/>
  <c r="H17" i="8"/>
  <c r="H21" i="8"/>
  <c r="H25" i="8"/>
  <c r="H29" i="8"/>
  <c r="H33" i="8"/>
  <c r="H37" i="8"/>
  <c r="H41" i="8"/>
  <c r="H45" i="8"/>
  <c r="H49" i="8"/>
  <c r="H53" i="8"/>
  <c r="H57" i="8"/>
  <c r="H61" i="8"/>
  <c r="H65" i="8"/>
  <c r="H69" i="8"/>
  <c r="H73" i="8"/>
  <c r="H6" i="8"/>
  <c r="J22" i="8"/>
  <c r="J19" i="8"/>
  <c r="J73" i="8"/>
  <c r="J40" i="8"/>
  <c r="J62" i="8"/>
  <c r="J24" i="8"/>
  <c r="J17" i="8"/>
  <c r="J49" i="8"/>
  <c r="J30" i="8"/>
  <c r="J60" i="8"/>
  <c r="J69" i="8"/>
  <c r="J31" i="8"/>
  <c r="J53" i="8"/>
  <c r="J61" i="8"/>
  <c r="J52" i="8"/>
  <c r="J41" i="8"/>
  <c r="J47" i="8"/>
  <c r="J45" i="8"/>
  <c r="J51" i="8"/>
  <c r="J68" i="8"/>
  <c r="J63" i="8"/>
  <c r="J48" i="8"/>
  <c r="J74" i="8"/>
  <c r="J34" i="8"/>
  <c r="J21" i="8"/>
  <c r="J20" i="8"/>
  <c r="J42" i="8"/>
  <c r="J59" i="8"/>
  <c r="J76" i="8"/>
  <c r="J70" i="8"/>
  <c r="J39" i="8"/>
  <c r="J54" i="8"/>
  <c r="J36" i="8"/>
  <c r="J71" i="8"/>
  <c r="J33" i="8"/>
  <c r="J27" i="8"/>
  <c r="J38" i="8"/>
  <c r="J44" i="8"/>
  <c r="J55" i="8"/>
  <c r="J66" i="8"/>
  <c r="J72" i="8"/>
  <c r="J32" i="8"/>
  <c r="J56" i="8"/>
  <c r="CH358" i="11"/>
  <c r="I358" i="11"/>
  <c r="AO358" i="11"/>
  <c r="BU358" i="11"/>
  <c r="DA358" i="11"/>
  <c r="CX358" i="11"/>
  <c r="AP358" i="11"/>
  <c r="BV358" i="11"/>
  <c r="DB358" i="11"/>
  <c r="BB358" i="11"/>
  <c r="E358" i="11"/>
  <c r="AK358" i="11"/>
  <c r="BQ358" i="11"/>
  <c r="CW358" i="11"/>
  <c r="C358" i="11"/>
  <c r="S358" i="11"/>
  <c r="AI358" i="11"/>
  <c r="AY358" i="11"/>
  <c r="BO358" i="11"/>
  <c r="CE358" i="11"/>
  <c r="CU358" i="11"/>
  <c r="H358" i="11"/>
  <c r="X358" i="11"/>
  <c r="AN358" i="11"/>
  <c r="BD358" i="11"/>
  <c r="BD398" i="11" s="1"/>
  <c r="BT358" i="11"/>
  <c r="CJ358" i="11"/>
  <c r="CZ358" i="11"/>
  <c r="N358" i="11"/>
  <c r="Q358" i="11"/>
  <c r="AW358" i="11"/>
  <c r="CC358" i="11"/>
  <c r="V358" i="11"/>
  <c r="J358" i="11"/>
  <c r="AX358" i="11"/>
  <c r="CD358" i="11"/>
  <c r="BZ358" i="11"/>
  <c r="M358" i="11"/>
  <c r="AS358" i="11"/>
  <c r="G358" i="11"/>
  <c r="W358" i="11"/>
  <c r="AM358" i="11"/>
  <c r="BC358" i="11"/>
  <c r="BS358" i="11"/>
  <c r="CI358" i="11"/>
  <c r="CY358" i="11"/>
  <c r="L358" i="11"/>
  <c r="AB358" i="11"/>
  <c r="AR358" i="11"/>
  <c r="AR398" i="11" s="1"/>
  <c r="BH358" i="11"/>
  <c r="BX358" i="11"/>
  <c r="CN358" i="11"/>
  <c r="CS358" i="11"/>
  <c r="BI358" i="11"/>
  <c r="T358" i="11"/>
  <c r="BP358" i="11"/>
  <c r="CV358" i="11"/>
  <c r="AL358" i="11"/>
  <c r="Y358" i="11"/>
  <c r="BE358" i="11"/>
  <c r="CK358" i="11"/>
  <c r="AT358" i="11"/>
  <c r="R358" i="11"/>
  <c r="BF358" i="11"/>
  <c r="CL358" i="11"/>
  <c r="F358" i="11"/>
  <c r="CP358" i="11"/>
  <c r="B358" i="11"/>
  <c r="U358" i="11"/>
  <c r="BA358" i="11"/>
  <c r="CG358" i="11"/>
  <c r="K358" i="11"/>
  <c r="AA358" i="11"/>
  <c r="AQ358" i="11"/>
  <c r="BG358" i="11"/>
  <c r="BW358" i="11"/>
  <c r="CM358" i="11"/>
  <c r="P358" i="11"/>
  <c r="AF358" i="11"/>
  <c r="AV358" i="11"/>
  <c r="BL358" i="11"/>
  <c r="CB358" i="11"/>
  <c r="CR358" i="11"/>
  <c r="BM358" i="11"/>
  <c r="CO358" i="11"/>
  <c r="O358" i="11"/>
  <c r="AU358" i="11"/>
  <c r="CA358" i="11"/>
  <c r="AJ358" i="11"/>
  <c r="CF358" i="11"/>
  <c r="BJ358" i="11"/>
  <c r="AG358" i="11"/>
  <c r="BR358" i="11"/>
  <c r="Z358" i="11"/>
  <c r="BN358" i="11"/>
  <c r="CT358" i="11"/>
  <c r="AD358" i="11"/>
  <c r="AH358" i="11"/>
  <c r="AC358" i="11"/>
  <c r="AE358" i="11"/>
  <c r="BK358" i="11"/>
  <c r="CQ358" i="11"/>
  <c r="D358" i="11"/>
  <c r="AZ358" i="11"/>
  <c r="J35" i="8"/>
  <c r="J25" i="8"/>
  <c r="J28" i="8"/>
  <c r="J50" i="8"/>
  <c r="J67" i="8"/>
  <c r="J58" i="8"/>
  <c r="J23" i="8"/>
  <c r="J57" i="8"/>
  <c r="J18" i="8"/>
  <c r="J29" i="8"/>
  <c r="J64" i="8"/>
  <c r="J75" i="8"/>
  <c r="J46" i="8"/>
  <c r="J37" i="8"/>
  <c r="J26" i="8"/>
  <c r="J43" i="8"/>
  <c r="J65" i="8"/>
  <c r="I71" i="8"/>
  <c r="I21" i="8"/>
  <c r="I9" i="8"/>
  <c r="I12" i="8"/>
  <c r="I32" i="8"/>
  <c r="I17" i="8"/>
  <c r="I65" i="8"/>
  <c r="I10" i="8"/>
  <c r="K13" i="8"/>
  <c r="I23" i="8"/>
  <c r="K7" i="8"/>
  <c r="I40" i="8"/>
  <c r="I76" i="8"/>
  <c r="I49" i="8"/>
  <c r="I58" i="8"/>
  <c r="I8" i="8"/>
  <c r="I64" i="8"/>
  <c r="I16" i="8"/>
  <c r="I53" i="8"/>
  <c r="I26" i="8"/>
  <c r="I62" i="8"/>
  <c r="I51" i="8"/>
  <c r="K15" i="8"/>
  <c r="I31" i="8"/>
  <c r="I38" i="8"/>
  <c r="I29" i="8"/>
  <c r="K11" i="8"/>
  <c r="I20" i="8"/>
  <c r="I18" i="8"/>
  <c r="I48" i="8"/>
  <c r="I73" i="8"/>
  <c r="I6" i="8"/>
  <c r="I22" i="8"/>
  <c r="I69" i="8"/>
  <c r="K16" i="8"/>
  <c r="I27" i="8"/>
  <c r="K14" i="8"/>
  <c r="I11" i="8"/>
  <c r="I56" i="8"/>
  <c r="I39" i="8"/>
  <c r="K10" i="8"/>
  <c r="I24" i="8"/>
  <c r="I19" i="8"/>
  <c r="I74" i="8"/>
  <c r="I7" i="8"/>
  <c r="I75" i="8"/>
  <c r="I43" i="8"/>
  <c r="I72" i="8"/>
  <c r="I14" i="8"/>
  <c r="K5" i="8"/>
  <c r="I30" i="8"/>
  <c r="I41" i="8"/>
  <c r="K4" i="8"/>
  <c r="I57" i="8"/>
  <c r="I5" i="8"/>
  <c r="I47" i="8"/>
  <c r="I70" i="8"/>
  <c r="K8" i="8"/>
  <c r="I37" i="8"/>
  <c r="I33" i="8"/>
  <c r="I46" i="8"/>
  <c r="I36" i="8"/>
  <c r="I66" i="8"/>
  <c r="I50" i="8"/>
  <c r="I52" i="8"/>
  <c r="I28" i="8"/>
  <c r="I42" i="8"/>
  <c r="K6" i="8"/>
  <c r="I68" i="8"/>
  <c r="I44" i="8"/>
  <c r="I25" i="8"/>
  <c r="I60" i="8"/>
  <c r="I61" i="8"/>
  <c r="I54" i="8"/>
  <c r="I4" i="8"/>
  <c r="I63" i="8"/>
  <c r="I45" i="8"/>
  <c r="K9" i="8"/>
  <c r="I13" i="8"/>
  <c r="I55" i="8"/>
  <c r="I59" i="8"/>
  <c r="I35" i="8"/>
  <c r="I15" i="8"/>
  <c r="K12" i="8"/>
  <c r="I34" i="8"/>
  <c r="I67" i="8"/>
  <c r="BM65" i="1" l="1"/>
  <c r="BM66" i="1"/>
  <c r="BL65" i="1"/>
  <c r="BL66" i="1"/>
  <c r="BM57" i="1"/>
  <c r="BP57" i="1" s="1"/>
  <c r="BQ57" i="1" s="1"/>
  <c r="BF65" i="1"/>
  <c r="BF64" i="1"/>
  <c r="BF66" i="1" s="1"/>
  <c r="BD65" i="1"/>
  <c r="BD66" i="1"/>
  <c r="BC58" i="1"/>
  <c r="BC59" i="1" s="1"/>
  <c r="AU25" i="1"/>
  <c r="AG45" i="12" s="1"/>
  <c r="AM45" i="12" s="1"/>
  <c r="J42" i="12" s="1"/>
  <c r="AS48" i="1"/>
  <c r="AX19" i="1"/>
  <c r="AV19" i="1"/>
  <c r="AL59" i="1"/>
  <c r="AS47" i="1"/>
  <c r="AS46" i="1"/>
  <c r="AL34" i="1"/>
  <c r="AS50" i="1"/>
  <c r="AP56" i="1"/>
  <c r="AQ56" i="1"/>
  <c r="AU22" i="1"/>
  <c r="AK62" i="1"/>
  <c r="AH61" i="1"/>
  <c r="AH62" i="1" s="1"/>
  <c r="AG61" i="1"/>
  <c r="AH36" i="1"/>
  <c r="AH37" i="1" s="1"/>
  <c r="AU29" i="1"/>
  <c r="AL60" i="1"/>
  <c r="AU20" i="1"/>
  <c r="AU24" i="1"/>
  <c r="AS51" i="1"/>
  <c r="AU23" i="1"/>
  <c r="AS55" i="1"/>
  <c r="AS54" i="1"/>
  <c r="AS52" i="1"/>
  <c r="AU27" i="1"/>
  <c r="AO56" i="1"/>
  <c r="AS53" i="1"/>
  <c r="AS44" i="1"/>
  <c r="AN56" i="1"/>
  <c r="AU28" i="1"/>
  <c r="AU21" i="1"/>
  <c r="AS45" i="1"/>
  <c r="AS49" i="1"/>
  <c r="CR18" i="17"/>
  <c r="AU30" i="1"/>
  <c r="AG39" i="12"/>
  <c r="AW31" i="1"/>
  <c r="AU26" i="1"/>
  <c r="AX26" i="1" s="1"/>
  <c r="BC61" i="1"/>
  <c r="AT31" i="1"/>
  <c r="AL35" i="1"/>
  <c r="BM60" i="1"/>
  <c r="BN58" i="1"/>
  <c r="BN59" i="1" s="1"/>
  <c r="BN64" i="1" s="1"/>
  <c r="BF57" i="1"/>
  <c r="BO58" i="1"/>
  <c r="BO59" i="1" s="1"/>
  <c r="BO64" i="1" s="1"/>
  <c r="BM61" i="1"/>
  <c r="BF60" i="1"/>
  <c r="BD60" i="1"/>
  <c r="BF61" i="1"/>
  <c r="BD61" i="1"/>
  <c r="BD57" i="1"/>
  <c r="BE58" i="1"/>
  <c r="BE59" i="1" s="1"/>
  <c r="BL60" i="1"/>
  <c r="BL61" i="1"/>
  <c r="BK59" i="1"/>
  <c r="BK64" i="1" s="1"/>
  <c r="BB58" i="1"/>
  <c r="BB59" i="1" s="1"/>
  <c r="AJ109" i="1"/>
  <c r="AJ43" i="12" s="1"/>
  <c r="AP43" i="12" s="1"/>
  <c r="BE113" i="1"/>
  <c r="AI110" i="1"/>
  <c r="AL110" i="1" s="1"/>
  <c r="BD114" i="1"/>
  <c r="CM375" i="11"/>
  <c r="CM367" i="11"/>
  <c r="CM364" i="11"/>
  <c r="CM377" i="11"/>
  <c r="CM365" i="11"/>
  <c r="CM374" i="11"/>
  <c r="CM373" i="11"/>
  <c r="CM368" i="11"/>
  <c r="CM366" i="11"/>
  <c r="CM372" i="11"/>
  <c r="CM369" i="11"/>
  <c r="CM370" i="11"/>
  <c r="CM363" i="11"/>
  <c r="CM376" i="11"/>
  <c r="CM371" i="11"/>
  <c r="CM378" i="11"/>
  <c r="CS370" i="11"/>
  <c r="CS367" i="11"/>
  <c r="CS366" i="11"/>
  <c r="CS360" i="11"/>
  <c r="CS371" i="11"/>
  <c r="CS362" i="11"/>
  <c r="CS369" i="11"/>
  <c r="CS364" i="11"/>
  <c r="CS365" i="11"/>
  <c r="CS372" i="11"/>
  <c r="CS361" i="11"/>
  <c r="CS368" i="11"/>
  <c r="CS363" i="11"/>
  <c r="CS359" i="11"/>
  <c r="CI382" i="11"/>
  <c r="CI376" i="11"/>
  <c r="CI370" i="11"/>
  <c r="CI374" i="11"/>
  <c r="CI367" i="11"/>
  <c r="CI380" i="11"/>
  <c r="CI375" i="11"/>
  <c r="CI371" i="11"/>
  <c r="CI379" i="11"/>
  <c r="CI368" i="11"/>
  <c r="CI369" i="11"/>
  <c r="CI378" i="11"/>
  <c r="CI377" i="11"/>
  <c r="CI373" i="11"/>
  <c r="CI372" i="11"/>
  <c r="CI381" i="11"/>
  <c r="BZ380" i="11"/>
  <c r="BZ382" i="11"/>
  <c r="BZ378" i="11"/>
  <c r="BZ385" i="11"/>
  <c r="BZ377" i="11"/>
  <c r="BZ379" i="11"/>
  <c r="BZ388" i="11"/>
  <c r="BZ391" i="11"/>
  <c r="BZ383" i="11"/>
  <c r="BZ389" i="11"/>
  <c r="BZ384" i="11"/>
  <c r="BZ387" i="11"/>
  <c r="BZ376" i="11"/>
  <c r="BZ386" i="11"/>
  <c r="BZ390" i="11"/>
  <c r="BZ381" i="11"/>
  <c r="CU365" i="11"/>
  <c r="CU359" i="11"/>
  <c r="CU362" i="11"/>
  <c r="CU364" i="11"/>
  <c r="CU360" i="11"/>
  <c r="CU361" i="11"/>
  <c r="CU366" i="11"/>
  <c r="CU367" i="11"/>
  <c r="CU363" i="11"/>
  <c r="CU368" i="11"/>
  <c r="CU369" i="11"/>
  <c r="CU370" i="11"/>
  <c r="BQ386" i="11"/>
  <c r="BQ398" i="11"/>
  <c r="BQ391" i="11"/>
  <c r="BQ397" i="11"/>
  <c r="BQ392" i="11"/>
  <c r="BQ393" i="11"/>
  <c r="BQ396" i="11"/>
  <c r="BQ385" i="11"/>
  <c r="BQ394" i="11"/>
  <c r="BQ387" i="11"/>
  <c r="BQ388" i="11"/>
  <c r="BQ389" i="11"/>
  <c r="BQ395" i="11"/>
  <c r="BQ390" i="11"/>
  <c r="DA362" i="11"/>
  <c r="DA360" i="11"/>
  <c r="DA359" i="11"/>
  <c r="DA361" i="11"/>
  <c r="DA364" i="11"/>
  <c r="DA363" i="11"/>
  <c r="BR391" i="11"/>
  <c r="BR398" i="11"/>
  <c r="BR394" i="11"/>
  <c r="BR385" i="11"/>
  <c r="BR384" i="11"/>
  <c r="BR388" i="11"/>
  <c r="BR395" i="11"/>
  <c r="BR387" i="11"/>
  <c r="BR393" i="11"/>
  <c r="BR389" i="11"/>
  <c r="BR386" i="11"/>
  <c r="BR390" i="11"/>
  <c r="BR397" i="11"/>
  <c r="BR392" i="11"/>
  <c r="BR396" i="11"/>
  <c r="BW385" i="11"/>
  <c r="BW379" i="11"/>
  <c r="BW392" i="11"/>
  <c r="BW386" i="11"/>
  <c r="BW383" i="11"/>
  <c r="BW384" i="11"/>
  <c r="BW391" i="11"/>
  <c r="BW387" i="11"/>
  <c r="BW390" i="11"/>
  <c r="BW380" i="11"/>
  <c r="BW382" i="11"/>
  <c r="BW389" i="11"/>
  <c r="BW394" i="11"/>
  <c r="BW388" i="11"/>
  <c r="BW381" i="11"/>
  <c r="BW393" i="11"/>
  <c r="BE397" i="11"/>
  <c r="BE398" i="11"/>
  <c r="CN372" i="11"/>
  <c r="CN366" i="11"/>
  <c r="CN374" i="11"/>
  <c r="CN367" i="11"/>
  <c r="CN365" i="11"/>
  <c r="CN373" i="11"/>
  <c r="CN362" i="11"/>
  <c r="CN371" i="11"/>
  <c r="CN368" i="11"/>
  <c r="CN370" i="11"/>
  <c r="CN364" i="11"/>
  <c r="CN377" i="11"/>
  <c r="CN363" i="11"/>
  <c r="CN375" i="11"/>
  <c r="CN369" i="11"/>
  <c r="CN376" i="11"/>
  <c r="BS392" i="11"/>
  <c r="BS386" i="11"/>
  <c r="BS388" i="11"/>
  <c r="BS387" i="11"/>
  <c r="BS398" i="11"/>
  <c r="BS383" i="11"/>
  <c r="BS385" i="11"/>
  <c r="BS391" i="11"/>
  <c r="BS396" i="11"/>
  <c r="BS397" i="11"/>
  <c r="BS384" i="11"/>
  <c r="BS393" i="11"/>
  <c r="BS394" i="11"/>
  <c r="BS390" i="11"/>
  <c r="BS389" i="11"/>
  <c r="BS395" i="11"/>
  <c r="CD378" i="11"/>
  <c r="CD374" i="11"/>
  <c r="CD387" i="11"/>
  <c r="CD383" i="11"/>
  <c r="CD381" i="11"/>
  <c r="CD380" i="11"/>
  <c r="CD372" i="11"/>
  <c r="CD376" i="11"/>
  <c r="CD375" i="11"/>
  <c r="CD373" i="11"/>
  <c r="CD382" i="11"/>
  <c r="CD384" i="11"/>
  <c r="CD386" i="11"/>
  <c r="CD385" i="11"/>
  <c r="CD377" i="11"/>
  <c r="CD379" i="11"/>
  <c r="CZ364" i="11"/>
  <c r="CZ362" i="11"/>
  <c r="CZ360" i="11"/>
  <c r="CZ359" i="11"/>
  <c r="CZ365" i="11"/>
  <c r="CZ363" i="11"/>
  <c r="CZ361" i="11"/>
  <c r="CE371" i="11"/>
  <c r="CE374" i="11"/>
  <c r="CE378" i="11"/>
  <c r="CE383" i="11"/>
  <c r="CE372" i="11"/>
  <c r="CE386" i="11"/>
  <c r="CE381" i="11"/>
  <c r="CE379" i="11"/>
  <c r="CE373" i="11"/>
  <c r="CE380" i="11"/>
  <c r="CE375" i="11"/>
  <c r="CE385" i="11"/>
  <c r="CE377" i="11"/>
  <c r="CE382" i="11"/>
  <c r="CE384" i="11"/>
  <c r="CE376" i="11"/>
  <c r="BU386" i="11"/>
  <c r="BU394" i="11"/>
  <c r="BU393" i="11"/>
  <c r="BU396" i="11"/>
  <c r="BU382" i="11"/>
  <c r="BU391" i="11"/>
  <c r="BU385" i="11"/>
  <c r="BU383" i="11"/>
  <c r="BU388" i="11"/>
  <c r="BU392" i="11"/>
  <c r="BU390" i="11"/>
  <c r="BU389" i="11"/>
  <c r="BU395" i="11"/>
  <c r="BU381" i="11"/>
  <c r="BU384" i="11"/>
  <c r="BU387" i="11"/>
  <c r="BG396" i="11"/>
  <c r="BG395" i="11"/>
  <c r="BG397" i="11"/>
  <c r="BG398" i="11"/>
  <c r="BK398" i="11"/>
  <c r="BK391" i="11"/>
  <c r="BK392" i="11"/>
  <c r="BK395" i="11"/>
  <c r="BK393" i="11"/>
  <c r="BK394" i="11"/>
  <c r="BK396" i="11"/>
  <c r="BK397" i="11"/>
  <c r="CK380" i="11"/>
  <c r="CK375" i="11"/>
  <c r="CK379" i="11"/>
  <c r="CK366" i="11"/>
  <c r="CK376" i="11"/>
  <c r="CK368" i="11"/>
  <c r="CK369" i="11"/>
  <c r="CK371" i="11"/>
  <c r="CK367" i="11"/>
  <c r="CK372" i="11"/>
  <c r="CK374" i="11"/>
  <c r="CK373" i="11"/>
  <c r="CK378" i="11"/>
  <c r="CK377" i="11"/>
  <c r="CK370" i="11"/>
  <c r="CK365" i="11"/>
  <c r="BX393" i="11"/>
  <c r="BX379" i="11"/>
  <c r="BX390" i="11"/>
  <c r="BX392" i="11"/>
  <c r="BX382" i="11"/>
  <c r="BX384" i="11"/>
  <c r="BX387" i="11"/>
  <c r="BX391" i="11"/>
  <c r="BX383" i="11"/>
  <c r="BX385" i="11"/>
  <c r="BX388" i="11"/>
  <c r="BX380" i="11"/>
  <c r="BX381" i="11"/>
  <c r="BX378" i="11"/>
  <c r="BX389" i="11"/>
  <c r="BX386" i="11"/>
  <c r="CF375" i="11"/>
  <c r="CF376" i="11"/>
  <c r="CF384" i="11"/>
  <c r="CF383" i="11"/>
  <c r="CF385" i="11"/>
  <c r="CF370" i="11"/>
  <c r="CF371" i="11"/>
  <c r="CF378" i="11"/>
  <c r="CF380" i="11"/>
  <c r="CF373" i="11"/>
  <c r="CF381" i="11"/>
  <c r="CF372" i="11"/>
  <c r="CF379" i="11"/>
  <c r="CF382" i="11"/>
  <c r="CF377" i="11"/>
  <c r="CF374" i="11"/>
  <c r="CB382" i="11"/>
  <c r="CB388" i="11"/>
  <c r="CB377" i="11"/>
  <c r="CB375" i="11"/>
  <c r="CB376" i="11"/>
  <c r="CB383" i="11"/>
  <c r="CB385" i="11"/>
  <c r="CB387" i="11"/>
  <c r="CB380" i="11"/>
  <c r="CB378" i="11"/>
  <c r="CB381" i="11"/>
  <c r="CB374" i="11"/>
  <c r="CB389" i="11"/>
  <c r="CB386" i="11"/>
  <c r="CB379" i="11"/>
  <c r="CB384" i="11"/>
  <c r="BH394" i="11"/>
  <c r="BH397" i="11"/>
  <c r="BH396" i="11"/>
  <c r="BH398" i="11"/>
  <c r="BH395" i="11"/>
  <c r="BT396" i="11"/>
  <c r="BT384" i="11"/>
  <c r="BT389" i="11"/>
  <c r="BT386" i="11"/>
  <c r="BT393" i="11"/>
  <c r="BT395" i="11"/>
  <c r="BT387" i="11"/>
  <c r="BT382" i="11"/>
  <c r="BT388" i="11"/>
  <c r="BT391" i="11"/>
  <c r="BT394" i="11"/>
  <c r="BT383" i="11"/>
  <c r="BT385" i="11"/>
  <c r="BT397" i="11"/>
  <c r="BT390" i="11"/>
  <c r="BT392" i="11"/>
  <c r="CO362" i="11"/>
  <c r="CO376" i="11"/>
  <c r="CO368" i="11"/>
  <c r="CO366" i="11"/>
  <c r="CO364" i="11"/>
  <c r="CO374" i="11"/>
  <c r="CO372" i="11"/>
  <c r="CO363" i="11"/>
  <c r="CO373" i="11"/>
  <c r="CO369" i="11"/>
  <c r="CO365" i="11"/>
  <c r="CO367" i="11"/>
  <c r="CO371" i="11"/>
  <c r="CO361" i="11"/>
  <c r="CO375" i="11"/>
  <c r="CO370" i="11"/>
  <c r="BM393" i="11"/>
  <c r="BM398" i="11"/>
  <c r="BM390" i="11"/>
  <c r="BM396" i="11"/>
  <c r="BM397" i="11"/>
  <c r="BM394" i="11"/>
  <c r="BM392" i="11"/>
  <c r="BM389" i="11"/>
  <c r="BM391" i="11"/>
  <c r="BM395" i="11"/>
  <c r="BL397" i="11"/>
  <c r="BL398" i="11"/>
  <c r="BL390" i="11"/>
  <c r="BL396" i="11"/>
  <c r="BL394" i="11"/>
  <c r="BL392" i="11"/>
  <c r="BL395" i="11"/>
  <c r="BL393" i="11"/>
  <c r="BL391" i="11"/>
  <c r="CL372" i="11"/>
  <c r="CL376" i="11"/>
  <c r="CL365" i="11"/>
  <c r="CL375" i="11"/>
  <c r="CL373" i="11"/>
  <c r="CL374" i="11"/>
  <c r="CL366" i="11"/>
  <c r="CL378" i="11"/>
  <c r="CL369" i="11"/>
  <c r="CL371" i="11"/>
  <c r="CL368" i="11"/>
  <c r="CL377" i="11"/>
  <c r="CL379" i="11"/>
  <c r="CL370" i="11"/>
  <c r="CL367" i="11"/>
  <c r="CL364" i="11"/>
  <c r="CV365" i="11"/>
  <c r="CV361" i="11"/>
  <c r="CV367" i="11"/>
  <c r="CV366" i="11"/>
  <c r="CV362" i="11"/>
  <c r="CV368" i="11"/>
  <c r="CV360" i="11"/>
  <c r="CV363" i="11"/>
  <c r="CV369" i="11"/>
  <c r="CV364" i="11"/>
  <c r="CV359" i="11"/>
  <c r="DB359" i="11"/>
  <c r="DB361" i="11"/>
  <c r="DB363" i="11"/>
  <c r="DB362" i="11"/>
  <c r="DB360" i="11"/>
  <c r="CH368" i="11"/>
  <c r="CH383" i="11"/>
  <c r="CH382" i="11"/>
  <c r="CH369" i="11"/>
  <c r="CH376" i="11"/>
  <c r="CH375" i="11"/>
  <c r="CH373" i="11"/>
  <c r="CH380" i="11"/>
  <c r="CH372" i="11"/>
  <c r="CH370" i="11"/>
  <c r="CH378" i="11"/>
  <c r="CH371" i="11"/>
  <c r="CH377" i="11"/>
  <c r="CH379" i="11"/>
  <c r="CH381" i="11"/>
  <c r="CH374" i="11"/>
  <c r="CR364" i="11"/>
  <c r="CR366" i="11"/>
  <c r="CR365" i="11"/>
  <c r="CR361" i="11"/>
  <c r="CR373" i="11"/>
  <c r="CR372" i="11"/>
  <c r="CR360" i="11"/>
  <c r="CR359" i="11"/>
  <c r="CR368" i="11"/>
  <c r="CR367" i="11"/>
  <c r="CR371" i="11"/>
  <c r="CR363" i="11"/>
  <c r="CR370" i="11"/>
  <c r="CR369" i="11"/>
  <c r="CR362" i="11"/>
  <c r="CJ374" i="11"/>
  <c r="CJ376" i="11"/>
  <c r="CJ369" i="11"/>
  <c r="CJ368" i="11"/>
  <c r="CJ378" i="11"/>
  <c r="CJ380" i="11"/>
  <c r="CJ372" i="11"/>
  <c r="CJ373" i="11"/>
  <c r="CJ381" i="11"/>
  <c r="CJ370" i="11"/>
  <c r="CJ379" i="11"/>
  <c r="CJ367" i="11"/>
  <c r="CJ377" i="11"/>
  <c r="CJ366" i="11"/>
  <c r="CJ375" i="11"/>
  <c r="CJ371" i="11"/>
  <c r="CT370" i="11"/>
  <c r="CT363" i="11"/>
  <c r="CT364" i="11"/>
  <c r="CT360" i="11"/>
  <c r="CT371" i="11"/>
  <c r="CT368" i="11"/>
  <c r="CT369" i="11"/>
  <c r="CT361" i="11"/>
  <c r="CT367" i="11"/>
  <c r="CT362" i="11"/>
  <c r="CT366" i="11"/>
  <c r="CT359" i="11"/>
  <c r="CT365" i="11"/>
  <c r="CA386" i="11"/>
  <c r="CA390" i="11"/>
  <c r="CA387" i="11"/>
  <c r="CA378" i="11"/>
  <c r="CA377" i="11"/>
  <c r="CA388" i="11"/>
  <c r="CA384" i="11"/>
  <c r="CA380" i="11"/>
  <c r="CA381" i="11"/>
  <c r="CA376" i="11"/>
  <c r="CA389" i="11"/>
  <c r="CA379" i="11"/>
  <c r="CA382" i="11"/>
  <c r="CA375" i="11"/>
  <c r="CA383" i="11"/>
  <c r="CA385" i="11"/>
  <c r="BF397" i="11"/>
  <c r="BF396" i="11"/>
  <c r="BF398" i="11"/>
  <c r="BP387" i="11"/>
  <c r="BP398" i="11"/>
  <c r="BP389" i="11"/>
  <c r="BP386" i="11"/>
  <c r="BP395" i="11"/>
  <c r="BP391" i="11"/>
  <c r="BP394" i="11"/>
  <c r="BP388" i="11"/>
  <c r="BP393" i="11"/>
  <c r="BP396" i="11"/>
  <c r="BP390" i="11"/>
  <c r="BP392" i="11"/>
  <c r="BP397" i="11"/>
  <c r="CC380" i="11"/>
  <c r="CC382" i="11"/>
  <c r="CC374" i="11"/>
  <c r="CC387" i="11"/>
  <c r="CC385" i="11"/>
  <c r="CC378" i="11"/>
  <c r="CC384" i="11"/>
  <c r="CC383" i="11"/>
  <c r="CC375" i="11"/>
  <c r="CC373" i="11"/>
  <c r="CC376" i="11"/>
  <c r="CC386" i="11"/>
  <c r="CC377" i="11"/>
  <c r="CC381" i="11"/>
  <c r="CC388" i="11"/>
  <c r="CC379" i="11"/>
  <c r="BV380" i="11"/>
  <c r="BV390" i="11"/>
  <c r="BV388" i="11"/>
  <c r="BV385" i="11"/>
  <c r="BV395" i="11"/>
  <c r="BV387" i="11"/>
  <c r="BV394" i="11"/>
  <c r="BV383" i="11"/>
  <c r="BV381" i="11"/>
  <c r="BV384" i="11"/>
  <c r="BV392" i="11"/>
  <c r="BV393" i="11"/>
  <c r="BV382" i="11"/>
  <c r="BV386" i="11"/>
  <c r="BV391" i="11"/>
  <c r="BV389" i="11"/>
  <c r="BJ394" i="11"/>
  <c r="BJ393" i="11"/>
  <c r="BJ395" i="11"/>
  <c r="BJ392" i="11"/>
  <c r="BJ396" i="11"/>
  <c r="BJ397" i="11"/>
  <c r="BJ398" i="11"/>
  <c r="BO398" i="11"/>
  <c r="BO397" i="11"/>
  <c r="BO389" i="11"/>
  <c r="BO391" i="11"/>
  <c r="BO395" i="11"/>
  <c r="BO390" i="11"/>
  <c r="BO388" i="11"/>
  <c r="BO393" i="11"/>
  <c r="BO394" i="11"/>
  <c r="BO387" i="11"/>
  <c r="BO392" i="11"/>
  <c r="BO396" i="11"/>
  <c r="BN391" i="11"/>
  <c r="BN398" i="11"/>
  <c r="BN394" i="11"/>
  <c r="BN393" i="11"/>
  <c r="BN388" i="11"/>
  <c r="BN395" i="11"/>
  <c r="BN389" i="11"/>
  <c r="BN390" i="11"/>
  <c r="BN396" i="11"/>
  <c r="BN397" i="11"/>
  <c r="BN392" i="11"/>
  <c r="CP374" i="11"/>
  <c r="CP368" i="11"/>
  <c r="CP365" i="11"/>
  <c r="CP375" i="11"/>
  <c r="CP369" i="11"/>
  <c r="CP373" i="11"/>
  <c r="CP360" i="11"/>
  <c r="CP362" i="11"/>
  <c r="CP366" i="11"/>
  <c r="CP372" i="11"/>
  <c r="CP371" i="11"/>
  <c r="CP367" i="11"/>
  <c r="CP361" i="11"/>
  <c r="CP363" i="11"/>
  <c r="CP364" i="11"/>
  <c r="CP370" i="11"/>
  <c r="CG383" i="11"/>
  <c r="CG375" i="11"/>
  <c r="CG372" i="11"/>
  <c r="CG374" i="11"/>
  <c r="CG376" i="11"/>
  <c r="CG371" i="11"/>
  <c r="CG378" i="11"/>
  <c r="CG384" i="11"/>
  <c r="CG379" i="11"/>
  <c r="CG381" i="11"/>
  <c r="CG380" i="11"/>
  <c r="CG370" i="11"/>
  <c r="CG369" i="11"/>
  <c r="CG377" i="11"/>
  <c r="CG382" i="11"/>
  <c r="CG373" i="11"/>
  <c r="CQ365" i="11"/>
  <c r="CQ362" i="11"/>
  <c r="CQ364" i="11"/>
  <c r="CQ359" i="11"/>
  <c r="CQ372" i="11"/>
  <c r="CQ371" i="11"/>
  <c r="CQ367" i="11"/>
  <c r="CQ360" i="11"/>
  <c r="CQ366" i="11"/>
  <c r="CQ369" i="11"/>
  <c r="CQ374" i="11"/>
  <c r="CQ368" i="11"/>
  <c r="CQ361" i="11"/>
  <c r="CQ370" i="11"/>
  <c r="CQ363" i="11"/>
  <c r="CQ373" i="11"/>
  <c r="BI398" i="11"/>
  <c r="BI395" i="11"/>
  <c r="BI393" i="11"/>
  <c r="BI397" i="11"/>
  <c r="BI394" i="11"/>
  <c r="BI396" i="11"/>
  <c r="CY363" i="11"/>
  <c r="CY359" i="11"/>
  <c r="CY365" i="11"/>
  <c r="CY360" i="11"/>
  <c r="CY366" i="11"/>
  <c r="CY361" i="11"/>
  <c r="CY362" i="11"/>
  <c r="CY364" i="11"/>
  <c r="CW367" i="11"/>
  <c r="CW359" i="11"/>
  <c r="CW366" i="11"/>
  <c r="CW365" i="11"/>
  <c r="CW362" i="11"/>
  <c r="CW361" i="11"/>
  <c r="CW364" i="11"/>
  <c r="CW360" i="11"/>
  <c r="CW368" i="11"/>
  <c r="CW363" i="11"/>
  <c r="CX360" i="11"/>
  <c r="CX363" i="11"/>
  <c r="CX364" i="11"/>
  <c r="CX362" i="11"/>
  <c r="CX367" i="11"/>
  <c r="CX361" i="11"/>
  <c r="CX366" i="11"/>
  <c r="CX365" i="11"/>
  <c r="CX359" i="11"/>
  <c r="DF354" i="11"/>
  <c r="DF357" i="11"/>
  <c r="DF345" i="11"/>
  <c r="DF339" i="11"/>
  <c r="DF343" i="11"/>
  <c r="DF348" i="11"/>
  <c r="DF356" i="11"/>
  <c r="DF333" i="11"/>
  <c r="DF337" i="11"/>
  <c r="DF332" i="11"/>
  <c r="DF336" i="11"/>
  <c r="DF340" i="11"/>
  <c r="DF338" i="11"/>
  <c r="DF344" i="11"/>
  <c r="DF353" i="11"/>
  <c r="DF347" i="11"/>
  <c r="DF346" i="11"/>
  <c r="DF350" i="11"/>
  <c r="DF352" i="11"/>
  <c r="DF355" i="11"/>
  <c r="DF349" i="11"/>
  <c r="DF351" i="11"/>
  <c r="DF341" i="11"/>
  <c r="DF335" i="11"/>
  <c r="DF334" i="11"/>
  <c r="BD158" i="1"/>
  <c r="CP359" i="11"/>
  <c r="DF342" i="11"/>
  <c r="BB157" i="1"/>
  <c r="AM157" i="1"/>
  <c r="BC114" i="1"/>
  <c r="BB118" i="1"/>
  <c r="BG393" i="11"/>
  <c r="BG394" i="11"/>
  <c r="BG386" i="11"/>
  <c r="BG384" i="11"/>
  <c r="BG390" i="11"/>
  <c r="BG387" i="11"/>
  <c r="BG388" i="11"/>
  <c r="BG385" i="11"/>
  <c r="BG391" i="11"/>
  <c r="BG383" i="11"/>
  <c r="BG389" i="11"/>
  <c r="BG392" i="11"/>
  <c r="BX372" i="11"/>
  <c r="BX374" i="11"/>
  <c r="BX375" i="11"/>
  <c r="BX367" i="11"/>
  <c r="BX368" i="11"/>
  <c r="BX377" i="11"/>
  <c r="BX369" i="11"/>
  <c r="BX370" i="11"/>
  <c r="BX366" i="11"/>
  <c r="BX376" i="11"/>
  <c r="BX371" i="11"/>
  <c r="BX373" i="11"/>
  <c r="CE364" i="11"/>
  <c r="CE369" i="11"/>
  <c r="CE366" i="11"/>
  <c r="CE361" i="11"/>
  <c r="CE359" i="11"/>
  <c r="CE367" i="11"/>
  <c r="CE362" i="11"/>
  <c r="CE363" i="11"/>
  <c r="CE360" i="11"/>
  <c r="CE368" i="11"/>
  <c r="CE370" i="11"/>
  <c r="CE365" i="11"/>
  <c r="CF364" i="11"/>
  <c r="CF359" i="11"/>
  <c r="CF363" i="11"/>
  <c r="CF369" i="11"/>
  <c r="CF360" i="11"/>
  <c r="CF367" i="11"/>
  <c r="CF365" i="11"/>
  <c r="CF362" i="11"/>
  <c r="CF368" i="11"/>
  <c r="CF366" i="11"/>
  <c r="CF361" i="11"/>
  <c r="BH393" i="11"/>
  <c r="BH391" i="11"/>
  <c r="BH392" i="11"/>
  <c r="BH382" i="11"/>
  <c r="BH388" i="11"/>
  <c r="BH385" i="11"/>
  <c r="BH389" i="11"/>
  <c r="BH386" i="11"/>
  <c r="BH384" i="11"/>
  <c r="BH383" i="11"/>
  <c r="BH387" i="11"/>
  <c r="BH390" i="11"/>
  <c r="CJ359" i="11"/>
  <c r="CJ362" i="11"/>
  <c r="CJ364" i="11"/>
  <c r="CJ363" i="11"/>
  <c r="CJ360" i="11"/>
  <c r="CJ365" i="11"/>
  <c r="CJ361" i="11"/>
  <c r="BL380" i="11"/>
  <c r="BL382" i="11"/>
  <c r="BL385" i="11"/>
  <c r="BL389" i="11"/>
  <c r="BL386" i="11"/>
  <c r="BL383" i="11"/>
  <c r="BL384" i="11"/>
  <c r="BL378" i="11"/>
  <c r="BL388" i="11"/>
  <c r="BL379" i="11"/>
  <c r="BL387" i="11"/>
  <c r="BL381" i="11"/>
  <c r="CL361" i="11"/>
  <c r="CL359" i="11"/>
  <c r="CL360" i="11"/>
  <c r="CL363" i="11"/>
  <c r="CL362" i="11"/>
  <c r="BT380" i="11"/>
  <c r="BT374" i="11"/>
  <c r="BT371" i="11"/>
  <c r="BT372" i="11"/>
  <c r="BT376" i="11"/>
  <c r="BT375" i="11"/>
  <c r="BT381" i="11"/>
  <c r="BT377" i="11"/>
  <c r="BT379" i="11"/>
  <c r="BT370" i="11"/>
  <c r="BT378" i="11"/>
  <c r="BT373" i="11"/>
  <c r="AY392" i="11"/>
  <c r="AY398" i="11"/>
  <c r="AY391" i="11"/>
  <c r="AY395" i="11"/>
  <c r="AY397" i="11"/>
  <c r="AY396" i="11"/>
  <c r="AY393" i="11"/>
  <c r="AY394" i="11"/>
  <c r="BB394" i="11"/>
  <c r="BB389" i="11"/>
  <c r="BB398" i="11"/>
  <c r="BB396" i="11"/>
  <c r="BB388" i="11"/>
  <c r="BB395" i="11"/>
  <c r="BB397" i="11"/>
  <c r="BB393" i="11"/>
  <c r="BB392" i="11"/>
  <c r="BB390" i="11"/>
  <c r="BB391" i="11"/>
  <c r="AZ396" i="11"/>
  <c r="AZ390" i="11"/>
  <c r="AZ393" i="11"/>
  <c r="AZ391" i="11"/>
  <c r="AZ395" i="11"/>
  <c r="AZ398" i="11"/>
  <c r="AZ394" i="11"/>
  <c r="AZ397" i="11"/>
  <c r="AZ392" i="11"/>
  <c r="CA371" i="11"/>
  <c r="CA374" i="11"/>
  <c r="CA373" i="11"/>
  <c r="CA363" i="11"/>
  <c r="CA369" i="11"/>
  <c r="CA372" i="11"/>
  <c r="CA364" i="11"/>
  <c r="CA366" i="11"/>
  <c r="CA365" i="11"/>
  <c r="CA370" i="11"/>
  <c r="CA368" i="11"/>
  <c r="CA367" i="11"/>
  <c r="AV396" i="11"/>
  <c r="AV398" i="11"/>
  <c r="AV395" i="11"/>
  <c r="AV394" i="11"/>
  <c r="AV397" i="11"/>
  <c r="BF394" i="11"/>
  <c r="BF385" i="11"/>
  <c r="BF386" i="11"/>
  <c r="BF391" i="11"/>
  <c r="BF388" i="11"/>
  <c r="BF387" i="11"/>
  <c r="BF395" i="11"/>
  <c r="BF389" i="11"/>
  <c r="BF392" i="11"/>
  <c r="BF390" i="11"/>
  <c r="BF384" i="11"/>
  <c r="BF393" i="11"/>
  <c r="BP380" i="11"/>
  <c r="BP376" i="11"/>
  <c r="BP385" i="11"/>
  <c r="BP383" i="11"/>
  <c r="BP375" i="11"/>
  <c r="BP377" i="11"/>
  <c r="BP379" i="11"/>
  <c r="BP378" i="11"/>
  <c r="BP384" i="11"/>
  <c r="BP381" i="11"/>
  <c r="BP374" i="11"/>
  <c r="BP382" i="11"/>
  <c r="BD388" i="11"/>
  <c r="BD394" i="11"/>
  <c r="BD392" i="11"/>
  <c r="BD395" i="11"/>
  <c r="BD397" i="11"/>
  <c r="BD389" i="11"/>
  <c r="BD386" i="11"/>
  <c r="BD391" i="11"/>
  <c r="BD387" i="11"/>
  <c r="BD393" i="11"/>
  <c r="BD396" i="11"/>
  <c r="BD390" i="11"/>
  <c r="CH364" i="11"/>
  <c r="CH366" i="11"/>
  <c r="CH359" i="11"/>
  <c r="CH365" i="11"/>
  <c r="CH360" i="11"/>
  <c r="CH363" i="11"/>
  <c r="CH362" i="11"/>
  <c r="CH367" i="11"/>
  <c r="CH361" i="11"/>
  <c r="BY368" i="11"/>
  <c r="BY369" i="11"/>
  <c r="BY372" i="11"/>
  <c r="BY370" i="11"/>
  <c r="BY365" i="11"/>
  <c r="BY371" i="11"/>
  <c r="BY376" i="11"/>
  <c r="BY367" i="11"/>
  <c r="BY373" i="11"/>
  <c r="BY374" i="11"/>
  <c r="BY366" i="11"/>
  <c r="BY375" i="11"/>
  <c r="BV373" i="11"/>
  <c r="BV378" i="11"/>
  <c r="BV370" i="11"/>
  <c r="BV379" i="11"/>
  <c r="BV376" i="11"/>
  <c r="BV371" i="11"/>
  <c r="BV374" i="11"/>
  <c r="BV372" i="11"/>
  <c r="BV369" i="11"/>
  <c r="BV375" i="11"/>
  <c r="BV377" i="11"/>
  <c r="BV368" i="11"/>
  <c r="CG360" i="11"/>
  <c r="CG366" i="11"/>
  <c r="CG365" i="11"/>
  <c r="CG364" i="11"/>
  <c r="CG363" i="11"/>
  <c r="CG361" i="11"/>
  <c r="CG362" i="11"/>
  <c r="CG359" i="11"/>
  <c r="CG368" i="11"/>
  <c r="CG367" i="11"/>
  <c r="BA391" i="11"/>
  <c r="BA395" i="11"/>
  <c r="BA392" i="11"/>
  <c r="BA393" i="11"/>
  <c r="BA397" i="11"/>
  <c r="BA390" i="11"/>
  <c r="BA394" i="11"/>
  <c r="BA398" i="11"/>
  <c r="BA389" i="11"/>
  <c r="BA396" i="11"/>
  <c r="AS398" i="11"/>
  <c r="AS397" i="11"/>
  <c r="BN380" i="11"/>
  <c r="BN377" i="11"/>
  <c r="BN387" i="11"/>
  <c r="BN382" i="11"/>
  <c r="BN383" i="11"/>
  <c r="BN379" i="11"/>
  <c r="BN386" i="11"/>
  <c r="BN378" i="11"/>
  <c r="BN376" i="11"/>
  <c r="BN381" i="11"/>
  <c r="BN385" i="11"/>
  <c r="BN384" i="11"/>
  <c r="CC365" i="11"/>
  <c r="CC367" i="11"/>
  <c r="CC364" i="11"/>
  <c r="CC372" i="11"/>
  <c r="CC362" i="11"/>
  <c r="CC370" i="11"/>
  <c r="CC363" i="11"/>
  <c r="CC369" i="11"/>
  <c r="CC371" i="11"/>
  <c r="CC368" i="11"/>
  <c r="CC366" i="11"/>
  <c r="CC361" i="11"/>
  <c r="BI383" i="11"/>
  <c r="BI387" i="11"/>
  <c r="BI390" i="11"/>
  <c r="BI391" i="11"/>
  <c r="BI381" i="11"/>
  <c r="BI385" i="11"/>
  <c r="BI386" i="11"/>
  <c r="BI389" i="11"/>
  <c r="BI392" i="11"/>
  <c r="BI382" i="11"/>
  <c r="BI384" i="11"/>
  <c r="BI388" i="11"/>
  <c r="BK380" i="11"/>
  <c r="BK387" i="11"/>
  <c r="BK381" i="11"/>
  <c r="BK383" i="11"/>
  <c r="BK389" i="11"/>
  <c r="BK379" i="11"/>
  <c r="BK384" i="11"/>
  <c r="BK386" i="11"/>
  <c r="BK388" i="11"/>
  <c r="BK385" i="11"/>
  <c r="BK390" i="11"/>
  <c r="BK382" i="11"/>
  <c r="CO359" i="11"/>
  <c r="CO360" i="11"/>
  <c r="CK363" i="11"/>
  <c r="CK361" i="11"/>
  <c r="CK362" i="11"/>
  <c r="CK364" i="11"/>
  <c r="CK360" i="11"/>
  <c r="CK359" i="11"/>
  <c r="CI364" i="11"/>
  <c r="CI359" i="11"/>
  <c r="CI361" i="11"/>
  <c r="CI363" i="11"/>
  <c r="CI366" i="11"/>
  <c r="CI362" i="11"/>
  <c r="CI360" i="11"/>
  <c r="CI365" i="11"/>
  <c r="AU398" i="11"/>
  <c r="AU396" i="11"/>
  <c r="AU397" i="11"/>
  <c r="AU395" i="11"/>
  <c r="AT396" i="11"/>
  <c r="AT398" i="11"/>
  <c r="AT397" i="11"/>
  <c r="AW396" i="11"/>
  <c r="AW395" i="11"/>
  <c r="AW398" i="11"/>
  <c r="AW393" i="11"/>
  <c r="AW397" i="11"/>
  <c r="AW394" i="11"/>
  <c r="BR380" i="11"/>
  <c r="BR374" i="11"/>
  <c r="BR373" i="11"/>
  <c r="BR383" i="11"/>
  <c r="BR379" i="11"/>
  <c r="BR381" i="11"/>
  <c r="BR382" i="11"/>
  <c r="BR376" i="11"/>
  <c r="BR375" i="11"/>
  <c r="BR372" i="11"/>
  <c r="BR378" i="11"/>
  <c r="BR377" i="11"/>
  <c r="CM361" i="11"/>
  <c r="CM359" i="11"/>
  <c r="CM360" i="11"/>
  <c r="CM362" i="11"/>
  <c r="BM380" i="11"/>
  <c r="BM387" i="11"/>
  <c r="BM377" i="11"/>
  <c r="BM381" i="11"/>
  <c r="BM383" i="11"/>
  <c r="BM385" i="11"/>
  <c r="BM378" i="11"/>
  <c r="BM382" i="11"/>
  <c r="BM388" i="11"/>
  <c r="BM386" i="11"/>
  <c r="BM384" i="11"/>
  <c r="BM379" i="11"/>
  <c r="BW377" i="11"/>
  <c r="BW374" i="11"/>
  <c r="BW367" i="11"/>
  <c r="BW373" i="11"/>
  <c r="BW372" i="11"/>
  <c r="BW369" i="11"/>
  <c r="BW368" i="11"/>
  <c r="BW371" i="11"/>
  <c r="BW376" i="11"/>
  <c r="BW378" i="11"/>
  <c r="BW375" i="11"/>
  <c r="BW370" i="11"/>
  <c r="BE392" i="11"/>
  <c r="BE387" i="11"/>
  <c r="BE396" i="11"/>
  <c r="BE386" i="11"/>
  <c r="BE391" i="11"/>
  <c r="BE395" i="11"/>
  <c r="BE394" i="11"/>
  <c r="BE388" i="11"/>
  <c r="BE389" i="11"/>
  <c r="BE390" i="11"/>
  <c r="BE393" i="11"/>
  <c r="BE385" i="11"/>
  <c r="CN361" i="11"/>
  <c r="CN360" i="11"/>
  <c r="CN359" i="11"/>
  <c r="BS372" i="11"/>
  <c r="BS381" i="11"/>
  <c r="BS378" i="11"/>
  <c r="BS382" i="11"/>
  <c r="BS373" i="11"/>
  <c r="BS379" i="11"/>
  <c r="BS377" i="11"/>
  <c r="BS371" i="11"/>
  <c r="BS376" i="11"/>
  <c r="BS380" i="11"/>
  <c r="BS375" i="11"/>
  <c r="BS374" i="11"/>
  <c r="BZ367" i="11"/>
  <c r="BZ374" i="11"/>
  <c r="BZ371" i="11"/>
  <c r="BZ365" i="11"/>
  <c r="BZ369" i="11"/>
  <c r="BZ370" i="11"/>
  <c r="BZ372" i="11"/>
  <c r="BZ368" i="11"/>
  <c r="BZ366" i="11"/>
  <c r="BZ375" i="11"/>
  <c r="BZ364" i="11"/>
  <c r="BZ373" i="11"/>
  <c r="BQ380" i="11"/>
  <c r="BQ373" i="11"/>
  <c r="BQ384" i="11"/>
  <c r="BQ375" i="11"/>
  <c r="BQ381" i="11"/>
  <c r="BQ379" i="11"/>
  <c r="BQ378" i="11"/>
  <c r="BQ382" i="11"/>
  <c r="BQ374" i="11"/>
  <c r="BQ376" i="11"/>
  <c r="BQ383" i="11"/>
  <c r="BQ377" i="11"/>
  <c r="BJ380" i="11"/>
  <c r="BJ385" i="11"/>
  <c r="BJ389" i="11"/>
  <c r="BJ388" i="11"/>
  <c r="BJ386" i="11"/>
  <c r="BJ391" i="11"/>
  <c r="BJ381" i="11"/>
  <c r="BJ387" i="11"/>
  <c r="BJ383" i="11"/>
  <c r="BJ382" i="11"/>
  <c r="BJ390" i="11"/>
  <c r="BJ384" i="11"/>
  <c r="BC397" i="11"/>
  <c r="BC390" i="11"/>
  <c r="BC394" i="11"/>
  <c r="BC389" i="11"/>
  <c r="BC396" i="11"/>
  <c r="BC398" i="11"/>
  <c r="BC391" i="11"/>
  <c r="BC388" i="11"/>
  <c r="BC392" i="11"/>
  <c r="BC387" i="11"/>
  <c r="BC393" i="11"/>
  <c r="BC395" i="11"/>
  <c r="BU380" i="11"/>
  <c r="BU370" i="11"/>
  <c r="BU375" i="11"/>
  <c r="BU379" i="11"/>
  <c r="BU371" i="11"/>
  <c r="BU369" i="11"/>
  <c r="BU377" i="11"/>
  <c r="BU373" i="11"/>
  <c r="BU376" i="11"/>
  <c r="BU374" i="11"/>
  <c r="BU378" i="11"/>
  <c r="BU372" i="11"/>
  <c r="CD366" i="11"/>
  <c r="CD371" i="11"/>
  <c r="CD365" i="11"/>
  <c r="CD361" i="11"/>
  <c r="CD368" i="11"/>
  <c r="CD370" i="11"/>
  <c r="CD363" i="11"/>
  <c r="CD360" i="11"/>
  <c r="CD362" i="11"/>
  <c r="CD369" i="11"/>
  <c r="CD364" i="11"/>
  <c r="CD367" i="11"/>
  <c r="CB365" i="11"/>
  <c r="CB364" i="11"/>
  <c r="CB367" i="11"/>
  <c r="CB371" i="11"/>
  <c r="CB362" i="11"/>
  <c r="CB368" i="11"/>
  <c r="CB369" i="11"/>
  <c r="CB373" i="11"/>
  <c r="CB372" i="11"/>
  <c r="CB363" i="11"/>
  <c r="CB370" i="11"/>
  <c r="CB366" i="11"/>
  <c r="AX395" i="11"/>
  <c r="AX396" i="11"/>
  <c r="AX392" i="11"/>
  <c r="AX393" i="11"/>
  <c r="AX397" i="11"/>
  <c r="AX398" i="11"/>
  <c r="AX394" i="11"/>
  <c r="BO380" i="11"/>
  <c r="BO375" i="11"/>
  <c r="BO383" i="11"/>
  <c r="BO382" i="11"/>
  <c r="BO385" i="11"/>
  <c r="BO386" i="11"/>
  <c r="BO376" i="11"/>
  <c r="BO378" i="11"/>
  <c r="BO379" i="11"/>
  <c r="BO377" i="11"/>
  <c r="BO384" i="11"/>
  <c r="BO381" i="11"/>
  <c r="F93" i="1"/>
  <c r="CQ25" i="1"/>
  <c r="CR25" i="1" s="1"/>
  <c r="F51" i="1"/>
  <c r="M5" i="8"/>
  <c r="O5" i="8" s="1"/>
  <c r="S5" i="8" s="1"/>
  <c r="F116" i="1"/>
  <c r="F26" i="1"/>
  <c r="F70" i="1" s="1"/>
  <c r="DF359" i="11"/>
  <c r="CR18" i="1"/>
  <c r="K21" i="8"/>
  <c r="K33" i="8" s="1"/>
  <c r="K45" i="8" s="1"/>
  <c r="K57" i="8" s="1"/>
  <c r="K69" i="8" s="1"/>
  <c r="M69" i="8" s="1"/>
  <c r="K22" i="8"/>
  <c r="K34" i="8" s="1"/>
  <c r="K46" i="8" s="1"/>
  <c r="K58" i="8" s="1"/>
  <c r="K70" i="8" s="1"/>
  <c r="M70" i="8" s="1"/>
  <c r="K26" i="8"/>
  <c r="K38" i="8" s="1"/>
  <c r="K50" i="8" s="1"/>
  <c r="K62" i="8" s="1"/>
  <c r="K74" i="8" s="1"/>
  <c r="N74" i="8" s="1"/>
  <c r="K25" i="8"/>
  <c r="K37" i="8" s="1"/>
  <c r="K49" i="8" s="1"/>
  <c r="K61" i="8" s="1"/>
  <c r="K73" i="8" s="1"/>
  <c r="N73" i="8" s="1"/>
  <c r="K28" i="8"/>
  <c r="K40" i="8" s="1"/>
  <c r="K52" i="8" s="1"/>
  <c r="K64" i="8" s="1"/>
  <c r="K76" i="8" s="1"/>
  <c r="M76" i="8" s="1"/>
  <c r="O76" i="8" s="1"/>
  <c r="S76" i="8" s="1"/>
  <c r="K24" i="8"/>
  <c r="K36" i="8" s="1"/>
  <c r="K48" i="8" s="1"/>
  <c r="K60" i="8" s="1"/>
  <c r="K72" i="8" s="1"/>
  <c r="M72" i="8" s="1"/>
  <c r="K20" i="8"/>
  <c r="K32" i="8" s="1"/>
  <c r="K44" i="8" s="1"/>
  <c r="K56" i="8" s="1"/>
  <c r="K68" i="8" s="1"/>
  <c r="N68" i="8" s="1"/>
  <c r="K23" i="8"/>
  <c r="K35" i="8" s="1"/>
  <c r="K47" i="8" s="1"/>
  <c r="K59" i="8" s="1"/>
  <c r="K71" i="8" s="1"/>
  <c r="N71" i="8" s="1"/>
  <c r="K19" i="8"/>
  <c r="K31" i="8" s="1"/>
  <c r="K43" i="8" s="1"/>
  <c r="K55" i="8" s="1"/>
  <c r="K67" i="8" s="1"/>
  <c r="N67" i="8" s="1"/>
  <c r="K18" i="8"/>
  <c r="K30" i="8" s="1"/>
  <c r="K42" i="8" s="1"/>
  <c r="K54" i="8" s="1"/>
  <c r="K66" i="8" s="1"/>
  <c r="N66" i="8" s="1"/>
  <c r="K27" i="8"/>
  <c r="K39" i="8" s="1"/>
  <c r="K51" i="8" s="1"/>
  <c r="K63" i="8" s="1"/>
  <c r="K75" i="8" s="1"/>
  <c r="M75" i="8" s="1"/>
  <c r="O75" i="8" s="1"/>
  <c r="S75" i="8" s="1"/>
  <c r="K17" i="8"/>
  <c r="K29" i="8" s="1"/>
  <c r="K41" i="8" s="1"/>
  <c r="K53" i="8" s="1"/>
  <c r="K65" i="8" s="1"/>
  <c r="N65" i="8" s="1"/>
  <c r="M8" i="8"/>
  <c r="O8" i="8" s="1"/>
  <c r="S8" i="8" s="1"/>
  <c r="N8" i="8"/>
  <c r="N5" i="8"/>
  <c r="N10" i="8"/>
  <c r="N11" i="8"/>
  <c r="N6" i="8"/>
  <c r="N13" i="8"/>
  <c r="M13" i="8"/>
  <c r="N14" i="8"/>
  <c r="M14" i="8"/>
  <c r="O14" i="8" s="1"/>
  <c r="S14" i="8" s="1"/>
  <c r="N7" i="8"/>
  <c r="M7" i="8"/>
  <c r="O7" i="8" s="1"/>
  <c r="S7" i="8" s="1"/>
  <c r="M15" i="8"/>
  <c r="O15" i="8" s="1"/>
  <c r="S15" i="8" s="1"/>
  <c r="N15" i="8"/>
  <c r="N12" i="8"/>
  <c r="M12" i="8"/>
  <c r="M6" i="8"/>
  <c r="O6" i="8" s="1"/>
  <c r="S6" i="8" s="1"/>
  <c r="N9" i="8"/>
  <c r="M9" i="8"/>
  <c r="M11" i="8"/>
  <c r="M10" i="8"/>
  <c r="M16" i="8"/>
  <c r="O16" i="8" s="1"/>
  <c r="S16" i="8" s="1"/>
  <c r="N16" i="8"/>
  <c r="AC376" i="11"/>
  <c r="AC360" i="11"/>
  <c r="AC372" i="11"/>
  <c r="AC398" i="11"/>
  <c r="AC362" i="11"/>
  <c r="AC387" i="11"/>
  <c r="AC397" i="11"/>
  <c r="AC361" i="11"/>
  <c r="AC393" i="11"/>
  <c r="AC367" i="11"/>
  <c r="AC379" i="11"/>
  <c r="AC384" i="11"/>
  <c r="AC370" i="11"/>
  <c r="AC386" i="11"/>
  <c r="AC368" i="11"/>
  <c r="AC383" i="11"/>
  <c r="AC380" i="11"/>
  <c r="AC371" i="11"/>
  <c r="AC381" i="11"/>
  <c r="AC385" i="11"/>
  <c r="AC359" i="11"/>
  <c r="AC396" i="11"/>
  <c r="AC389" i="11"/>
  <c r="AC377" i="11"/>
  <c r="AC392" i="11"/>
  <c r="AC394" i="11"/>
  <c r="AC374" i="11"/>
  <c r="AC366" i="11"/>
  <c r="AC390" i="11"/>
  <c r="AC382" i="11"/>
  <c r="AC369" i="11"/>
  <c r="AC391" i="11"/>
  <c r="AC378" i="11"/>
  <c r="AC375" i="11"/>
  <c r="AC395" i="11"/>
  <c r="AC364" i="11"/>
  <c r="AC365" i="11"/>
  <c r="AC363" i="11"/>
  <c r="AC373" i="11"/>
  <c r="AC388" i="11"/>
  <c r="AG397" i="11"/>
  <c r="AG367" i="11"/>
  <c r="AG386" i="11"/>
  <c r="AG387" i="11"/>
  <c r="AG379" i="11"/>
  <c r="AG391" i="11"/>
  <c r="AG385" i="11"/>
  <c r="AG394" i="11"/>
  <c r="AG359" i="11"/>
  <c r="AG364" i="11"/>
  <c r="AG368" i="11"/>
  <c r="AG366" i="11"/>
  <c r="AG370" i="11"/>
  <c r="AG396" i="11"/>
  <c r="AG363" i="11"/>
  <c r="AG384" i="11"/>
  <c r="AG376" i="11"/>
  <c r="AG389" i="11"/>
  <c r="AG380" i="11"/>
  <c r="AG375" i="11"/>
  <c r="AG395" i="11"/>
  <c r="AG382" i="11"/>
  <c r="AG378" i="11"/>
  <c r="AG393" i="11"/>
  <c r="AG398" i="11"/>
  <c r="AG381" i="11"/>
  <c r="AG362" i="11"/>
  <c r="AG361" i="11"/>
  <c r="AG369" i="11"/>
  <c r="AG374" i="11"/>
  <c r="AG392" i="11"/>
  <c r="AG360" i="11"/>
  <c r="AG373" i="11"/>
  <c r="AG383" i="11"/>
  <c r="AG390" i="11"/>
  <c r="AG372" i="11"/>
  <c r="AG365" i="11"/>
  <c r="AG388" i="11"/>
  <c r="AG377" i="11"/>
  <c r="AG371" i="11"/>
  <c r="O397" i="11"/>
  <c r="O387" i="11"/>
  <c r="O384" i="11"/>
  <c r="O380" i="11"/>
  <c r="O376" i="11"/>
  <c r="O381" i="11"/>
  <c r="O362" i="11"/>
  <c r="O396" i="11"/>
  <c r="O394" i="11"/>
  <c r="O383" i="11"/>
  <c r="O386" i="11"/>
  <c r="O377" i="11"/>
  <c r="O379" i="11"/>
  <c r="O365" i="11"/>
  <c r="O368" i="11"/>
  <c r="O391" i="11"/>
  <c r="O393" i="11"/>
  <c r="O390" i="11"/>
  <c r="O382" i="11"/>
  <c r="O374" i="11"/>
  <c r="O372" i="11"/>
  <c r="O363" i="11"/>
  <c r="O359" i="11"/>
  <c r="O398" i="11"/>
  <c r="O392" i="11"/>
  <c r="O388" i="11"/>
  <c r="O378" i="11"/>
  <c r="O370" i="11"/>
  <c r="O364" i="11"/>
  <c r="O366" i="11"/>
  <c r="O369" i="11"/>
  <c r="O367" i="11"/>
  <c r="O395" i="11"/>
  <c r="O385" i="11"/>
  <c r="O373" i="11"/>
  <c r="O360" i="11"/>
  <c r="O361" i="11"/>
  <c r="O375" i="11"/>
  <c r="O371" i="11"/>
  <c r="O389" i="11"/>
  <c r="AF386" i="11"/>
  <c r="AF394" i="11"/>
  <c r="AF387" i="11"/>
  <c r="AF380" i="11"/>
  <c r="AF363" i="11"/>
  <c r="AF360" i="11"/>
  <c r="AF372" i="11"/>
  <c r="AF397" i="11"/>
  <c r="AF393" i="11"/>
  <c r="AF382" i="11"/>
  <c r="AF378" i="11"/>
  <c r="AF366" i="11"/>
  <c r="AF374" i="11"/>
  <c r="AF369" i="11"/>
  <c r="AF396" i="11"/>
  <c r="AF391" i="11"/>
  <c r="AF383" i="11"/>
  <c r="AF376" i="11"/>
  <c r="AF362" i="11"/>
  <c r="AF364" i="11"/>
  <c r="AF398" i="11"/>
  <c r="AF388" i="11"/>
  <c r="AF384" i="11"/>
  <c r="AF370" i="11"/>
  <c r="AF361" i="11"/>
  <c r="AF367" i="11"/>
  <c r="AF381" i="11"/>
  <c r="AF395" i="11"/>
  <c r="AF389" i="11"/>
  <c r="AF375" i="11"/>
  <c r="AF385" i="11"/>
  <c r="AF392" i="11"/>
  <c r="AF390" i="11"/>
  <c r="AF377" i="11"/>
  <c r="AF373" i="11"/>
  <c r="AF368" i="11"/>
  <c r="AF371" i="11"/>
  <c r="AF359" i="11"/>
  <c r="AF365" i="11"/>
  <c r="AF379" i="11"/>
  <c r="K385" i="11"/>
  <c r="K368" i="11"/>
  <c r="K391" i="11"/>
  <c r="K386" i="11"/>
  <c r="K389" i="11"/>
  <c r="K371" i="11"/>
  <c r="K393" i="11"/>
  <c r="K392" i="11"/>
  <c r="K383" i="11"/>
  <c r="K374" i="11"/>
  <c r="K377" i="11"/>
  <c r="K363" i="11"/>
  <c r="K360" i="11"/>
  <c r="K359" i="11"/>
  <c r="K397" i="11"/>
  <c r="K390" i="11"/>
  <c r="K384" i="11"/>
  <c r="K378" i="11"/>
  <c r="K381" i="11"/>
  <c r="K373" i="11"/>
  <c r="K362" i="11"/>
  <c r="K369" i="11"/>
  <c r="K372" i="11"/>
  <c r="K387" i="11"/>
  <c r="K382" i="11"/>
  <c r="K376" i="11"/>
  <c r="K365" i="11"/>
  <c r="K394" i="11"/>
  <c r="K380" i="11"/>
  <c r="K364" i="11"/>
  <c r="K367" i="11"/>
  <c r="K398" i="11"/>
  <c r="K388" i="11"/>
  <c r="K370" i="11"/>
  <c r="K366" i="11"/>
  <c r="K375" i="11"/>
  <c r="K396" i="11"/>
  <c r="K395" i="11"/>
  <c r="K379" i="11"/>
  <c r="K361" i="11"/>
  <c r="Y391" i="11"/>
  <c r="Y394" i="11"/>
  <c r="Y370" i="11"/>
  <c r="Y367" i="11"/>
  <c r="Y382" i="11"/>
  <c r="Y363" i="11"/>
  <c r="Y386" i="11"/>
  <c r="Y396" i="11"/>
  <c r="Y389" i="11"/>
  <c r="Y388" i="11"/>
  <c r="Y392" i="11"/>
  <c r="Y368" i="11"/>
  <c r="Y369" i="11"/>
  <c r="Y381" i="11"/>
  <c r="Y387" i="11"/>
  <c r="Y378" i="11"/>
  <c r="Y374" i="11"/>
  <c r="Y385" i="11"/>
  <c r="Y397" i="11"/>
  <c r="Y376" i="11"/>
  <c r="Y380" i="11"/>
  <c r="Y360" i="11"/>
  <c r="Y393" i="11"/>
  <c r="Y362" i="11"/>
  <c r="Y364" i="11"/>
  <c r="Y371" i="11"/>
  <c r="Y375" i="11"/>
  <c r="Y398" i="11"/>
  <c r="Y366" i="11"/>
  <c r="Y383" i="11"/>
  <c r="Y361" i="11"/>
  <c r="Y390" i="11"/>
  <c r="Y365" i="11"/>
  <c r="Y384" i="11"/>
  <c r="Y379" i="11"/>
  <c r="Y373" i="11"/>
  <c r="Y359" i="11"/>
  <c r="Y372" i="11"/>
  <c r="Y395" i="11"/>
  <c r="Y377" i="11"/>
  <c r="AS392" i="11"/>
  <c r="AS370" i="11"/>
  <c r="AS396" i="11"/>
  <c r="AS360" i="11"/>
  <c r="AS391" i="11"/>
  <c r="AS375" i="11"/>
  <c r="AS378" i="11"/>
  <c r="AS368" i="11"/>
  <c r="AS377" i="11"/>
  <c r="AS382" i="11"/>
  <c r="AS373" i="11"/>
  <c r="AS366" i="11"/>
  <c r="AS390" i="11"/>
  <c r="AS393" i="11"/>
  <c r="AS367" i="11"/>
  <c r="AS395" i="11"/>
  <c r="AS389" i="11"/>
  <c r="AS374" i="11"/>
  <c r="AS371" i="11"/>
  <c r="AS383" i="11"/>
  <c r="AS369" i="11"/>
  <c r="AS365" i="11"/>
  <c r="DF397" i="11"/>
  <c r="AS359" i="11"/>
  <c r="AS376" i="11"/>
  <c r="AS381" i="11"/>
  <c r="AS388" i="11"/>
  <c r="AS394" i="11"/>
  <c r="AS362" i="11"/>
  <c r="AS385" i="11"/>
  <c r="AS387" i="11"/>
  <c r="AS380" i="11"/>
  <c r="AS386" i="11"/>
  <c r="AS384" i="11"/>
  <c r="AS364" i="11"/>
  <c r="AS372" i="11"/>
  <c r="AS361" i="11"/>
  <c r="AS379" i="11"/>
  <c r="AS363" i="11"/>
  <c r="AH382" i="11"/>
  <c r="AH384" i="11"/>
  <c r="AH371" i="11"/>
  <c r="AH395" i="11"/>
  <c r="AH393" i="11"/>
  <c r="AH366" i="11"/>
  <c r="AH386" i="11"/>
  <c r="AH387" i="11"/>
  <c r="AH369" i="11"/>
  <c r="AH397" i="11"/>
  <c r="AH363" i="11"/>
  <c r="AH375" i="11"/>
  <c r="AH373" i="11"/>
  <c r="AH376" i="11"/>
  <c r="AH379" i="11"/>
  <c r="AH398" i="11"/>
  <c r="AH370" i="11"/>
  <c r="AH389" i="11"/>
  <c r="AH383" i="11"/>
  <c r="AH367" i="11"/>
  <c r="AH359" i="11"/>
  <c r="AH390" i="11"/>
  <c r="AH388" i="11"/>
  <c r="AH372" i="11"/>
  <c r="AH394" i="11"/>
  <c r="AH377" i="11"/>
  <c r="AH364" i="11"/>
  <c r="AH374" i="11"/>
  <c r="AH368" i="11"/>
  <c r="AH378" i="11"/>
  <c r="AH381" i="11"/>
  <c r="AH365" i="11"/>
  <c r="AH380" i="11"/>
  <c r="AH385" i="11"/>
  <c r="AH392" i="11"/>
  <c r="AH360" i="11"/>
  <c r="AH391" i="11"/>
  <c r="AH396" i="11"/>
  <c r="AH362" i="11"/>
  <c r="AH361" i="11"/>
  <c r="BN368" i="11"/>
  <c r="BN365" i="11"/>
  <c r="BN361" i="11"/>
  <c r="BN363" i="11"/>
  <c r="BN373" i="11"/>
  <c r="BN369" i="11"/>
  <c r="BN360" i="11"/>
  <c r="BN375" i="11"/>
  <c r="BN371" i="11"/>
  <c r="BN359" i="11"/>
  <c r="BN367" i="11"/>
  <c r="BN364" i="11"/>
  <c r="BN362" i="11"/>
  <c r="BN372" i="11"/>
  <c r="BN370" i="11"/>
  <c r="BN366" i="11"/>
  <c r="DF376" i="11"/>
  <c r="BN374" i="11"/>
  <c r="DF380" i="11"/>
  <c r="BJ364" i="11"/>
  <c r="BJ379" i="11"/>
  <c r="BJ376" i="11"/>
  <c r="BJ377" i="11"/>
  <c r="BJ375" i="11"/>
  <c r="BJ373" i="11"/>
  <c r="BJ368" i="11"/>
  <c r="BJ371" i="11"/>
  <c r="BJ361" i="11"/>
  <c r="BJ359" i="11"/>
  <c r="BJ372" i="11"/>
  <c r="BJ370" i="11"/>
  <c r="BJ365" i="11"/>
  <c r="BJ360" i="11"/>
  <c r="BJ367" i="11"/>
  <c r="BJ369" i="11"/>
  <c r="BJ378" i="11"/>
  <c r="BJ363" i="11"/>
  <c r="BJ374" i="11"/>
  <c r="BJ366" i="11"/>
  <c r="BJ362" i="11"/>
  <c r="CB361" i="11"/>
  <c r="CB360" i="11"/>
  <c r="DF362" i="11"/>
  <c r="CB359" i="11"/>
  <c r="P386" i="11"/>
  <c r="P359" i="11"/>
  <c r="P381" i="11"/>
  <c r="P398" i="11"/>
  <c r="P393" i="11"/>
  <c r="P384" i="11"/>
  <c r="P370" i="11"/>
  <c r="P361" i="11"/>
  <c r="P372" i="11"/>
  <c r="P396" i="11"/>
  <c r="P391" i="11"/>
  <c r="P387" i="11"/>
  <c r="P378" i="11"/>
  <c r="P366" i="11"/>
  <c r="P374" i="11"/>
  <c r="P394" i="11"/>
  <c r="P380" i="11"/>
  <c r="P360" i="11"/>
  <c r="P390" i="11"/>
  <c r="P388" i="11"/>
  <c r="P376" i="11"/>
  <c r="P364" i="11"/>
  <c r="P385" i="11"/>
  <c r="P365" i="11"/>
  <c r="P397" i="11"/>
  <c r="P382" i="11"/>
  <c r="P363" i="11"/>
  <c r="P368" i="11"/>
  <c r="P369" i="11"/>
  <c r="P392" i="11"/>
  <c r="P383" i="11"/>
  <c r="P362" i="11"/>
  <c r="P379" i="11"/>
  <c r="P389" i="11"/>
  <c r="P377" i="11"/>
  <c r="P371" i="11"/>
  <c r="P367" i="11"/>
  <c r="P395" i="11"/>
  <c r="P373" i="11"/>
  <c r="P375" i="11"/>
  <c r="BG367" i="11"/>
  <c r="BG371" i="11"/>
  <c r="BG369" i="11"/>
  <c r="BG375" i="11"/>
  <c r="BG378" i="11"/>
  <c r="BG374" i="11"/>
  <c r="BG377" i="11"/>
  <c r="BG362" i="11"/>
  <c r="BG365" i="11"/>
  <c r="DF383" i="11"/>
  <c r="BG376" i="11"/>
  <c r="BG366" i="11"/>
  <c r="BG364" i="11"/>
  <c r="BG360" i="11"/>
  <c r="BG359" i="11"/>
  <c r="BG370" i="11"/>
  <c r="BG361" i="11"/>
  <c r="BG382" i="11"/>
  <c r="BG379" i="11"/>
  <c r="BG368" i="11"/>
  <c r="BG380" i="11"/>
  <c r="BG373" i="11"/>
  <c r="BG372" i="11"/>
  <c r="BG381" i="11"/>
  <c r="BG363" i="11"/>
  <c r="AL371" i="11"/>
  <c r="AL374" i="11"/>
  <c r="AL392" i="11"/>
  <c r="AL360" i="11"/>
  <c r="AL398" i="11"/>
  <c r="AL361" i="11"/>
  <c r="AL367" i="11"/>
  <c r="AL389" i="11"/>
  <c r="AL390" i="11"/>
  <c r="AL393" i="11"/>
  <c r="AL368" i="11"/>
  <c r="AL387" i="11"/>
  <c r="AL362" i="11"/>
  <c r="AL394" i="11"/>
  <c r="AL376" i="11"/>
  <c r="AL379" i="11"/>
  <c r="AL373" i="11"/>
  <c r="AL388" i="11"/>
  <c r="AL364" i="11"/>
  <c r="AL370" i="11"/>
  <c r="AL391" i="11"/>
  <c r="AL372" i="11"/>
  <c r="AL380" i="11"/>
  <c r="AL365" i="11"/>
  <c r="AL383" i="11"/>
  <c r="AL397" i="11"/>
  <c r="AL396" i="11"/>
  <c r="AL377" i="11"/>
  <c r="AL395" i="11"/>
  <c r="AL382" i="11"/>
  <c r="AL375" i="11"/>
  <c r="AL363" i="11"/>
  <c r="AL369" i="11"/>
  <c r="AL378" i="11"/>
  <c r="AL359" i="11"/>
  <c r="AL385" i="11"/>
  <c r="AL381" i="11"/>
  <c r="AL366" i="11"/>
  <c r="AL386" i="11"/>
  <c r="AL384" i="11"/>
  <c r="BI370" i="11"/>
  <c r="BI361" i="11"/>
  <c r="BI360" i="11"/>
  <c r="BI371" i="11"/>
  <c r="BI372" i="11"/>
  <c r="BI377" i="11"/>
  <c r="BI365" i="11"/>
  <c r="BI366" i="11"/>
  <c r="BI364" i="11"/>
  <c r="BI363" i="11"/>
  <c r="BI378" i="11"/>
  <c r="BI375" i="11"/>
  <c r="BI368" i="11"/>
  <c r="BI359" i="11"/>
  <c r="BI380" i="11"/>
  <c r="BI376" i="11"/>
  <c r="BI367" i="11"/>
  <c r="DF381" i="11"/>
  <c r="BI369" i="11"/>
  <c r="BI362" i="11"/>
  <c r="BI373" i="11"/>
  <c r="BI379" i="11"/>
  <c r="BI374" i="11"/>
  <c r="BX363" i="11"/>
  <c r="BX361" i="11"/>
  <c r="DF366" i="11"/>
  <c r="BX362" i="11"/>
  <c r="BX359" i="11"/>
  <c r="BX364" i="11"/>
  <c r="BX365" i="11"/>
  <c r="BX360" i="11"/>
  <c r="L379" i="11"/>
  <c r="L390" i="11"/>
  <c r="L371" i="11"/>
  <c r="L377" i="11"/>
  <c r="L359" i="11"/>
  <c r="L369" i="11"/>
  <c r="L367" i="11"/>
  <c r="L385" i="11"/>
  <c r="L389" i="11"/>
  <c r="L398" i="11"/>
  <c r="L387" i="11"/>
  <c r="L384" i="11"/>
  <c r="L363" i="11"/>
  <c r="L372" i="11"/>
  <c r="L361" i="11"/>
  <c r="L368" i="11"/>
  <c r="L381" i="11"/>
  <c r="L373" i="11"/>
  <c r="L395" i="11"/>
  <c r="L386" i="11"/>
  <c r="L396" i="11"/>
  <c r="L393" i="11"/>
  <c r="L388" i="11"/>
  <c r="L380" i="11"/>
  <c r="L366" i="11"/>
  <c r="L360" i="11"/>
  <c r="L397" i="11"/>
  <c r="L382" i="11"/>
  <c r="L374" i="11"/>
  <c r="L392" i="11"/>
  <c r="L383" i="11"/>
  <c r="L362" i="11"/>
  <c r="L365" i="11"/>
  <c r="L394" i="11"/>
  <c r="L376" i="11"/>
  <c r="L370" i="11"/>
  <c r="L391" i="11"/>
  <c r="L378" i="11"/>
  <c r="L364" i="11"/>
  <c r="L375" i="11"/>
  <c r="BS367" i="11"/>
  <c r="BS369" i="11"/>
  <c r="BS368" i="11"/>
  <c r="BS366" i="11"/>
  <c r="BS360" i="11"/>
  <c r="BS363" i="11"/>
  <c r="BS359" i="11"/>
  <c r="BS370" i="11"/>
  <c r="BS361" i="11"/>
  <c r="BS364" i="11"/>
  <c r="BS362" i="11"/>
  <c r="DF371" i="11"/>
  <c r="BS365" i="11"/>
  <c r="G367" i="11"/>
  <c r="G373" i="11"/>
  <c r="G389" i="11"/>
  <c r="G391" i="11"/>
  <c r="G395" i="11"/>
  <c r="G385" i="11"/>
  <c r="G386" i="11"/>
  <c r="G371" i="11"/>
  <c r="G369" i="11"/>
  <c r="G375" i="11"/>
  <c r="G368" i="11"/>
  <c r="G397" i="11"/>
  <c r="G387" i="11"/>
  <c r="G388" i="11"/>
  <c r="G380" i="11"/>
  <c r="G364" i="11"/>
  <c r="G379" i="11"/>
  <c r="G360" i="11"/>
  <c r="G393" i="11"/>
  <c r="G394" i="11"/>
  <c r="G382" i="11"/>
  <c r="G370" i="11"/>
  <c r="G363" i="11"/>
  <c r="G366" i="11"/>
  <c r="G365" i="11"/>
  <c r="G374" i="11"/>
  <c r="G398" i="11"/>
  <c r="G384" i="11"/>
  <c r="G376" i="11"/>
  <c r="G362" i="11"/>
  <c r="G396" i="11"/>
  <c r="G377" i="11"/>
  <c r="G383" i="11"/>
  <c r="G359" i="11"/>
  <c r="G392" i="11"/>
  <c r="G378" i="11"/>
  <c r="G381" i="11"/>
  <c r="G361" i="11"/>
  <c r="G390" i="11"/>
  <c r="G372" i="11"/>
  <c r="M380" i="11"/>
  <c r="M393" i="11"/>
  <c r="M392" i="11"/>
  <c r="M363" i="11"/>
  <c r="M387" i="11"/>
  <c r="M362" i="11"/>
  <c r="M371" i="11"/>
  <c r="M379" i="11"/>
  <c r="M369" i="11"/>
  <c r="M359" i="11"/>
  <c r="M381" i="11"/>
  <c r="M360" i="11"/>
  <c r="M376" i="11"/>
  <c r="M391" i="11"/>
  <c r="M373" i="11"/>
  <c r="M388" i="11"/>
  <c r="M384" i="11"/>
  <c r="M398" i="11"/>
  <c r="M394" i="11"/>
  <c r="M383" i="11"/>
  <c r="M374" i="11"/>
  <c r="M390" i="11"/>
  <c r="M382" i="11"/>
  <c r="M368" i="11"/>
  <c r="M385" i="11"/>
  <c r="M397" i="11"/>
  <c r="M367" i="11"/>
  <c r="M361" i="11"/>
  <c r="M366" i="11"/>
  <c r="M370" i="11"/>
  <c r="M389" i="11"/>
  <c r="M386" i="11"/>
  <c r="M377" i="11"/>
  <c r="M365" i="11"/>
  <c r="M375" i="11"/>
  <c r="M396" i="11"/>
  <c r="M372" i="11"/>
  <c r="M364" i="11"/>
  <c r="M395" i="11"/>
  <c r="M378" i="11"/>
  <c r="AX387" i="11"/>
  <c r="AX375" i="11"/>
  <c r="AX391" i="11"/>
  <c r="AX361" i="11"/>
  <c r="AX370" i="11"/>
  <c r="AX368" i="11"/>
  <c r="AX380" i="11"/>
  <c r="AX364" i="11"/>
  <c r="AX369" i="11"/>
  <c r="AX374" i="11"/>
  <c r="AX363" i="11"/>
  <c r="AX379" i="11"/>
  <c r="AX389" i="11"/>
  <c r="DF392" i="11"/>
  <c r="AX386" i="11"/>
  <c r="AX381" i="11"/>
  <c r="AX360" i="11"/>
  <c r="AX382" i="11"/>
  <c r="AX376" i="11"/>
  <c r="AX373" i="11"/>
  <c r="AX372" i="11"/>
  <c r="AX383" i="11"/>
  <c r="AX385" i="11"/>
  <c r="AX359" i="11"/>
  <c r="AX377" i="11"/>
  <c r="AX366" i="11"/>
  <c r="AX388" i="11"/>
  <c r="AX384" i="11"/>
  <c r="AX367" i="11"/>
  <c r="AX365" i="11"/>
  <c r="AX371" i="11"/>
  <c r="AX390" i="11"/>
  <c r="AX378" i="11"/>
  <c r="AX362" i="11"/>
  <c r="CC359" i="11"/>
  <c r="DF361" i="11"/>
  <c r="CC360" i="11"/>
  <c r="N386" i="11"/>
  <c r="N391" i="11"/>
  <c r="N366" i="11"/>
  <c r="N390" i="11"/>
  <c r="N397" i="11"/>
  <c r="N370" i="11"/>
  <c r="N394" i="11"/>
  <c r="N375" i="11"/>
  <c r="N396" i="11"/>
  <c r="N379" i="11"/>
  <c r="N364" i="11"/>
  <c r="N361" i="11"/>
  <c r="N398" i="11"/>
  <c r="N372" i="11"/>
  <c r="N383" i="11"/>
  <c r="N360" i="11"/>
  <c r="N363" i="11"/>
  <c r="N381" i="11"/>
  <c r="N385" i="11"/>
  <c r="N377" i="11"/>
  <c r="N376" i="11"/>
  <c r="N378" i="11"/>
  <c r="N359" i="11"/>
  <c r="N367" i="11"/>
  <c r="N384" i="11"/>
  <c r="N374" i="11"/>
  <c r="N368" i="11"/>
  <c r="N369" i="11"/>
  <c r="N395" i="11"/>
  <c r="N371" i="11"/>
  <c r="N392" i="11"/>
  <c r="N387" i="11"/>
  <c r="N380" i="11"/>
  <c r="N362" i="11"/>
  <c r="N393" i="11"/>
  <c r="N382" i="11"/>
  <c r="N365" i="11"/>
  <c r="N389" i="11"/>
  <c r="N388" i="11"/>
  <c r="N373" i="11"/>
  <c r="BT369" i="11"/>
  <c r="BT359" i="11"/>
  <c r="BT368" i="11"/>
  <c r="BT362" i="11"/>
  <c r="BT364" i="11"/>
  <c r="DF370" i="11"/>
  <c r="BT367" i="11"/>
  <c r="BT365" i="11"/>
  <c r="BT363" i="11"/>
  <c r="BT360" i="11"/>
  <c r="BT366" i="11"/>
  <c r="BT361" i="11"/>
  <c r="H377" i="11"/>
  <c r="H386" i="11"/>
  <c r="H395" i="11"/>
  <c r="H385" i="11"/>
  <c r="H381" i="11"/>
  <c r="H379" i="11"/>
  <c r="H368" i="11"/>
  <c r="H390" i="11"/>
  <c r="H369" i="11"/>
  <c r="H359" i="11"/>
  <c r="H371" i="11"/>
  <c r="H365" i="11"/>
  <c r="H373" i="11"/>
  <c r="H367" i="11"/>
  <c r="H396" i="11"/>
  <c r="H391" i="11"/>
  <c r="H384" i="11"/>
  <c r="H376" i="11"/>
  <c r="H362" i="11"/>
  <c r="H361" i="11"/>
  <c r="H375" i="11"/>
  <c r="H389" i="11"/>
  <c r="H394" i="11"/>
  <c r="H388" i="11"/>
  <c r="H380" i="11"/>
  <c r="H372" i="11"/>
  <c r="H374" i="11"/>
  <c r="H364" i="11"/>
  <c r="H398" i="11"/>
  <c r="H397" i="11"/>
  <c r="H382" i="11"/>
  <c r="H366" i="11"/>
  <c r="H392" i="11"/>
  <c r="H383" i="11"/>
  <c r="H370" i="11"/>
  <c r="H393" i="11"/>
  <c r="H378" i="11"/>
  <c r="H360" i="11"/>
  <c r="H387" i="11"/>
  <c r="H363" i="11"/>
  <c r="BO369" i="11"/>
  <c r="BO367" i="11"/>
  <c r="BO371" i="11"/>
  <c r="BO374" i="11"/>
  <c r="BO364" i="11"/>
  <c r="BO359" i="11"/>
  <c r="DF375" i="11"/>
  <c r="BO366" i="11"/>
  <c r="BO363" i="11"/>
  <c r="BO365" i="11"/>
  <c r="BO362" i="11"/>
  <c r="BO361" i="11"/>
  <c r="BO370" i="11"/>
  <c r="BO373" i="11"/>
  <c r="BO360" i="11"/>
  <c r="BO368" i="11"/>
  <c r="BO372" i="11"/>
  <c r="AP370" i="11"/>
  <c r="AP374" i="11"/>
  <c r="AP389" i="11"/>
  <c r="AP390" i="11"/>
  <c r="AP369" i="11"/>
  <c r="AP398" i="11"/>
  <c r="AP376" i="11"/>
  <c r="AP388" i="11"/>
  <c r="AP364" i="11"/>
  <c r="AP394" i="11"/>
  <c r="AP359" i="11"/>
  <c r="AP384" i="11"/>
  <c r="AP382" i="11"/>
  <c r="AP381" i="11"/>
  <c r="AP383" i="11"/>
  <c r="AP371" i="11"/>
  <c r="AP375" i="11"/>
  <c r="AP392" i="11"/>
  <c r="AP397" i="11"/>
  <c r="AP360" i="11"/>
  <c r="AP368" i="11"/>
  <c r="AP372" i="11"/>
  <c r="AP386" i="11"/>
  <c r="AP365" i="11"/>
  <c r="AP377" i="11"/>
  <c r="AP379" i="11"/>
  <c r="AP362" i="11"/>
  <c r="AP373" i="11"/>
  <c r="AP385" i="11"/>
  <c r="AP363" i="11"/>
  <c r="AP391" i="11"/>
  <c r="AP393" i="11"/>
  <c r="AP395" i="11"/>
  <c r="AP367" i="11"/>
  <c r="AP361" i="11"/>
  <c r="AP366" i="11"/>
  <c r="AP380" i="11"/>
  <c r="AP378" i="11"/>
  <c r="AP396" i="11"/>
  <c r="AP387" i="11"/>
  <c r="AO394" i="11"/>
  <c r="AO371" i="11"/>
  <c r="AO375" i="11"/>
  <c r="AO366" i="11"/>
  <c r="AO384" i="11"/>
  <c r="AO376" i="11"/>
  <c r="AO364" i="11"/>
  <c r="AO381" i="11"/>
  <c r="AO398" i="11"/>
  <c r="AO369" i="11"/>
  <c r="AO373" i="11"/>
  <c r="AO374" i="11"/>
  <c r="AO368" i="11"/>
  <c r="AO390" i="11"/>
  <c r="AO389" i="11"/>
  <c r="AO397" i="11"/>
  <c r="AO361" i="11"/>
  <c r="AO379" i="11"/>
  <c r="AO359" i="11"/>
  <c r="AO388" i="11"/>
  <c r="AO392" i="11"/>
  <c r="AO386" i="11"/>
  <c r="AO365" i="11"/>
  <c r="AO378" i="11"/>
  <c r="AO367" i="11"/>
  <c r="AO360" i="11"/>
  <c r="AO393" i="11"/>
  <c r="AO396" i="11"/>
  <c r="AO377" i="11"/>
  <c r="AO391" i="11"/>
  <c r="AO382" i="11"/>
  <c r="AO387" i="11"/>
  <c r="AO372" i="11"/>
  <c r="AO383" i="11"/>
  <c r="AO380" i="11"/>
  <c r="AO363" i="11"/>
  <c r="AO385" i="11"/>
  <c r="AO370" i="11"/>
  <c r="AO362" i="11"/>
  <c r="AO395" i="11"/>
  <c r="BM370" i="11"/>
  <c r="BM360" i="11"/>
  <c r="BM375" i="11"/>
  <c r="BM363" i="11"/>
  <c r="BM361" i="11"/>
  <c r="BM372" i="11"/>
  <c r="BM359" i="11"/>
  <c r="BM374" i="11"/>
  <c r="BM366" i="11"/>
  <c r="BM373" i="11"/>
  <c r="BM362" i="11"/>
  <c r="BM365" i="11"/>
  <c r="BM371" i="11"/>
  <c r="BM368" i="11"/>
  <c r="DF377" i="11"/>
  <c r="BM369" i="11"/>
  <c r="BM367" i="11"/>
  <c r="BM376" i="11"/>
  <c r="BM364" i="11"/>
  <c r="BF380" i="11"/>
  <c r="BF362" i="11"/>
  <c r="BF368" i="11"/>
  <c r="BF383" i="11"/>
  <c r="BF359" i="11"/>
  <c r="BF381" i="11"/>
  <c r="BF373" i="11"/>
  <c r="BF374" i="11"/>
  <c r="BF363" i="11"/>
  <c r="BF375" i="11"/>
  <c r="BF367" i="11"/>
  <c r="BF366" i="11"/>
  <c r="BF371" i="11"/>
  <c r="BF370" i="11"/>
  <c r="DF384" i="11"/>
  <c r="BF378" i="11"/>
  <c r="BF376" i="11"/>
  <c r="BF364" i="11"/>
  <c r="BF382" i="11"/>
  <c r="BF372" i="11"/>
  <c r="BF360" i="11"/>
  <c r="BF377" i="11"/>
  <c r="BF361" i="11"/>
  <c r="BF379" i="11"/>
  <c r="BF365" i="11"/>
  <c r="BF369" i="11"/>
  <c r="BH367" i="11"/>
  <c r="BH373" i="11"/>
  <c r="BH381" i="11"/>
  <c r="BH379" i="11"/>
  <c r="DF382" i="11"/>
  <c r="BH377" i="11"/>
  <c r="BH376" i="11"/>
  <c r="BH372" i="11"/>
  <c r="BH361" i="11"/>
  <c r="BH371" i="11"/>
  <c r="BH359" i="11"/>
  <c r="BH369" i="11"/>
  <c r="BH380" i="11"/>
  <c r="BH362" i="11"/>
  <c r="BH360" i="11"/>
  <c r="BH363" i="11"/>
  <c r="BH370" i="11"/>
  <c r="BH374" i="11"/>
  <c r="BH366" i="11"/>
  <c r="BH378" i="11"/>
  <c r="BH364" i="11"/>
  <c r="BH368" i="11"/>
  <c r="BH365" i="11"/>
  <c r="BH375" i="11"/>
  <c r="BC373" i="11"/>
  <c r="BC385" i="11"/>
  <c r="BC386" i="11"/>
  <c r="BC369" i="11"/>
  <c r="BC367" i="11"/>
  <c r="BC368" i="11"/>
  <c r="BC371" i="11"/>
  <c r="BC375" i="11"/>
  <c r="BC384" i="11"/>
  <c r="BC378" i="11"/>
  <c r="BC370" i="11"/>
  <c r="BC364" i="11"/>
  <c r="BC377" i="11"/>
  <c r="BC361" i="11"/>
  <c r="DF387" i="11"/>
  <c r="BC376" i="11"/>
  <c r="BC381" i="11"/>
  <c r="BC372" i="11"/>
  <c r="BC365" i="11"/>
  <c r="BC380" i="11"/>
  <c r="BC374" i="11"/>
  <c r="BC362" i="11"/>
  <c r="BC383" i="11"/>
  <c r="BC366" i="11"/>
  <c r="BC359" i="11"/>
  <c r="BC382" i="11"/>
  <c r="BC379" i="11"/>
  <c r="BC360" i="11"/>
  <c r="BC363" i="11"/>
  <c r="BZ363" i="11"/>
  <c r="BZ362" i="11"/>
  <c r="BZ359" i="11"/>
  <c r="BZ360" i="11"/>
  <c r="DF364" i="11"/>
  <c r="BZ361" i="11"/>
  <c r="BD369" i="11"/>
  <c r="BD377" i="11"/>
  <c r="BD385" i="11"/>
  <c r="BD359" i="11"/>
  <c r="DF386" i="11"/>
  <c r="BD367" i="11"/>
  <c r="BD381" i="11"/>
  <c r="BD375" i="11"/>
  <c r="BD365" i="11"/>
  <c r="BD379" i="11"/>
  <c r="BD371" i="11"/>
  <c r="BD368" i="11"/>
  <c r="BD373" i="11"/>
  <c r="BD380" i="11"/>
  <c r="BD372" i="11"/>
  <c r="BD360" i="11"/>
  <c r="BD383" i="11"/>
  <c r="BD378" i="11"/>
  <c r="BD366" i="11"/>
  <c r="BD364" i="11"/>
  <c r="BD382" i="11"/>
  <c r="BD376" i="11"/>
  <c r="BD362" i="11"/>
  <c r="BD374" i="11"/>
  <c r="BD384" i="11"/>
  <c r="BD363" i="11"/>
  <c r="BD370" i="11"/>
  <c r="BD361" i="11"/>
  <c r="AY368" i="11"/>
  <c r="DF391" i="11"/>
  <c r="AY375" i="11"/>
  <c r="AY367" i="11"/>
  <c r="AY385" i="11"/>
  <c r="AY389" i="11"/>
  <c r="AY387" i="11"/>
  <c r="AY383" i="11"/>
  <c r="AY380" i="11"/>
  <c r="AY366" i="11"/>
  <c r="AY373" i="11"/>
  <c r="AY369" i="11"/>
  <c r="AY374" i="11"/>
  <c r="AY362" i="11"/>
  <c r="AY390" i="11"/>
  <c r="AY382" i="11"/>
  <c r="AY370" i="11"/>
  <c r="AY364" i="11"/>
  <c r="AY365" i="11"/>
  <c r="AY386" i="11"/>
  <c r="AY379" i="11"/>
  <c r="AY361" i="11"/>
  <c r="AY378" i="11"/>
  <c r="AY372" i="11"/>
  <c r="AY371" i="11"/>
  <c r="AY384" i="11"/>
  <c r="AY376" i="11"/>
  <c r="AY377" i="11"/>
  <c r="AY363" i="11"/>
  <c r="AY360" i="11"/>
  <c r="AY388" i="11"/>
  <c r="AY381" i="11"/>
  <c r="AY359" i="11"/>
  <c r="I391" i="11"/>
  <c r="I398" i="11"/>
  <c r="I360" i="11"/>
  <c r="I374" i="11"/>
  <c r="I392" i="11"/>
  <c r="I368" i="11"/>
  <c r="I385" i="11"/>
  <c r="I390" i="11"/>
  <c r="I362" i="11"/>
  <c r="I377" i="11"/>
  <c r="I397" i="11"/>
  <c r="I359" i="11"/>
  <c r="I376" i="11"/>
  <c r="I387" i="11"/>
  <c r="I363" i="11"/>
  <c r="I388" i="11"/>
  <c r="I375" i="11"/>
  <c r="I384" i="11"/>
  <c r="I383" i="11"/>
  <c r="I361" i="11"/>
  <c r="I372" i="11"/>
  <c r="I378" i="11"/>
  <c r="I395" i="11"/>
  <c r="I394" i="11"/>
  <c r="I367" i="11"/>
  <c r="I370" i="11"/>
  <c r="I396" i="11"/>
  <c r="I380" i="11"/>
  <c r="I389" i="11"/>
  <c r="I371" i="11"/>
  <c r="I386" i="11"/>
  <c r="I373" i="11"/>
  <c r="I366" i="11"/>
  <c r="I393" i="11"/>
  <c r="I364" i="11"/>
  <c r="I381" i="11"/>
  <c r="I365" i="11"/>
  <c r="I382" i="11"/>
  <c r="I379" i="11"/>
  <c r="I369" i="11"/>
  <c r="BK361" i="11"/>
  <c r="BK376" i="11"/>
  <c r="BK372" i="11"/>
  <c r="BK362" i="11"/>
  <c r="BK371" i="11"/>
  <c r="BK374" i="11"/>
  <c r="BK364" i="11"/>
  <c r="BK365" i="11"/>
  <c r="BK373" i="11"/>
  <c r="BK370" i="11"/>
  <c r="BK363" i="11"/>
  <c r="BK359" i="11"/>
  <c r="BK378" i="11"/>
  <c r="BK366" i="11"/>
  <c r="BK377" i="11"/>
  <c r="BK375" i="11"/>
  <c r="BK368" i="11"/>
  <c r="BK369" i="11"/>
  <c r="BK367" i="11"/>
  <c r="DF379" i="11"/>
  <c r="BK360" i="11"/>
  <c r="Z378" i="11"/>
  <c r="Z393" i="11"/>
  <c r="Z368" i="11"/>
  <c r="Z398" i="11"/>
  <c r="Z362" i="11"/>
  <c r="Z369" i="11"/>
  <c r="Z391" i="11"/>
  <c r="Z382" i="11"/>
  <c r="Z361" i="11"/>
  <c r="Z377" i="11"/>
  <c r="Z383" i="11"/>
  <c r="Z367" i="11"/>
  <c r="Z372" i="11"/>
  <c r="Z359" i="11"/>
  <c r="Z381" i="11"/>
  <c r="Z371" i="11"/>
  <c r="Z379" i="11"/>
  <c r="Z364" i="11"/>
  <c r="Z366" i="11"/>
  <c r="Z380" i="11"/>
  <c r="Z384" i="11"/>
  <c r="Z387" i="11"/>
  <c r="Z376" i="11"/>
  <c r="Z363" i="11"/>
  <c r="Z397" i="11"/>
  <c r="Z388" i="11"/>
  <c r="Z395" i="11"/>
  <c r="Z394" i="11"/>
  <c r="Z365" i="11"/>
  <c r="Z360" i="11"/>
  <c r="Z386" i="11"/>
  <c r="Z385" i="11"/>
  <c r="Z392" i="11"/>
  <c r="Z389" i="11"/>
  <c r="Z375" i="11"/>
  <c r="Z396" i="11"/>
  <c r="Z373" i="11"/>
  <c r="Z370" i="11"/>
  <c r="Z374" i="11"/>
  <c r="Z390" i="11"/>
  <c r="CA361" i="11"/>
  <c r="CA362" i="11"/>
  <c r="DF363" i="11"/>
  <c r="CA359" i="11"/>
  <c r="CA360" i="11"/>
  <c r="BL371" i="11"/>
  <c r="DF378" i="11"/>
  <c r="BL362" i="11"/>
  <c r="BL361" i="11"/>
  <c r="BL368" i="11"/>
  <c r="BL369" i="11"/>
  <c r="BL363" i="11"/>
  <c r="BL367" i="11"/>
  <c r="BL372" i="11"/>
  <c r="BL370" i="11"/>
  <c r="BL360" i="11"/>
  <c r="BL374" i="11"/>
  <c r="BL364" i="11"/>
  <c r="BL377" i="11"/>
  <c r="BL373" i="11"/>
  <c r="BL376" i="11"/>
  <c r="BL366" i="11"/>
  <c r="BL375" i="11"/>
  <c r="BL359" i="11"/>
  <c r="BL365" i="11"/>
  <c r="AQ385" i="11"/>
  <c r="AQ389" i="11"/>
  <c r="AQ391" i="11"/>
  <c r="AQ394" i="11"/>
  <c r="AQ395" i="11"/>
  <c r="AQ388" i="11"/>
  <c r="AQ382" i="11"/>
  <c r="AQ381" i="11"/>
  <c r="AQ379" i="11"/>
  <c r="AQ363" i="11"/>
  <c r="AQ361" i="11"/>
  <c r="AQ372" i="11"/>
  <c r="AQ396" i="11"/>
  <c r="AQ390" i="11"/>
  <c r="AQ384" i="11"/>
  <c r="AQ380" i="11"/>
  <c r="AQ370" i="11"/>
  <c r="AQ373" i="11"/>
  <c r="AQ369" i="11"/>
  <c r="AQ359" i="11"/>
  <c r="AQ368" i="11"/>
  <c r="AQ397" i="11"/>
  <c r="AQ386" i="11"/>
  <c r="AQ374" i="11"/>
  <c r="AQ362" i="11"/>
  <c r="AQ365" i="11"/>
  <c r="AQ393" i="11"/>
  <c r="AQ383" i="11"/>
  <c r="AQ366" i="11"/>
  <c r="AQ367" i="11"/>
  <c r="AQ387" i="11"/>
  <c r="AQ378" i="11"/>
  <c r="AQ377" i="11"/>
  <c r="AQ360" i="11"/>
  <c r="AQ398" i="11"/>
  <c r="AQ392" i="11"/>
  <c r="AQ376" i="11"/>
  <c r="AQ364" i="11"/>
  <c r="AQ375" i="11"/>
  <c r="AQ371" i="11"/>
  <c r="J397" i="11"/>
  <c r="J385" i="11"/>
  <c r="J377" i="11"/>
  <c r="J386" i="11"/>
  <c r="J360" i="11"/>
  <c r="J361" i="11"/>
  <c r="J382" i="11"/>
  <c r="J362" i="11"/>
  <c r="J378" i="11"/>
  <c r="J384" i="11"/>
  <c r="J391" i="11"/>
  <c r="J369" i="11"/>
  <c r="J374" i="11"/>
  <c r="J379" i="11"/>
  <c r="J365" i="11"/>
  <c r="J380" i="11"/>
  <c r="J398" i="11"/>
  <c r="J376" i="11"/>
  <c r="J388" i="11"/>
  <c r="J370" i="11"/>
  <c r="J389" i="11"/>
  <c r="J383" i="11"/>
  <c r="J363" i="11"/>
  <c r="J393" i="11"/>
  <c r="J359" i="11"/>
  <c r="J396" i="11"/>
  <c r="J392" i="11"/>
  <c r="J368" i="11"/>
  <c r="J366" i="11"/>
  <c r="J381" i="11"/>
  <c r="J390" i="11"/>
  <c r="J371" i="11"/>
  <c r="J387" i="11"/>
  <c r="J372" i="11"/>
  <c r="J375" i="11"/>
  <c r="J367" i="11"/>
  <c r="J395" i="11"/>
  <c r="J394" i="11"/>
  <c r="J373" i="11"/>
  <c r="J364" i="11"/>
  <c r="AW360" i="11"/>
  <c r="AW364" i="11"/>
  <c r="AW384" i="11"/>
  <c r="AW377" i="11"/>
  <c r="AW383" i="11"/>
  <c r="AW379" i="11"/>
  <c r="AW380" i="11"/>
  <c r="AW359" i="11"/>
  <c r="AW374" i="11"/>
  <c r="AW392" i="11"/>
  <c r="DF393" i="11"/>
  <c r="AW373" i="11"/>
  <c r="AW381" i="11"/>
  <c r="AW362" i="11"/>
  <c r="AW369" i="11"/>
  <c r="AW390" i="11"/>
  <c r="AW363" i="11"/>
  <c r="AW385" i="11"/>
  <c r="AW361" i="11"/>
  <c r="AW386" i="11"/>
  <c r="AW365" i="11"/>
  <c r="AW375" i="11"/>
  <c r="AW370" i="11"/>
  <c r="AW378" i="11"/>
  <c r="AW388" i="11"/>
  <c r="AW382" i="11"/>
  <c r="AW372" i="11"/>
  <c r="AW387" i="11"/>
  <c r="AW376" i="11"/>
  <c r="AW368" i="11"/>
  <c r="AW366" i="11"/>
  <c r="AW371" i="11"/>
  <c r="AW391" i="11"/>
  <c r="AW367" i="11"/>
  <c r="AW389" i="11"/>
  <c r="BB368" i="11"/>
  <c r="BB367" i="11"/>
  <c r="BB361" i="11"/>
  <c r="BB384" i="11"/>
  <c r="BB376" i="11"/>
  <c r="DF388" i="11"/>
  <c r="BB375" i="11"/>
  <c r="BB381" i="11"/>
  <c r="BB363" i="11"/>
  <c r="BB374" i="11"/>
  <c r="BB371" i="11"/>
  <c r="BB366" i="11"/>
  <c r="BB385" i="11"/>
  <c r="BB387" i="11"/>
  <c r="BB377" i="11"/>
  <c r="BB379" i="11"/>
  <c r="BB370" i="11"/>
  <c r="BB365" i="11"/>
  <c r="BB378" i="11"/>
  <c r="BB369" i="11"/>
  <c r="BB362" i="11"/>
  <c r="BB360" i="11"/>
  <c r="BB382" i="11"/>
  <c r="BB372" i="11"/>
  <c r="BB373" i="11"/>
  <c r="BB383" i="11"/>
  <c r="BB380" i="11"/>
  <c r="BB386" i="11"/>
  <c r="BB364" i="11"/>
  <c r="BB359" i="11"/>
  <c r="AZ385" i="11"/>
  <c r="AZ379" i="11"/>
  <c r="AZ381" i="11"/>
  <c r="AZ377" i="11"/>
  <c r="AZ373" i="11"/>
  <c r="AZ371" i="11"/>
  <c r="AZ367" i="11"/>
  <c r="AZ389" i="11"/>
  <c r="DF390" i="11"/>
  <c r="AZ365" i="11"/>
  <c r="AZ375" i="11"/>
  <c r="AZ386" i="11"/>
  <c r="AZ360" i="11"/>
  <c r="AZ359" i="11"/>
  <c r="AZ388" i="11"/>
  <c r="AZ380" i="11"/>
  <c r="AZ366" i="11"/>
  <c r="AZ364" i="11"/>
  <c r="AZ369" i="11"/>
  <c r="AZ387" i="11"/>
  <c r="AZ374" i="11"/>
  <c r="AZ370" i="11"/>
  <c r="AZ378" i="11"/>
  <c r="AZ383" i="11"/>
  <c r="AZ372" i="11"/>
  <c r="AZ368" i="11"/>
  <c r="AZ363" i="11"/>
  <c r="AZ382" i="11"/>
  <c r="AZ376" i="11"/>
  <c r="AZ362" i="11"/>
  <c r="AZ361" i="11"/>
  <c r="AZ384" i="11"/>
  <c r="AE369" i="11"/>
  <c r="AE367" i="11"/>
  <c r="AE373" i="11"/>
  <c r="AE360" i="11"/>
  <c r="AE395" i="11"/>
  <c r="AE398" i="11"/>
  <c r="AE393" i="11"/>
  <c r="AE384" i="11"/>
  <c r="AE378" i="11"/>
  <c r="AE396" i="11"/>
  <c r="AE387" i="11"/>
  <c r="AE397" i="11"/>
  <c r="AE383" i="11"/>
  <c r="AE380" i="11"/>
  <c r="AE372" i="11"/>
  <c r="AE366" i="11"/>
  <c r="AE359" i="11"/>
  <c r="AE391" i="11"/>
  <c r="AE394" i="11"/>
  <c r="AE382" i="11"/>
  <c r="AE374" i="11"/>
  <c r="AE364" i="11"/>
  <c r="AE362" i="11"/>
  <c r="AE381" i="11"/>
  <c r="AE392" i="11"/>
  <c r="AE386" i="11"/>
  <c r="AE370" i="11"/>
  <c r="AE363" i="11"/>
  <c r="AE379" i="11"/>
  <c r="AE390" i="11"/>
  <c r="AE388" i="11"/>
  <c r="AE376" i="11"/>
  <c r="AE377" i="11"/>
  <c r="AE365" i="11"/>
  <c r="AE361" i="11"/>
  <c r="AE385" i="11"/>
  <c r="AE375" i="11"/>
  <c r="AE368" i="11"/>
  <c r="AE389" i="11"/>
  <c r="AE371" i="11"/>
  <c r="AD383" i="11"/>
  <c r="AD367" i="11"/>
  <c r="AD375" i="11"/>
  <c r="AD376" i="11"/>
  <c r="AD371" i="11"/>
  <c r="AD378" i="11"/>
  <c r="AD379" i="11"/>
  <c r="AD387" i="11"/>
  <c r="AD359" i="11"/>
  <c r="AD388" i="11"/>
  <c r="AD374" i="11"/>
  <c r="AD369" i="11"/>
  <c r="AD366" i="11"/>
  <c r="AD386" i="11"/>
  <c r="AD381" i="11"/>
  <c r="AD393" i="11"/>
  <c r="AD364" i="11"/>
  <c r="AD397" i="11"/>
  <c r="AD370" i="11"/>
  <c r="AD385" i="11"/>
  <c r="AD391" i="11"/>
  <c r="AD396" i="11"/>
  <c r="AD380" i="11"/>
  <c r="AD390" i="11"/>
  <c r="AD392" i="11"/>
  <c r="AD377" i="11"/>
  <c r="AD360" i="11"/>
  <c r="AD368" i="11"/>
  <c r="AD384" i="11"/>
  <c r="AD389" i="11"/>
  <c r="AD361" i="11"/>
  <c r="AD398" i="11"/>
  <c r="AD362" i="11"/>
  <c r="AD363" i="11"/>
  <c r="AD372" i="11"/>
  <c r="AD394" i="11"/>
  <c r="AD365" i="11"/>
  <c r="AD395" i="11"/>
  <c r="AD373" i="11"/>
  <c r="AD382" i="11"/>
  <c r="DF372" i="11"/>
  <c r="BR360" i="11"/>
  <c r="BR370" i="11"/>
  <c r="BR368" i="11"/>
  <c r="BR361" i="11"/>
  <c r="BR369" i="11"/>
  <c r="BR371" i="11"/>
  <c r="BR365" i="11"/>
  <c r="BR363" i="11"/>
  <c r="BR366" i="11"/>
  <c r="BR359" i="11"/>
  <c r="BR362" i="11"/>
  <c r="BR364" i="11"/>
  <c r="BR367" i="11"/>
  <c r="AU385" i="11"/>
  <c r="AU387" i="11"/>
  <c r="AU382" i="11"/>
  <c r="AU376" i="11"/>
  <c r="AU377" i="11"/>
  <c r="AU363" i="11"/>
  <c r="AU359" i="11"/>
  <c r="AU394" i="11"/>
  <c r="AU390" i="11"/>
  <c r="AU388" i="11"/>
  <c r="AU374" i="11"/>
  <c r="AU372" i="11"/>
  <c r="AU381" i="11"/>
  <c r="AU393" i="11"/>
  <c r="AU384" i="11"/>
  <c r="AU378" i="11"/>
  <c r="AU370" i="11"/>
  <c r="AU364" i="11"/>
  <c r="AU362" i="11"/>
  <c r="AU375" i="11"/>
  <c r="AU392" i="11"/>
  <c r="AU383" i="11"/>
  <c r="AU380" i="11"/>
  <c r="AU366" i="11"/>
  <c r="AU379" i="11"/>
  <c r="AU365" i="11"/>
  <c r="AU391" i="11"/>
  <c r="AU371" i="11"/>
  <c r="AU389" i="11"/>
  <c r="AU360" i="11"/>
  <c r="DF395" i="11"/>
  <c r="AU367" i="11"/>
  <c r="AU369" i="11"/>
  <c r="AU368" i="11"/>
  <c r="AU386" i="11"/>
  <c r="AU373" i="11"/>
  <c r="AU361" i="11"/>
  <c r="AV386" i="11"/>
  <c r="AV388" i="11"/>
  <c r="AV382" i="11"/>
  <c r="AV370" i="11"/>
  <c r="AV362" i="11"/>
  <c r="AV366" i="11"/>
  <c r="AV393" i="11"/>
  <c r="AV384" i="11"/>
  <c r="AV363" i="11"/>
  <c r="AV372" i="11"/>
  <c r="AV364" i="11"/>
  <c r="DF394" i="11"/>
  <c r="AV387" i="11"/>
  <c r="AV380" i="11"/>
  <c r="AV376" i="11"/>
  <c r="AV361" i="11"/>
  <c r="AV367" i="11"/>
  <c r="AV391" i="11"/>
  <c r="AV383" i="11"/>
  <c r="AV378" i="11"/>
  <c r="AV374" i="11"/>
  <c r="AV360" i="11"/>
  <c r="AV371" i="11"/>
  <c r="AV369" i="11"/>
  <c r="AV368" i="11"/>
  <c r="AV379" i="11"/>
  <c r="AV392" i="11"/>
  <c r="AV390" i="11"/>
  <c r="AV381" i="11"/>
  <c r="AV385" i="11"/>
  <c r="AV359" i="11"/>
  <c r="AV365" i="11"/>
  <c r="AV375" i="11"/>
  <c r="AV377" i="11"/>
  <c r="AV389" i="11"/>
  <c r="AV373" i="11"/>
  <c r="AA386" i="11"/>
  <c r="AA391" i="11"/>
  <c r="AA368" i="11"/>
  <c r="AA389" i="11"/>
  <c r="AA385" i="11"/>
  <c r="AA397" i="11"/>
  <c r="AA395" i="11"/>
  <c r="AA394" i="11"/>
  <c r="AA378" i="11"/>
  <c r="AA381" i="11"/>
  <c r="AA373" i="11"/>
  <c r="AA362" i="11"/>
  <c r="AA369" i="11"/>
  <c r="AA359" i="11"/>
  <c r="AA393" i="11"/>
  <c r="AA392" i="11"/>
  <c r="AA383" i="11"/>
  <c r="AA374" i="11"/>
  <c r="AA377" i="11"/>
  <c r="AA363" i="11"/>
  <c r="AA361" i="11"/>
  <c r="AA375" i="11"/>
  <c r="AA390" i="11"/>
  <c r="AA380" i="11"/>
  <c r="AA364" i="11"/>
  <c r="AA365" i="11"/>
  <c r="AA398" i="11"/>
  <c r="AA388" i="11"/>
  <c r="AA370" i="11"/>
  <c r="AA366" i="11"/>
  <c r="AA367" i="11"/>
  <c r="AA396" i="11"/>
  <c r="AA384" i="11"/>
  <c r="AA379" i="11"/>
  <c r="AA372" i="11"/>
  <c r="AA387" i="11"/>
  <c r="AA382" i="11"/>
  <c r="AA376" i="11"/>
  <c r="AA360" i="11"/>
  <c r="AA371" i="11"/>
  <c r="BA381" i="11"/>
  <c r="BA387" i="11"/>
  <c r="BA371" i="11"/>
  <c r="BA365" i="11"/>
  <c r="BA362" i="11"/>
  <c r="BA367" i="11"/>
  <c r="BA378" i="11"/>
  <c r="BA370" i="11"/>
  <c r="BA368" i="11"/>
  <c r="BA382" i="11"/>
  <c r="BA376" i="11"/>
  <c r="BA360" i="11"/>
  <c r="BA372" i="11"/>
  <c r="BA364" i="11"/>
  <c r="BA385" i="11"/>
  <c r="BA361" i="11"/>
  <c r="BA375" i="11"/>
  <c r="BA383" i="11"/>
  <c r="BA363" i="11"/>
  <c r="BA374" i="11"/>
  <c r="BA388" i="11"/>
  <c r="BA384" i="11"/>
  <c r="BA386" i="11"/>
  <c r="BA380" i="11"/>
  <c r="BA369" i="11"/>
  <c r="BA373" i="11"/>
  <c r="BA359" i="11"/>
  <c r="BA366" i="11"/>
  <c r="BA377" i="11"/>
  <c r="DF389" i="11"/>
  <c r="BA379" i="11"/>
  <c r="R393" i="11"/>
  <c r="R371" i="11"/>
  <c r="R383" i="11"/>
  <c r="R391" i="11"/>
  <c r="R368" i="11"/>
  <c r="R370" i="11"/>
  <c r="R379" i="11"/>
  <c r="R364" i="11"/>
  <c r="R361" i="11"/>
  <c r="R376" i="11"/>
  <c r="R397" i="11"/>
  <c r="R367" i="11"/>
  <c r="R372" i="11"/>
  <c r="R359" i="11"/>
  <c r="R394" i="11"/>
  <c r="R390" i="11"/>
  <c r="R377" i="11"/>
  <c r="R387" i="11"/>
  <c r="R374" i="11"/>
  <c r="R375" i="11"/>
  <c r="R381" i="11"/>
  <c r="R363" i="11"/>
  <c r="R396" i="11"/>
  <c r="R360" i="11"/>
  <c r="R385" i="11"/>
  <c r="R386" i="11"/>
  <c r="R366" i="11"/>
  <c r="R382" i="11"/>
  <c r="R378" i="11"/>
  <c r="R373" i="11"/>
  <c r="R398" i="11"/>
  <c r="R392" i="11"/>
  <c r="R362" i="11"/>
  <c r="R365" i="11"/>
  <c r="R384" i="11"/>
  <c r="R395" i="11"/>
  <c r="R380" i="11"/>
  <c r="R388" i="11"/>
  <c r="R389" i="11"/>
  <c r="R369" i="11"/>
  <c r="BE365" i="11"/>
  <c r="BE380" i="11"/>
  <c r="BE383" i="11"/>
  <c r="BE379" i="11"/>
  <c r="BE372" i="11"/>
  <c r="BE359" i="11"/>
  <c r="BE371" i="11"/>
  <c r="BE369" i="11"/>
  <c r="BE374" i="11"/>
  <c r="BE362" i="11"/>
  <c r="BE370" i="11"/>
  <c r="BE377" i="11"/>
  <c r="BE363" i="11"/>
  <c r="BE360" i="11"/>
  <c r="BE382" i="11"/>
  <c r="BE361" i="11"/>
  <c r="BE381" i="11"/>
  <c r="DF385" i="11"/>
  <c r="BE376" i="11"/>
  <c r="BE366" i="11"/>
  <c r="BE373" i="11"/>
  <c r="BE367" i="11"/>
  <c r="BE384" i="11"/>
  <c r="BE375" i="11"/>
  <c r="BE368" i="11"/>
  <c r="BE378" i="11"/>
  <c r="BE364" i="11"/>
  <c r="BP373" i="11"/>
  <c r="BP368" i="11"/>
  <c r="BP367" i="11"/>
  <c r="BP365" i="11"/>
  <c r="BP360" i="11"/>
  <c r="BP359" i="11"/>
  <c r="BP369" i="11"/>
  <c r="DF374" i="11"/>
  <c r="BP370" i="11"/>
  <c r="BP361" i="11"/>
  <c r="BP371" i="11"/>
  <c r="BP366" i="11"/>
  <c r="BP364" i="11"/>
  <c r="BP372" i="11"/>
  <c r="BP363" i="11"/>
  <c r="BP362" i="11"/>
  <c r="AR390" i="11"/>
  <c r="AR381" i="11"/>
  <c r="AR367" i="11"/>
  <c r="AR395" i="11"/>
  <c r="AR373" i="11"/>
  <c r="AR392" i="11"/>
  <c r="AR377" i="11"/>
  <c r="AR369" i="11"/>
  <c r="AR368" i="11"/>
  <c r="AR379" i="11"/>
  <c r="AR359" i="11"/>
  <c r="AR394" i="11"/>
  <c r="AR391" i="11"/>
  <c r="AR384" i="11"/>
  <c r="AR363" i="11"/>
  <c r="AR366" i="11"/>
  <c r="AR360" i="11"/>
  <c r="AR389" i="11"/>
  <c r="AR385" i="11"/>
  <c r="AR386" i="11"/>
  <c r="AR397" i="11"/>
  <c r="AR393" i="11"/>
  <c r="AR387" i="11"/>
  <c r="AR378" i="11"/>
  <c r="AR374" i="11"/>
  <c r="AR364" i="11"/>
  <c r="AR382" i="11"/>
  <c r="AR362" i="11"/>
  <c r="AR396" i="11"/>
  <c r="AR383" i="11"/>
  <c r="AR372" i="11"/>
  <c r="AR375" i="11"/>
  <c r="DF398" i="11"/>
  <c r="AR380" i="11"/>
  <c r="AR370" i="11"/>
  <c r="AR388" i="11"/>
  <c r="AR376" i="11"/>
  <c r="AR361" i="11"/>
  <c r="AR365" i="11"/>
  <c r="AR371" i="11"/>
  <c r="AM373" i="11"/>
  <c r="AM395" i="11"/>
  <c r="AM389" i="11"/>
  <c r="AM385" i="11"/>
  <c r="AM391" i="11"/>
  <c r="AM386" i="11"/>
  <c r="AM371" i="11"/>
  <c r="AM369" i="11"/>
  <c r="AM367" i="11"/>
  <c r="AM375" i="11"/>
  <c r="AM396" i="11"/>
  <c r="AM390" i="11"/>
  <c r="AM378" i="11"/>
  <c r="AM370" i="11"/>
  <c r="AM377" i="11"/>
  <c r="AM366" i="11"/>
  <c r="AM361" i="11"/>
  <c r="AM368" i="11"/>
  <c r="AM394" i="11"/>
  <c r="AM392" i="11"/>
  <c r="AM383" i="11"/>
  <c r="AM388" i="11"/>
  <c r="AM376" i="11"/>
  <c r="AM379" i="11"/>
  <c r="AM365" i="11"/>
  <c r="AM362" i="11"/>
  <c r="AM397" i="11"/>
  <c r="AM382" i="11"/>
  <c r="AM364" i="11"/>
  <c r="AM360" i="11"/>
  <c r="AM393" i="11"/>
  <c r="AM380" i="11"/>
  <c r="AM363" i="11"/>
  <c r="AM359" i="11"/>
  <c r="AM387" i="11"/>
  <c r="AM374" i="11"/>
  <c r="AM372" i="11"/>
  <c r="AM398" i="11"/>
  <c r="AM384" i="11"/>
  <c r="AM381" i="11"/>
  <c r="BY360" i="11"/>
  <c r="BY361" i="11"/>
  <c r="BY363" i="11"/>
  <c r="BY362" i="11"/>
  <c r="DF365" i="11"/>
  <c r="BY359" i="11"/>
  <c r="BY364" i="11"/>
  <c r="V387" i="11"/>
  <c r="V363" i="11"/>
  <c r="V371" i="11"/>
  <c r="V386" i="11"/>
  <c r="V372" i="11"/>
  <c r="V370" i="11"/>
  <c r="V390" i="11"/>
  <c r="V375" i="11"/>
  <c r="V374" i="11"/>
  <c r="V385" i="11"/>
  <c r="V378" i="11"/>
  <c r="V373" i="11"/>
  <c r="V367" i="11"/>
  <c r="V365" i="11"/>
  <c r="V368" i="11"/>
  <c r="V381" i="11"/>
  <c r="V395" i="11"/>
  <c r="V392" i="11"/>
  <c r="V376" i="11"/>
  <c r="V391" i="11"/>
  <c r="V380" i="11"/>
  <c r="V379" i="11"/>
  <c r="V361" i="11"/>
  <c r="V384" i="11"/>
  <c r="V398" i="11"/>
  <c r="V397" i="11"/>
  <c r="V364" i="11"/>
  <c r="V377" i="11"/>
  <c r="V389" i="11"/>
  <c r="V383" i="11"/>
  <c r="V382" i="11"/>
  <c r="V393" i="11"/>
  <c r="V360" i="11"/>
  <c r="V394" i="11"/>
  <c r="V359" i="11"/>
  <c r="V388" i="11"/>
  <c r="V366" i="11"/>
  <c r="V362" i="11"/>
  <c r="V369" i="11"/>
  <c r="V396" i="11"/>
  <c r="Q369" i="11"/>
  <c r="Q373" i="11"/>
  <c r="Q364" i="11"/>
  <c r="Q367" i="11"/>
  <c r="Q360" i="11"/>
  <c r="Q366" i="11"/>
  <c r="Q359" i="11"/>
  <c r="Q382" i="11"/>
  <c r="Q396" i="11"/>
  <c r="Q374" i="11"/>
  <c r="Q385" i="11"/>
  <c r="Q376" i="11"/>
  <c r="Q365" i="11"/>
  <c r="Q389" i="11"/>
  <c r="Q380" i="11"/>
  <c r="Q398" i="11"/>
  <c r="Q394" i="11"/>
  <c r="Q370" i="11"/>
  <c r="Q387" i="11"/>
  <c r="Q391" i="11"/>
  <c r="Q386" i="11"/>
  <c r="Q377" i="11"/>
  <c r="Q395" i="11"/>
  <c r="Q371" i="11"/>
  <c r="Q381" i="11"/>
  <c r="Q362" i="11"/>
  <c r="Q361" i="11"/>
  <c r="Q363" i="11"/>
  <c r="Q368" i="11"/>
  <c r="Q383" i="11"/>
  <c r="Q379" i="11"/>
  <c r="Q388" i="11"/>
  <c r="Q384" i="11"/>
  <c r="Q375" i="11"/>
  <c r="Q393" i="11"/>
  <c r="Q372" i="11"/>
  <c r="Q397" i="11"/>
  <c r="Q392" i="11"/>
  <c r="Q378" i="11"/>
  <c r="Q390" i="11"/>
  <c r="AN381" i="11"/>
  <c r="AN379" i="11"/>
  <c r="AN390" i="11"/>
  <c r="AN386" i="11"/>
  <c r="AN392" i="11"/>
  <c r="AN395" i="11"/>
  <c r="AN369" i="11"/>
  <c r="AN367" i="11"/>
  <c r="AN385" i="11"/>
  <c r="AN359" i="11"/>
  <c r="AN377" i="11"/>
  <c r="AN371" i="11"/>
  <c r="AN397" i="11"/>
  <c r="AN393" i="11"/>
  <c r="AN388" i="11"/>
  <c r="AN378" i="11"/>
  <c r="AN366" i="11"/>
  <c r="AN374" i="11"/>
  <c r="AN389" i="11"/>
  <c r="AN365" i="11"/>
  <c r="AN396" i="11"/>
  <c r="AN391" i="11"/>
  <c r="AN384" i="11"/>
  <c r="AN376" i="11"/>
  <c r="AN362" i="11"/>
  <c r="AN364" i="11"/>
  <c r="AN373" i="11"/>
  <c r="AN394" i="11"/>
  <c r="AN387" i="11"/>
  <c r="AN383" i="11"/>
  <c r="AN363" i="11"/>
  <c r="AN370" i="11"/>
  <c r="AN361" i="11"/>
  <c r="AN375" i="11"/>
  <c r="AN398" i="11"/>
  <c r="AN382" i="11"/>
  <c r="AN380" i="11"/>
  <c r="AN372" i="11"/>
  <c r="AN360" i="11"/>
  <c r="AN368" i="11"/>
  <c r="AI395" i="11"/>
  <c r="AI391" i="11"/>
  <c r="AI385" i="11"/>
  <c r="AI367" i="11"/>
  <c r="AI375" i="11"/>
  <c r="AI371" i="11"/>
  <c r="AI389" i="11"/>
  <c r="AI386" i="11"/>
  <c r="AI368" i="11"/>
  <c r="AI369" i="11"/>
  <c r="AI393" i="11"/>
  <c r="AI382" i="11"/>
  <c r="AI376" i="11"/>
  <c r="AI361" i="11"/>
  <c r="AI398" i="11"/>
  <c r="AI394" i="11"/>
  <c r="AI384" i="11"/>
  <c r="AI378" i="11"/>
  <c r="AI379" i="11"/>
  <c r="AI373" i="11"/>
  <c r="AI366" i="11"/>
  <c r="AI359" i="11"/>
  <c r="AI397" i="11"/>
  <c r="AI388" i="11"/>
  <c r="AI377" i="11"/>
  <c r="AI364" i="11"/>
  <c r="AI360" i="11"/>
  <c r="AI387" i="11"/>
  <c r="AI380" i="11"/>
  <c r="AI362" i="11"/>
  <c r="AI396" i="11"/>
  <c r="AI390" i="11"/>
  <c r="AI383" i="11"/>
  <c r="AI374" i="11"/>
  <c r="AI381" i="11"/>
  <c r="AI372" i="11"/>
  <c r="AI365" i="11"/>
  <c r="AI392" i="11"/>
  <c r="AI370" i="11"/>
  <c r="AI363" i="11"/>
  <c r="BQ360" i="11"/>
  <c r="BQ371" i="11"/>
  <c r="BQ359" i="11"/>
  <c r="BQ362" i="11"/>
  <c r="BQ363" i="11"/>
  <c r="BQ372" i="11"/>
  <c r="BQ367" i="11"/>
  <c r="BQ369" i="11"/>
  <c r="BQ370" i="11"/>
  <c r="DF373" i="11"/>
  <c r="BQ364" i="11"/>
  <c r="BQ361" i="11"/>
  <c r="BQ368" i="11"/>
  <c r="BQ366" i="11"/>
  <c r="BQ365" i="11"/>
  <c r="AJ385" i="11"/>
  <c r="AJ395" i="11"/>
  <c r="AJ379" i="11"/>
  <c r="AJ381" i="11"/>
  <c r="AJ377" i="11"/>
  <c r="AJ373" i="11"/>
  <c r="AJ369" i="11"/>
  <c r="AJ389" i="11"/>
  <c r="AJ375" i="11"/>
  <c r="AJ368" i="11"/>
  <c r="AJ365" i="11"/>
  <c r="AJ359" i="11"/>
  <c r="AJ361" i="11"/>
  <c r="AJ392" i="11"/>
  <c r="AJ398" i="11"/>
  <c r="AJ391" i="11"/>
  <c r="AJ376" i="11"/>
  <c r="AJ372" i="11"/>
  <c r="AJ366" i="11"/>
  <c r="AJ390" i="11"/>
  <c r="AJ386" i="11"/>
  <c r="AJ367" i="11"/>
  <c r="AJ397" i="11"/>
  <c r="AJ393" i="11"/>
  <c r="AJ383" i="11"/>
  <c r="AJ380" i="11"/>
  <c r="AJ374" i="11"/>
  <c r="AJ364" i="11"/>
  <c r="AJ382" i="11"/>
  <c r="AJ396" i="11"/>
  <c r="AJ384" i="11"/>
  <c r="AJ370" i="11"/>
  <c r="AJ360" i="11"/>
  <c r="AJ394" i="11"/>
  <c r="AJ362" i="11"/>
  <c r="AJ387" i="11"/>
  <c r="AJ388" i="11"/>
  <c r="AJ378" i="11"/>
  <c r="AJ363" i="11"/>
  <c r="AJ371" i="11"/>
  <c r="DF367" i="11"/>
  <c r="BW363" i="11"/>
  <c r="BW365" i="11"/>
  <c r="BW366" i="11"/>
  <c r="BW361" i="11"/>
  <c r="BW359" i="11"/>
  <c r="BW364" i="11"/>
  <c r="BW362" i="11"/>
  <c r="BW360" i="11"/>
  <c r="U389" i="11"/>
  <c r="U383" i="11"/>
  <c r="U376" i="11"/>
  <c r="U397" i="11"/>
  <c r="U360" i="11"/>
  <c r="U370" i="11"/>
  <c r="U363" i="11"/>
  <c r="U379" i="11"/>
  <c r="U373" i="11"/>
  <c r="U366" i="11"/>
  <c r="U392" i="11"/>
  <c r="U362" i="11"/>
  <c r="U380" i="11"/>
  <c r="U391" i="11"/>
  <c r="U359" i="11"/>
  <c r="U367" i="11"/>
  <c r="U381" i="11"/>
  <c r="U386" i="11"/>
  <c r="U372" i="11"/>
  <c r="U398" i="11"/>
  <c r="U388" i="11"/>
  <c r="U368" i="11"/>
  <c r="U395" i="11"/>
  <c r="U365" i="11"/>
  <c r="U382" i="11"/>
  <c r="U374" i="11"/>
  <c r="U361" i="11"/>
  <c r="U371" i="11"/>
  <c r="U387" i="11"/>
  <c r="U394" i="11"/>
  <c r="U390" i="11"/>
  <c r="U377" i="11"/>
  <c r="U375" i="11"/>
  <c r="U378" i="11"/>
  <c r="U385" i="11"/>
  <c r="U396" i="11"/>
  <c r="U384" i="11"/>
  <c r="U369" i="11"/>
  <c r="U364" i="11"/>
  <c r="U393" i="11"/>
  <c r="DF396" i="11"/>
  <c r="AT370" i="11"/>
  <c r="AT393" i="11"/>
  <c r="AT363" i="11"/>
  <c r="AT387" i="11"/>
  <c r="AT368" i="11"/>
  <c r="AT364" i="11"/>
  <c r="AT381" i="11"/>
  <c r="AT395" i="11"/>
  <c r="AT386" i="11"/>
  <c r="AT359" i="11"/>
  <c r="AT376" i="11"/>
  <c r="AT371" i="11"/>
  <c r="AT366" i="11"/>
  <c r="AT378" i="11"/>
  <c r="AT373" i="11"/>
  <c r="AT372" i="11"/>
  <c r="AT369" i="11"/>
  <c r="AT394" i="11"/>
  <c r="AT390" i="11"/>
  <c r="AT380" i="11"/>
  <c r="AT389" i="11"/>
  <c r="AT391" i="11"/>
  <c r="AT374" i="11"/>
  <c r="AT382" i="11"/>
  <c r="AT361" i="11"/>
  <c r="AT377" i="11"/>
  <c r="AT383" i="11"/>
  <c r="AT375" i="11"/>
  <c r="AT365" i="11"/>
  <c r="AT362" i="11"/>
  <c r="AT384" i="11"/>
  <c r="AT360" i="11"/>
  <c r="AT392" i="11"/>
  <c r="AT385" i="11"/>
  <c r="AT388" i="11"/>
  <c r="AT379" i="11"/>
  <c r="AT367" i="11"/>
  <c r="T377" i="11"/>
  <c r="T373" i="11"/>
  <c r="T360" i="11"/>
  <c r="T395" i="11"/>
  <c r="T385" i="11"/>
  <c r="T379" i="11"/>
  <c r="T375" i="11"/>
  <c r="T359" i="11"/>
  <c r="T361" i="11"/>
  <c r="T371" i="11"/>
  <c r="T365" i="11"/>
  <c r="T389" i="11"/>
  <c r="T390" i="11"/>
  <c r="T381" i="11"/>
  <c r="T368" i="11"/>
  <c r="T367" i="11"/>
  <c r="T396" i="11"/>
  <c r="T393" i="11"/>
  <c r="T386" i="11"/>
  <c r="T378" i="11"/>
  <c r="T374" i="11"/>
  <c r="T391" i="11"/>
  <c r="T369" i="11"/>
  <c r="T392" i="11"/>
  <c r="T388" i="11"/>
  <c r="T376" i="11"/>
  <c r="T372" i="11"/>
  <c r="T366" i="11"/>
  <c r="T398" i="11"/>
  <c r="T394" i="11"/>
  <c r="T380" i="11"/>
  <c r="T362" i="11"/>
  <c r="T387" i="11"/>
  <c r="T364" i="11"/>
  <c r="T384" i="11"/>
  <c r="T397" i="11"/>
  <c r="T382" i="11"/>
  <c r="T363" i="11"/>
  <c r="T383" i="11"/>
  <c r="T370" i="11"/>
  <c r="AB386" i="11"/>
  <c r="AB369" i="11"/>
  <c r="AB371" i="11"/>
  <c r="AB359" i="11"/>
  <c r="AB395" i="11"/>
  <c r="AB379" i="11"/>
  <c r="AB385" i="11"/>
  <c r="AB389" i="11"/>
  <c r="AB381" i="11"/>
  <c r="AB373" i="11"/>
  <c r="AB368" i="11"/>
  <c r="AB398" i="11"/>
  <c r="AB382" i="11"/>
  <c r="AB376" i="11"/>
  <c r="AB363" i="11"/>
  <c r="AB372" i="11"/>
  <c r="AB364" i="11"/>
  <c r="AB390" i="11"/>
  <c r="AB377" i="11"/>
  <c r="AB367" i="11"/>
  <c r="AB396" i="11"/>
  <c r="AB393" i="11"/>
  <c r="AB387" i="11"/>
  <c r="AB380" i="11"/>
  <c r="AB366" i="11"/>
  <c r="AB370" i="11"/>
  <c r="AB397" i="11"/>
  <c r="AB391" i="11"/>
  <c r="AB374" i="11"/>
  <c r="AB392" i="11"/>
  <c r="AB383" i="11"/>
  <c r="AB362" i="11"/>
  <c r="AB394" i="11"/>
  <c r="AB384" i="11"/>
  <c r="AB360" i="11"/>
  <c r="AB388" i="11"/>
  <c r="AB378" i="11"/>
  <c r="AB361" i="11"/>
  <c r="AB365" i="11"/>
  <c r="AB375" i="11"/>
  <c r="W386" i="11"/>
  <c r="W395" i="11"/>
  <c r="W389" i="11"/>
  <c r="W391" i="11"/>
  <c r="W373" i="11"/>
  <c r="W385" i="11"/>
  <c r="W375" i="11"/>
  <c r="W367" i="11"/>
  <c r="W368" i="11"/>
  <c r="W369" i="11"/>
  <c r="W396" i="11"/>
  <c r="W390" i="11"/>
  <c r="W382" i="11"/>
  <c r="W374" i="11"/>
  <c r="W379" i="11"/>
  <c r="W366" i="11"/>
  <c r="W360" i="11"/>
  <c r="W398" i="11"/>
  <c r="W392" i="11"/>
  <c r="W384" i="11"/>
  <c r="W394" i="11"/>
  <c r="W376" i="11"/>
  <c r="W363" i="11"/>
  <c r="W377" i="11"/>
  <c r="W361" i="11"/>
  <c r="W364" i="11"/>
  <c r="W387" i="11"/>
  <c r="W380" i="11"/>
  <c r="W372" i="11"/>
  <c r="W370" i="11"/>
  <c r="W362" i="11"/>
  <c r="W371" i="11"/>
  <c r="W388" i="11"/>
  <c r="W397" i="11"/>
  <c r="W383" i="11"/>
  <c r="W381" i="11"/>
  <c r="W365" i="11"/>
  <c r="W393" i="11"/>
  <c r="W378" i="11"/>
  <c r="W359" i="11"/>
  <c r="DF360" i="11"/>
  <c r="CD359" i="11"/>
  <c r="X381" i="11"/>
  <c r="X395" i="11"/>
  <c r="X390" i="11"/>
  <c r="X367" i="11"/>
  <c r="X379" i="11"/>
  <c r="X377" i="11"/>
  <c r="X369" i="11"/>
  <c r="X373" i="11"/>
  <c r="X385" i="11"/>
  <c r="X365" i="11"/>
  <c r="X368" i="11"/>
  <c r="X389" i="11"/>
  <c r="X375" i="11"/>
  <c r="X396" i="11"/>
  <c r="X393" i="11"/>
  <c r="X382" i="11"/>
  <c r="X378" i="11"/>
  <c r="X392" i="11"/>
  <c r="X391" i="11"/>
  <c r="X384" i="11"/>
  <c r="X388" i="11"/>
  <c r="X366" i="11"/>
  <c r="X360" i="11"/>
  <c r="X359" i="11"/>
  <c r="X371" i="11"/>
  <c r="X394" i="11"/>
  <c r="X387" i="11"/>
  <c r="X383" i="11"/>
  <c r="X397" i="11"/>
  <c r="X398" i="11"/>
  <c r="X386" i="11"/>
  <c r="X380" i="11"/>
  <c r="X363" i="11"/>
  <c r="X370" i="11"/>
  <c r="X361" i="11"/>
  <c r="X372" i="11"/>
  <c r="X362" i="11"/>
  <c r="X374" i="11"/>
  <c r="X376" i="11"/>
  <c r="X364" i="11"/>
  <c r="S368" i="11"/>
  <c r="S385" i="11"/>
  <c r="S375" i="11"/>
  <c r="S389" i="11"/>
  <c r="S391" i="11"/>
  <c r="S369" i="11"/>
  <c r="S367" i="11"/>
  <c r="S371" i="11"/>
  <c r="S387" i="11"/>
  <c r="S382" i="11"/>
  <c r="S376" i="11"/>
  <c r="S396" i="11"/>
  <c r="S390" i="11"/>
  <c r="S384" i="11"/>
  <c r="S378" i="11"/>
  <c r="S381" i="11"/>
  <c r="S373" i="11"/>
  <c r="S366" i="11"/>
  <c r="S360" i="11"/>
  <c r="S395" i="11"/>
  <c r="S383" i="11"/>
  <c r="S379" i="11"/>
  <c r="S364" i="11"/>
  <c r="S365" i="11"/>
  <c r="S393" i="11"/>
  <c r="S380" i="11"/>
  <c r="S362" i="11"/>
  <c r="S398" i="11"/>
  <c r="S394" i="11"/>
  <c r="S392" i="11"/>
  <c r="S388" i="11"/>
  <c r="S374" i="11"/>
  <c r="S377" i="11"/>
  <c r="S372" i="11"/>
  <c r="S359" i="11"/>
  <c r="S397" i="11"/>
  <c r="S386" i="11"/>
  <c r="S370" i="11"/>
  <c r="S363" i="11"/>
  <c r="S361" i="11"/>
  <c r="AK391" i="11"/>
  <c r="AK370" i="11"/>
  <c r="AK384" i="11"/>
  <c r="AK396" i="11"/>
  <c r="AK366" i="11"/>
  <c r="AK364" i="11"/>
  <c r="AK398" i="11"/>
  <c r="AK383" i="11"/>
  <c r="AK375" i="11"/>
  <c r="AK389" i="11"/>
  <c r="AK374" i="11"/>
  <c r="AK381" i="11"/>
  <c r="AK382" i="11"/>
  <c r="AK390" i="11"/>
  <c r="AK367" i="11"/>
  <c r="AK377" i="11"/>
  <c r="AK386" i="11"/>
  <c r="AK359" i="11"/>
  <c r="AK363" i="11"/>
  <c r="AK388" i="11"/>
  <c r="AK361" i="11"/>
  <c r="AK395" i="11"/>
  <c r="AK380" i="11"/>
  <c r="AK379" i="11"/>
  <c r="AK365" i="11"/>
  <c r="AK387" i="11"/>
  <c r="AK378" i="11"/>
  <c r="AK373" i="11"/>
  <c r="AK392" i="11"/>
  <c r="AK360" i="11"/>
  <c r="AK362" i="11"/>
  <c r="AK371" i="11"/>
  <c r="AK376" i="11"/>
  <c r="AK385" i="11"/>
  <c r="AK369" i="11"/>
  <c r="AK397" i="11"/>
  <c r="AK393" i="11"/>
  <c r="AK372" i="11"/>
  <c r="AK368" i="11"/>
  <c r="AK394" i="11"/>
  <c r="BV362" i="11"/>
  <c r="BV365" i="11"/>
  <c r="BV359" i="11"/>
  <c r="BV361" i="11"/>
  <c r="BV363" i="11"/>
  <c r="BV364" i="11"/>
  <c r="BV366" i="11"/>
  <c r="BV360" i="11"/>
  <c r="DF368" i="11"/>
  <c r="BV367" i="11"/>
  <c r="BU365" i="11"/>
  <c r="DF369" i="11"/>
  <c r="BU368" i="11"/>
  <c r="BU361" i="11"/>
  <c r="BU359" i="11"/>
  <c r="BU360" i="11"/>
  <c r="BU363" i="11"/>
  <c r="BU367" i="11"/>
  <c r="BU362" i="11"/>
  <c r="BU366" i="11"/>
  <c r="BU364" i="11"/>
  <c r="BO65" i="1" l="1"/>
  <c r="BO66" i="1"/>
  <c r="BK65" i="1"/>
  <c r="BK66" i="1"/>
  <c r="BN65" i="1"/>
  <c r="BN66" i="1"/>
  <c r="BB64" i="1"/>
  <c r="BB65" i="1"/>
  <c r="BC64" i="1"/>
  <c r="BC66" i="1" s="1"/>
  <c r="BC65" i="1"/>
  <c r="BE65" i="1"/>
  <c r="BE64" i="1"/>
  <c r="BE66" i="1" s="1"/>
  <c r="BC60" i="1"/>
  <c r="AX25" i="1"/>
  <c r="AG43" i="12"/>
  <c r="AM43" i="12" s="1"/>
  <c r="J40" i="12" s="1"/>
  <c r="AX23" i="1"/>
  <c r="AL61" i="1"/>
  <c r="AG50" i="12"/>
  <c r="AM50" i="12" s="1"/>
  <c r="J47" i="12" s="1"/>
  <c r="AX30" i="1"/>
  <c r="AG44" i="12"/>
  <c r="AM44" i="12" s="1"/>
  <c r="J41" i="12" s="1"/>
  <c r="AX24" i="1"/>
  <c r="AG40" i="12"/>
  <c r="AM40" i="12" s="1"/>
  <c r="J37" i="12" s="1"/>
  <c r="AX20" i="1"/>
  <c r="AG42" i="12"/>
  <c r="AM42" i="12" s="1"/>
  <c r="J39" i="12" s="1"/>
  <c r="AX22" i="1"/>
  <c r="AG47" i="12"/>
  <c r="AM47" i="12" s="1"/>
  <c r="J44" i="12" s="1"/>
  <c r="AX27" i="1"/>
  <c r="AG41" i="12"/>
  <c r="AM41" i="12" s="1"/>
  <c r="J38" i="12" s="1"/>
  <c r="AX21" i="1"/>
  <c r="AG49" i="12"/>
  <c r="AM49" i="12" s="1"/>
  <c r="J46" i="12" s="1"/>
  <c r="AX29" i="1"/>
  <c r="AG48" i="12"/>
  <c r="AM48" i="12" s="1"/>
  <c r="J45" i="12" s="1"/>
  <c r="AX28" i="1"/>
  <c r="AS56" i="1"/>
  <c r="AG62" i="1"/>
  <c r="AL62" i="1" s="1"/>
  <c r="AA212" i="1" s="1"/>
  <c r="AE212" i="1" s="1"/>
  <c r="C39" i="12" s="1"/>
  <c r="AN57" i="1"/>
  <c r="AO57" i="1"/>
  <c r="AU31" i="1"/>
  <c r="AG46" i="12"/>
  <c r="AM46" i="12" s="1"/>
  <c r="J43" i="12" s="1"/>
  <c r="BO60" i="1"/>
  <c r="AL36" i="1"/>
  <c r="AG37" i="1"/>
  <c r="AL37" i="1" s="1"/>
  <c r="BO61" i="1"/>
  <c r="BN61" i="1"/>
  <c r="BN60" i="1"/>
  <c r="BP58" i="1"/>
  <c r="BQ58" i="1" s="1"/>
  <c r="BE61" i="1"/>
  <c r="BG57" i="1"/>
  <c r="BH57" i="1" s="1"/>
  <c r="BE60" i="1"/>
  <c r="BG59" i="1"/>
  <c r="BD213" i="1" s="1"/>
  <c r="BK213" i="1" s="1"/>
  <c r="BG58" i="1"/>
  <c r="BH58" i="1" s="1"/>
  <c r="BB61" i="1"/>
  <c r="BB60" i="1"/>
  <c r="BK60" i="1"/>
  <c r="BK61" i="1"/>
  <c r="BP59" i="1"/>
  <c r="AJ110" i="1"/>
  <c r="AJ44" i="12" s="1"/>
  <c r="AP44" i="12" s="1"/>
  <c r="BE114" i="1"/>
  <c r="AI111" i="1"/>
  <c r="AL111" i="1" s="1"/>
  <c r="BD115" i="1"/>
  <c r="BD159" i="1"/>
  <c r="BB158" i="1"/>
  <c r="BE158" i="1" s="1"/>
  <c r="AM158" i="1"/>
  <c r="BE157" i="1"/>
  <c r="BC115" i="1"/>
  <c r="BB119" i="1"/>
  <c r="F94" i="1"/>
  <c r="CQ26" i="1"/>
  <c r="CR26" i="1" s="1"/>
  <c r="F52" i="1"/>
  <c r="F117" i="1"/>
  <c r="F27" i="1"/>
  <c r="F71" i="1" s="1"/>
  <c r="N69" i="8"/>
  <c r="N58" i="8"/>
  <c r="N70" i="8"/>
  <c r="N18" i="8"/>
  <c r="N36" i="8"/>
  <c r="N61" i="8"/>
  <c r="N72" i="8"/>
  <c r="M66" i="8"/>
  <c r="O66" i="8" s="1"/>
  <c r="S66" i="8" s="1"/>
  <c r="N46" i="8"/>
  <c r="N42" i="8"/>
  <c r="M42" i="8"/>
  <c r="O42" i="8" s="1"/>
  <c r="S42" i="8" s="1"/>
  <c r="N60" i="8"/>
  <c r="M30" i="8"/>
  <c r="O30" i="8" s="1"/>
  <c r="S30" i="8" s="1"/>
  <c r="CS20" i="17" s="1"/>
  <c r="N54" i="8"/>
  <c r="N24" i="8"/>
  <c r="M34" i="8"/>
  <c r="M52" i="8"/>
  <c r="O52" i="8" s="1"/>
  <c r="S52" i="8" s="1"/>
  <c r="M51" i="8"/>
  <c r="O51" i="8" s="1"/>
  <c r="S51" i="8" s="1"/>
  <c r="M18" i="8"/>
  <c r="O18" i="8" s="1"/>
  <c r="S18" i="8" s="1"/>
  <c r="M22" i="8"/>
  <c r="N22" i="8"/>
  <c r="N30" i="8"/>
  <c r="N34" i="8"/>
  <c r="M36" i="8"/>
  <c r="M48" i="8"/>
  <c r="M54" i="8"/>
  <c r="O54" i="8" s="1"/>
  <c r="S54" i="8" s="1"/>
  <c r="M58" i="8"/>
  <c r="M46" i="8"/>
  <c r="M24" i="8"/>
  <c r="M60" i="8"/>
  <c r="N48" i="8"/>
  <c r="M55" i="8"/>
  <c r="O55" i="8" s="1"/>
  <c r="S55" i="8" s="1"/>
  <c r="M57" i="8"/>
  <c r="N76" i="8"/>
  <c r="N64" i="8"/>
  <c r="M33" i="8"/>
  <c r="N28" i="8"/>
  <c r="M21" i="8"/>
  <c r="M31" i="8"/>
  <c r="O31" i="8" s="1"/>
  <c r="S31" i="8" s="1"/>
  <c r="CS21" i="17" s="1"/>
  <c r="N43" i="8"/>
  <c r="N40" i="8"/>
  <c r="M67" i="8"/>
  <c r="O67" i="8" s="1"/>
  <c r="S67" i="8" s="1"/>
  <c r="N27" i="8"/>
  <c r="M19" i="8"/>
  <c r="O19" i="8" s="1"/>
  <c r="S19" i="8" s="1"/>
  <c r="N50" i="8"/>
  <c r="N26" i="8"/>
  <c r="N75" i="8"/>
  <c r="M62" i="8"/>
  <c r="O62" i="8" s="1"/>
  <c r="S62" i="8" s="1"/>
  <c r="N31" i="8"/>
  <c r="M39" i="8"/>
  <c r="O39" i="8" s="1"/>
  <c r="S39" i="8" s="1"/>
  <c r="CS29" i="17" s="1"/>
  <c r="M44" i="8"/>
  <c r="O44" i="8" s="1"/>
  <c r="S44" i="8" s="1"/>
  <c r="M68" i="8"/>
  <c r="O68" i="8" s="1"/>
  <c r="S68" i="8" s="1"/>
  <c r="M32" i="8"/>
  <c r="O32" i="8" s="1"/>
  <c r="S32" i="8" s="1"/>
  <c r="CS22" i="17" s="1"/>
  <c r="N56" i="8"/>
  <c r="N38" i="8"/>
  <c r="M74" i="8"/>
  <c r="O74" i="8" s="1"/>
  <c r="S74" i="8" s="1"/>
  <c r="M73" i="8"/>
  <c r="M49" i="8"/>
  <c r="N55" i="8"/>
  <c r="M20" i="8"/>
  <c r="O20" i="8" s="1"/>
  <c r="S20" i="8" s="1"/>
  <c r="M50" i="8"/>
  <c r="O50" i="8" s="1"/>
  <c r="S50" i="8" s="1"/>
  <c r="M64" i="8"/>
  <c r="O64" i="8" s="1"/>
  <c r="S64" i="8" s="1"/>
  <c r="M38" i="8"/>
  <c r="O38" i="8" s="1"/>
  <c r="S38" i="8" s="1"/>
  <c r="CS28" i="17" s="1"/>
  <c r="M26" i="8"/>
  <c r="O26" i="8" s="1"/>
  <c r="S26" i="8" s="1"/>
  <c r="N33" i="8"/>
  <c r="N62" i="8"/>
  <c r="N52" i="8"/>
  <c r="N21" i="8"/>
  <c r="N45" i="8"/>
  <c r="N51" i="8"/>
  <c r="N32" i="8"/>
  <c r="M27" i="8"/>
  <c r="O27" i="8" s="1"/>
  <c r="S27" i="8" s="1"/>
  <c r="M56" i="8"/>
  <c r="O56" i="8" s="1"/>
  <c r="S56" i="8" s="1"/>
  <c r="N57" i="8"/>
  <c r="N39" i="8"/>
  <c r="N44" i="8"/>
  <c r="M45" i="8"/>
  <c r="M43" i="8"/>
  <c r="O43" i="8" s="1"/>
  <c r="S43" i="8" s="1"/>
  <c r="M28" i="8"/>
  <c r="O28" i="8" s="1"/>
  <c r="S28" i="8" s="1"/>
  <c r="M63" i="8"/>
  <c r="O63" i="8" s="1"/>
  <c r="S63" i="8" s="1"/>
  <c r="N19" i="8"/>
  <c r="N20" i="8"/>
  <c r="N63" i="8"/>
  <c r="M40" i="8"/>
  <c r="O40" i="8" s="1"/>
  <c r="S40" i="8" s="1"/>
  <c r="CS30" i="17" s="1"/>
  <c r="N29" i="8"/>
  <c r="N35" i="8"/>
  <c r="M47" i="8"/>
  <c r="M23" i="8"/>
  <c r="M53" i="8"/>
  <c r="O53" i="8" s="1"/>
  <c r="S53" i="8" s="1"/>
  <c r="M41" i="8"/>
  <c r="O41" i="8" s="1"/>
  <c r="S41" i="8" s="1"/>
  <c r="N17" i="8"/>
  <c r="N53" i="8"/>
  <c r="M59" i="8"/>
  <c r="M29" i="8"/>
  <c r="O29" i="8" s="1"/>
  <c r="S29" i="8" s="1"/>
  <c r="CS19" i="17" s="1"/>
  <c r="M25" i="8"/>
  <c r="N23" i="8"/>
  <c r="N41" i="8"/>
  <c r="N49" i="8"/>
  <c r="M61" i="8"/>
  <c r="N59" i="8"/>
  <c r="M65" i="8"/>
  <c r="O65" i="8" s="1"/>
  <c r="S65" i="8" s="1"/>
  <c r="M37" i="8"/>
  <c r="M71" i="8"/>
  <c r="N25" i="8"/>
  <c r="N47" i="8"/>
  <c r="N37" i="8"/>
  <c r="M35" i="8"/>
  <c r="M17" i="8"/>
  <c r="O17" i="8" s="1"/>
  <c r="S17" i="8" s="1"/>
  <c r="P9" i="8"/>
  <c r="O9" i="8" s="1"/>
  <c r="S9" i="8" s="1"/>
  <c r="DG372" i="11"/>
  <c r="DG378" i="11"/>
  <c r="DG377" i="11"/>
  <c r="DG384" i="11"/>
  <c r="DG366" i="11"/>
  <c r="DG394" i="11"/>
  <c r="DG364" i="11"/>
  <c r="DG397" i="11"/>
  <c r="DG371" i="11"/>
  <c r="DG391" i="11"/>
  <c r="DG390" i="11"/>
  <c r="DG392" i="11"/>
  <c r="DG396" i="11"/>
  <c r="DG398" i="11"/>
  <c r="DG363" i="11"/>
  <c r="DG393" i="11"/>
  <c r="DG380" i="11"/>
  <c r="DG368" i="11"/>
  <c r="DG386" i="11"/>
  <c r="DG389" i="11"/>
  <c r="DG361" i="11"/>
  <c r="DG359" i="11"/>
  <c r="DG362" i="11"/>
  <c r="DG374" i="11"/>
  <c r="DG370" i="11"/>
  <c r="DG360" i="11"/>
  <c r="DG388" i="11"/>
  <c r="DG375" i="11"/>
  <c r="DG385" i="11"/>
  <c r="DG373" i="11"/>
  <c r="DG381" i="11"/>
  <c r="DG383" i="11"/>
  <c r="DG376" i="11"/>
  <c r="DG365" i="11"/>
  <c r="DG382" i="11"/>
  <c r="DG379" i="11"/>
  <c r="DG387" i="11"/>
  <c r="DG369" i="11"/>
  <c r="DG395" i="11"/>
  <c r="DG367" i="11"/>
  <c r="BP65" i="1" l="1"/>
  <c r="BO242" i="1" s="1"/>
  <c r="BP64" i="1"/>
  <c r="BO231" i="1" s="1"/>
  <c r="BO253" i="1" s="1"/>
  <c r="BP66" i="1"/>
  <c r="BG65" i="1"/>
  <c r="BK242" i="1" s="1"/>
  <c r="BB66" i="1"/>
  <c r="BG66" i="1" s="1"/>
  <c r="BG64" i="1"/>
  <c r="BK231" i="1" s="1"/>
  <c r="BK253" i="1" s="1"/>
  <c r="AO58" i="1"/>
  <c r="AW51" i="1" s="1"/>
  <c r="AP58" i="1"/>
  <c r="AQ58" i="1"/>
  <c r="AR58" i="1"/>
  <c r="AN58" i="1"/>
  <c r="G147" i="1"/>
  <c r="I147" i="1" s="1"/>
  <c r="AA211" i="1"/>
  <c r="AM39" i="12"/>
  <c r="AG51" i="12"/>
  <c r="BP60" i="1"/>
  <c r="BQ60" i="1" s="1"/>
  <c r="BP61" i="1"/>
  <c r="BQ61" i="1" s="1"/>
  <c r="BG61" i="1"/>
  <c r="BH61" i="1" s="1"/>
  <c r="BG60" i="1"/>
  <c r="BH60" i="1" s="1"/>
  <c r="BH59" i="1"/>
  <c r="BQ59" i="1"/>
  <c r="BG213" i="1"/>
  <c r="BO213" i="1" s="1"/>
  <c r="D39" i="12" s="1"/>
  <c r="AJ111" i="1"/>
  <c r="AJ45" i="12" s="1"/>
  <c r="AP45" i="12" s="1"/>
  <c r="BE115" i="1"/>
  <c r="AI112" i="1"/>
  <c r="AL112" i="1" s="1"/>
  <c r="BD116" i="1"/>
  <c r="BD160" i="1"/>
  <c r="DH394" i="11"/>
  <c r="DI394" i="11" s="1"/>
  <c r="DG357" i="11"/>
  <c r="BB159" i="1"/>
  <c r="AM159" i="1"/>
  <c r="BC116" i="1"/>
  <c r="BB120" i="1"/>
  <c r="AF117" i="1"/>
  <c r="F95" i="1"/>
  <c r="CQ27" i="1"/>
  <c r="CR27" i="1" s="1"/>
  <c r="F53" i="1"/>
  <c r="F118" i="1"/>
  <c r="F28" i="1"/>
  <c r="F72" i="1" s="1"/>
  <c r="P45" i="8"/>
  <c r="P46" i="8" s="1"/>
  <c r="O46" i="8" s="1"/>
  <c r="S46" i="8" s="1"/>
  <c r="P21" i="8"/>
  <c r="P22" i="8" s="1"/>
  <c r="P23" i="8" s="1"/>
  <c r="P57" i="8"/>
  <c r="O57" i="8" s="1"/>
  <c r="S57" i="8" s="1"/>
  <c r="P33" i="8"/>
  <c r="P34" i="8" s="1"/>
  <c r="P35" i="8" s="1"/>
  <c r="P69" i="8"/>
  <c r="P70" i="8" s="1"/>
  <c r="P71" i="8" s="1"/>
  <c r="P10" i="8"/>
  <c r="P11" i="8" s="1"/>
  <c r="DH370" i="11"/>
  <c r="DI370" i="11" s="1"/>
  <c r="DH384" i="11"/>
  <c r="DI384" i="11" s="1"/>
  <c r="DH363" i="11"/>
  <c r="DH371" i="11"/>
  <c r="DI371" i="11" s="1"/>
  <c r="DH376" i="11"/>
  <c r="DI376" i="11" s="1"/>
  <c r="DH387" i="11"/>
  <c r="DI387" i="11" s="1"/>
  <c r="DH368" i="11"/>
  <c r="DH377" i="11"/>
  <c r="DI377" i="11" s="1"/>
  <c r="DH398" i="11"/>
  <c r="DI398" i="11" s="1"/>
  <c r="DH380" i="11"/>
  <c r="DI380" i="11" s="1"/>
  <c r="DH396" i="11"/>
  <c r="DI396" i="11" s="1"/>
  <c r="DH372" i="11"/>
  <c r="DI372" i="11" s="1"/>
  <c r="DH379" i="11"/>
  <c r="DI379" i="11" s="1"/>
  <c r="DH360" i="11"/>
  <c r="DH374" i="11"/>
  <c r="DI374" i="11" s="1"/>
  <c r="DH388" i="11"/>
  <c r="DI388" i="11" s="1"/>
  <c r="DH366" i="11"/>
  <c r="DH383" i="11"/>
  <c r="DI383" i="11" s="1"/>
  <c r="DH385" i="11"/>
  <c r="DI385" i="11" s="1"/>
  <c r="DH361" i="11"/>
  <c r="DH367" i="11"/>
  <c r="DI367" i="11" s="1"/>
  <c r="DH393" i="11"/>
  <c r="DI393" i="11" s="1"/>
  <c r="DH373" i="11"/>
  <c r="DI373" i="11" s="1"/>
  <c r="DH364" i="11"/>
  <c r="DH375" i="11"/>
  <c r="DI375" i="11" s="1"/>
  <c r="DH397" i="11"/>
  <c r="DI397" i="11" s="1"/>
  <c r="DH378" i="11"/>
  <c r="DI378" i="11" s="1"/>
  <c r="DH389" i="11"/>
  <c r="DI389" i="11" s="1"/>
  <c r="DH369" i="11"/>
  <c r="DI369" i="11" s="1"/>
  <c r="DH381" i="11"/>
  <c r="DI381" i="11" s="1"/>
  <c r="DH395" i="11"/>
  <c r="DI395" i="11" s="1"/>
  <c r="DH382" i="11"/>
  <c r="DI382" i="11" s="1"/>
  <c r="DH390" i="11"/>
  <c r="DI390" i="11" s="1"/>
  <c r="DH365" i="11"/>
  <c r="DH391" i="11"/>
  <c r="DI391" i="11" s="1"/>
  <c r="DH362" i="11"/>
  <c r="DH386" i="11"/>
  <c r="DI386" i="11" s="1"/>
  <c r="DH392" i="11"/>
  <c r="DI392" i="11" s="1"/>
  <c r="AT47" i="1" l="1"/>
  <c r="AV47" i="1" s="1"/>
  <c r="AT55" i="1"/>
  <c r="AU55" i="1" s="1"/>
  <c r="AT44" i="1"/>
  <c r="AU44" i="1" s="1"/>
  <c r="AT49" i="1"/>
  <c r="AV49" i="1" s="1"/>
  <c r="AT48" i="1"/>
  <c r="AV48" i="1" s="1"/>
  <c r="AT50" i="1"/>
  <c r="AU50" i="1" s="1"/>
  <c r="AT54" i="1"/>
  <c r="AU54" i="1" s="1"/>
  <c r="AT51" i="1"/>
  <c r="AU51" i="1" s="1"/>
  <c r="AT52" i="1"/>
  <c r="AU52" i="1" s="1"/>
  <c r="AT45" i="1"/>
  <c r="AV45" i="1" s="1"/>
  <c r="AT53" i="1"/>
  <c r="AV53" i="1" s="1"/>
  <c r="AT46" i="1"/>
  <c r="AV46" i="1" s="1"/>
  <c r="AW49" i="1"/>
  <c r="AW50" i="1"/>
  <c r="AW52" i="1"/>
  <c r="AE211" i="1"/>
  <c r="C38" i="12" s="1"/>
  <c r="AW48" i="1"/>
  <c r="AW55" i="1"/>
  <c r="AW47" i="1"/>
  <c r="AW54" i="1"/>
  <c r="AW46" i="1"/>
  <c r="AW53" i="1"/>
  <c r="AW45" i="1"/>
  <c r="AW44" i="1"/>
  <c r="AM51" i="12"/>
  <c r="J36" i="12"/>
  <c r="AJ112" i="1"/>
  <c r="AJ46" i="12" s="1"/>
  <c r="AP46" i="12" s="1"/>
  <c r="BE116" i="1"/>
  <c r="AI113" i="1"/>
  <c r="AL113" i="1" s="1"/>
  <c r="BD117" i="1"/>
  <c r="BD161" i="1"/>
  <c r="DH357" i="11"/>
  <c r="DI357" i="11" s="1"/>
  <c r="DG356" i="11"/>
  <c r="BB160" i="1"/>
  <c r="BE160" i="1" s="1"/>
  <c r="AM160" i="1"/>
  <c r="BE159" i="1"/>
  <c r="BC117" i="1"/>
  <c r="BB121" i="1"/>
  <c r="F96" i="1"/>
  <c r="CQ28" i="1"/>
  <c r="CR28" i="1" s="1"/>
  <c r="F54" i="1"/>
  <c r="F119" i="1"/>
  <c r="F29" i="1"/>
  <c r="F73" i="1" s="1"/>
  <c r="P47" i="8"/>
  <c r="P48" i="8" s="1"/>
  <c r="O22" i="8"/>
  <c r="S22" i="8" s="1"/>
  <c r="O21" i="8"/>
  <c r="S21" i="8" s="1"/>
  <c r="O45" i="8"/>
  <c r="S45" i="8" s="1"/>
  <c r="O70" i="8"/>
  <c r="S70" i="8" s="1"/>
  <c r="O34" i="8"/>
  <c r="S34" i="8" s="1"/>
  <c r="CS24" i="17" s="1"/>
  <c r="O33" i="8"/>
  <c r="S33" i="8" s="1"/>
  <c r="CS23" i="17" s="1"/>
  <c r="O69" i="8"/>
  <c r="S69" i="8" s="1"/>
  <c r="P58" i="8"/>
  <c r="P59" i="8" s="1"/>
  <c r="P60" i="8" s="1"/>
  <c r="DI368" i="11"/>
  <c r="DI365" i="11"/>
  <c r="DI366" i="11"/>
  <c r="DI364" i="11"/>
  <c r="DI363" i="11"/>
  <c r="O10" i="8"/>
  <c r="S10" i="8" s="1"/>
  <c r="DI362" i="11"/>
  <c r="DI361" i="11"/>
  <c r="DI360" i="11"/>
  <c r="O23" i="8"/>
  <c r="S23" i="8" s="1"/>
  <c r="P24" i="8"/>
  <c r="P36" i="8"/>
  <c r="O35" i="8"/>
  <c r="S35" i="8" s="1"/>
  <c r="CS25" i="17" s="1"/>
  <c r="P72" i="8"/>
  <c r="O71" i="8"/>
  <c r="S71" i="8" s="1"/>
  <c r="O11" i="8"/>
  <c r="S11" i="8" s="1"/>
  <c r="P12" i="8"/>
  <c r="BO11" i="1" l="1"/>
  <c r="BO11" i="17"/>
  <c r="BO12" i="17" s="1"/>
  <c r="AV44" i="1"/>
  <c r="AX44" i="1"/>
  <c r="AU53" i="1"/>
  <c r="AH48" i="12" s="1"/>
  <c r="AN48" i="12" s="1"/>
  <c r="K45" i="12" s="1"/>
  <c r="AU45" i="1"/>
  <c r="AH40" i="12" s="1"/>
  <c r="AN40" i="12" s="1"/>
  <c r="K37" i="12" s="1"/>
  <c r="AU47" i="1"/>
  <c r="AH42" i="12" s="1"/>
  <c r="AN42" i="12" s="1"/>
  <c r="K39" i="12" s="1"/>
  <c r="AU46" i="1"/>
  <c r="AH41" i="12" s="1"/>
  <c r="AN41" i="12" s="1"/>
  <c r="K38" i="12" s="1"/>
  <c r="AV50" i="1"/>
  <c r="AU48" i="1"/>
  <c r="AH43" i="12" s="1"/>
  <c r="AN43" i="12" s="1"/>
  <c r="K40" i="12" s="1"/>
  <c r="AV51" i="1"/>
  <c r="AU49" i="1"/>
  <c r="AH44" i="12" s="1"/>
  <c r="AN44" i="12" s="1"/>
  <c r="K41" i="12" s="1"/>
  <c r="AV52" i="1"/>
  <c r="AV54" i="1"/>
  <c r="AV55" i="1"/>
  <c r="AT56" i="1"/>
  <c r="AW56" i="1"/>
  <c r="AH46" i="12"/>
  <c r="AN46" i="12" s="1"/>
  <c r="K43" i="12" s="1"/>
  <c r="AX51" i="1"/>
  <c r="AH45" i="12"/>
  <c r="AN45" i="12" s="1"/>
  <c r="K42" i="12" s="1"/>
  <c r="AX50" i="1"/>
  <c r="AH49" i="12"/>
  <c r="AN49" i="12" s="1"/>
  <c r="K46" i="12" s="1"/>
  <c r="AX54" i="1"/>
  <c r="AH50" i="12"/>
  <c r="AN50" i="12" s="1"/>
  <c r="K47" i="12" s="1"/>
  <c r="AX55" i="1"/>
  <c r="AH47" i="12"/>
  <c r="AN47" i="12" s="1"/>
  <c r="K44" i="12" s="1"/>
  <c r="AX52" i="1"/>
  <c r="M39" i="12"/>
  <c r="BB122" i="1"/>
  <c r="AJ113" i="1"/>
  <c r="AJ47" i="12" s="1"/>
  <c r="AP47" i="12" s="1"/>
  <c r="M44" i="12" s="1"/>
  <c r="BE117" i="1"/>
  <c r="AI114" i="1"/>
  <c r="AL114" i="1" s="1"/>
  <c r="BD118" i="1"/>
  <c r="BD162" i="1"/>
  <c r="DH356" i="11"/>
  <c r="DI356" i="11" s="1"/>
  <c r="DG355" i="11"/>
  <c r="BB161" i="1"/>
  <c r="BE161" i="1" s="1"/>
  <c r="AM161" i="1"/>
  <c r="BC118" i="1"/>
  <c r="CQ29" i="1"/>
  <c r="CR29" i="1" s="1"/>
  <c r="F55" i="1"/>
  <c r="Y117" i="1"/>
  <c r="F30" i="1"/>
  <c r="F74" i="1" s="1"/>
  <c r="O58" i="8"/>
  <c r="S58" i="8" s="1"/>
  <c r="O47" i="8"/>
  <c r="S47" i="8" s="1"/>
  <c r="CS28" i="1" s="1"/>
  <c r="O59" i="8"/>
  <c r="S59" i="8" s="1"/>
  <c r="P37" i="8"/>
  <c r="O37" i="8" s="1"/>
  <c r="S37" i="8" s="1"/>
  <c r="CS27" i="17" s="1"/>
  <c r="O36" i="8"/>
  <c r="S36" i="8" s="1"/>
  <c r="CS26" i="17" s="1"/>
  <c r="P61" i="8"/>
  <c r="O61" i="8" s="1"/>
  <c r="S61" i="8" s="1"/>
  <c r="O60" i="8"/>
  <c r="S60" i="8" s="1"/>
  <c r="P73" i="8"/>
  <c r="O73" i="8" s="1"/>
  <c r="S73" i="8" s="1"/>
  <c r="O72" i="8"/>
  <c r="S72" i="8" s="1"/>
  <c r="P49" i="8"/>
  <c r="O49" i="8" s="1"/>
  <c r="S49" i="8" s="1"/>
  <c r="O48" i="8"/>
  <c r="S48" i="8" s="1"/>
  <c r="O12" i="8"/>
  <c r="S12" i="8" s="1"/>
  <c r="P13" i="8"/>
  <c r="O13" i="8" s="1"/>
  <c r="S13" i="8" s="1"/>
  <c r="P25" i="8"/>
  <c r="O25" i="8" s="1"/>
  <c r="S25" i="8" s="1"/>
  <c r="O24" i="8"/>
  <c r="S24" i="8" s="1"/>
  <c r="BB127" i="1" l="1"/>
  <c r="BB129" i="1" s="1"/>
  <c r="BB128" i="1"/>
  <c r="G52" i="12"/>
  <c r="BP19" i="17"/>
  <c r="BQ19" i="17"/>
  <c r="BR20" i="17"/>
  <c r="BQ20" i="17"/>
  <c r="BN20" i="17"/>
  <c r="BP20" i="17"/>
  <c r="BO20" i="17"/>
  <c r="BR19" i="17"/>
  <c r="BN19" i="17"/>
  <c r="BO19" i="17"/>
  <c r="BQ29" i="17"/>
  <c r="BP30" i="17"/>
  <c r="BR29" i="17"/>
  <c r="BR30" i="17"/>
  <c r="BP29" i="17"/>
  <c r="BN30" i="17"/>
  <c r="BN29" i="17"/>
  <c r="BQ30" i="17"/>
  <c r="BO29" i="17"/>
  <c r="BO30" i="17"/>
  <c r="AX46" i="1"/>
  <c r="AX53" i="1"/>
  <c r="AH39" i="12"/>
  <c r="AN39" i="12" s="1"/>
  <c r="AU56" i="1"/>
  <c r="AX47" i="1"/>
  <c r="AX48" i="1"/>
  <c r="AX45" i="1"/>
  <c r="AX49" i="1"/>
  <c r="CS20" i="1"/>
  <c r="M40" i="12"/>
  <c r="CS19" i="1"/>
  <c r="BB123" i="1"/>
  <c r="BB124" i="1"/>
  <c r="AJ114" i="1"/>
  <c r="AJ48" i="12" s="1"/>
  <c r="AP48" i="12" s="1"/>
  <c r="M45" i="12" s="1"/>
  <c r="CS21" i="1"/>
  <c r="BE118" i="1"/>
  <c r="AI115" i="1"/>
  <c r="AL115" i="1" s="1"/>
  <c r="AH117" i="1"/>
  <c r="BD119" i="1"/>
  <c r="CS24" i="1"/>
  <c r="BD163" i="1"/>
  <c r="BD164" i="1" s="1"/>
  <c r="AL164" i="1"/>
  <c r="DG354" i="11"/>
  <c r="DH355" i="11"/>
  <c r="DI355" i="11" s="1"/>
  <c r="BB162" i="1"/>
  <c r="BE162" i="1" s="1"/>
  <c r="AM162" i="1"/>
  <c r="BC119" i="1"/>
  <c r="AB117" i="1"/>
  <c r="Y118" i="1"/>
  <c r="AB118" i="1" s="1"/>
  <c r="CQ30" i="1"/>
  <c r="CR30" i="1" s="1"/>
  <c r="CS30" i="1" s="1"/>
  <c r="F56" i="1"/>
  <c r="BR25" i="1"/>
  <c r="BX25" i="1" s="1"/>
  <c r="BO25" i="1"/>
  <c r="BU25" i="1" s="1"/>
  <c r="BP25" i="1"/>
  <c r="BV25" i="1" s="1"/>
  <c r="BN25" i="1"/>
  <c r="BQ25" i="1"/>
  <c r="BW25" i="1" s="1"/>
  <c r="CS23" i="1"/>
  <c r="CS22" i="1"/>
  <c r="CS29" i="1"/>
  <c r="CS26" i="1"/>
  <c r="CS27" i="1"/>
  <c r="CS25" i="1"/>
  <c r="BX30" i="17" l="1"/>
  <c r="BV20" i="17"/>
  <c r="BX29" i="17"/>
  <c r="BS20" i="17"/>
  <c r="BU30" i="17"/>
  <c r="BV30" i="17"/>
  <c r="BW20" i="17"/>
  <c r="BU20" i="17"/>
  <c r="BU29" i="17"/>
  <c r="BW29" i="17"/>
  <c r="BX20" i="17"/>
  <c r="BW30" i="17"/>
  <c r="BO31" i="17"/>
  <c r="BU17" i="17"/>
  <c r="BU19" i="17" s="1"/>
  <c r="BW19" i="17"/>
  <c r="BQ31" i="17"/>
  <c r="CE15" i="17" s="1"/>
  <c r="BW17" i="17"/>
  <c r="BV29" i="17"/>
  <c r="BS29" i="17"/>
  <c r="BS19" i="17"/>
  <c r="BT17" i="17"/>
  <c r="BT30" i="17" s="1"/>
  <c r="BN31" i="17"/>
  <c r="BV19" i="17"/>
  <c r="BP31" i="17"/>
  <c r="CD15" i="17" s="1"/>
  <c r="BV17" i="17"/>
  <c r="BS30" i="17"/>
  <c r="BX19" i="17"/>
  <c r="BX17" i="17"/>
  <c r="BR31" i="17"/>
  <c r="CF15" i="17" s="1"/>
  <c r="AH51" i="12"/>
  <c r="G148" i="1"/>
  <c r="K36" i="12"/>
  <c r="AN51" i="12"/>
  <c r="M36" i="12"/>
  <c r="M41" i="12"/>
  <c r="AJ115" i="1"/>
  <c r="AJ49" i="12" s="1"/>
  <c r="AP49" i="12" s="1"/>
  <c r="M46" i="12" s="1"/>
  <c r="BE119" i="1"/>
  <c r="BS25" i="1"/>
  <c r="AI116" i="1"/>
  <c r="AL116" i="1" s="1"/>
  <c r="BD120" i="1"/>
  <c r="BD121" i="1" s="1"/>
  <c r="BD122" i="1" s="1"/>
  <c r="DG353" i="11"/>
  <c r="DH354" i="11"/>
  <c r="DI354" i="11" s="1"/>
  <c r="BB163" i="1"/>
  <c r="AM163" i="1"/>
  <c r="AM164" i="1" s="1"/>
  <c r="AJ164" i="1"/>
  <c r="BC120" i="1"/>
  <c r="AG117" i="1"/>
  <c r="BT25" i="1"/>
  <c r="BD128" i="1" l="1"/>
  <c r="BD127" i="1"/>
  <c r="BD129" i="1" s="1"/>
  <c r="CE20" i="17"/>
  <c r="CM20" i="17" s="1"/>
  <c r="CX20" i="17" s="1"/>
  <c r="DP20" i="17" s="1"/>
  <c r="CF19" i="17"/>
  <c r="CN19" i="17" s="1"/>
  <c r="CE19" i="17"/>
  <c r="CM19" i="17" s="1"/>
  <c r="CD30" i="17"/>
  <c r="CL30" i="17" s="1"/>
  <c r="CW30" i="17" s="1"/>
  <c r="DO30" i="17" s="1"/>
  <c r="BT20" i="17"/>
  <c r="CD19" i="17"/>
  <c r="CF20" i="17"/>
  <c r="CN20" i="17" s="1"/>
  <c r="CY20" i="17" s="1"/>
  <c r="CE22" i="17"/>
  <c r="CM22" i="17" s="1"/>
  <c r="CX22" i="17" s="1"/>
  <c r="CE27" i="17"/>
  <c r="CM27" i="17" s="1"/>
  <c r="CX27" i="17" s="1"/>
  <c r="CE21" i="17"/>
  <c r="CM21" i="17" s="1"/>
  <c r="CX21" i="17" s="1"/>
  <c r="CE25" i="17"/>
  <c r="CM25" i="17" s="1"/>
  <c r="CX25" i="17" s="1"/>
  <c r="CE26" i="17"/>
  <c r="CM26" i="17" s="1"/>
  <c r="CX26" i="17" s="1"/>
  <c r="CE23" i="17"/>
  <c r="CM23" i="17" s="1"/>
  <c r="CX23" i="17" s="1"/>
  <c r="CE24" i="17"/>
  <c r="CM24" i="17" s="1"/>
  <c r="CX24" i="17" s="1"/>
  <c r="CE28" i="17"/>
  <c r="CM28" i="17" s="1"/>
  <c r="CX28" i="17" s="1"/>
  <c r="CF29" i="17"/>
  <c r="CN29" i="17" s="1"/>
  <c r="CY29" i="17" s="1"/>
  <c r="BS31" i="17"/>
  <c r="CE29" i="17"/>
  <c r="CM29" i="17" s="1"/>
  <c r="CX29" i="17" s="1"/>
  <c r="CD23" i="17"/>
  <c r="CL23" i="17" s="1"/>
  <c r="CW23" i="17" s="1"/>
  <c r="CD28" i="17"/>
  <c r="CL28" i="17" s="1"/>
  <c r="CW28" i="17" s="1"/>
  <c r="CD25" i="17"/>
  <c r="CL25" i="17" s="1"/>
  <c r="CW25" i="17" s="1"/>
  <c r="CD22" i="17"/>
  <c r="CL22" i="17" s="1"/>
  <c r="CW22" i="17" s="1"/>
  <c r="CD21" i="17"/>
  <c r="CL21" i="17" s="1"/>
  <c r="CW21" i="17" s="1"/>
  <c r="CD27" i="17"/>
  <c r="CL27" i="17" s="1"/>
  <c r="CW27" i="17" s="1"/>
  <c r="CD26" i="17"/>
  <c r="CL26" i="17" s="1"/>
  <c r="CW26" i="17" s="1"/>
  <c r="CD24" i="17"/>
  <c r="CL24" i="17" s="1"/>
  <c r="CW24" i="17" s="1"/>
  <c r="BT29" i="17"/>
  <c r="CD20" i="17"/>
  <c r="CL20" i="17" s="1"/>
  <c r="CW20" i="17" s="1"/>
  <c r="CF23" i="17"/>
  <c r="CN23" i="17" s="1"/>
  <c r="CY23" i="17" s="1"/>
  <c r="CF27" i="17"/>
  <c r="CN27" i="17" s="1"/>
  <c r="CY27" i="17" s="1"/>
  <c r="CF26" i="17"/>
  <c r="CN26" i="17" s="1"/>
  <c r="CY26" i="17" s="1"/>
  <c r="CF25" i="17"/>
  <c r="CN25" i="17" s="1"/>
  <c r="CY25" i="17" s="1"/>
  <c r="CF28" i="17"/>
  <c r="CN28" i="17" s="1"/>
  <c r="CY28" i="17" s="1"/>
  <c r="CF21" i="17"/>
  <c r="CN21" i="17" s="1"/>
  <c r="CY21" i="17" s="1"/>
  <c r="CF24" i="17"/>
  <c r="CN24" i="17" s="1"/>
  <c r="CY24" i="17" s="1"/>
  <c r="CF22" i="17"/>
  <c r="CN22" i="17" s="1"/>
  <c r="CY22" i="17" s="1"/>
  <c r="CD29" i="17"/>
  <c r="CL29" i="17" s="1"/>
  <c r="CW29" i="17" s="1"/>
  <c r="CF30" i="17"/>
  <c r="CN30" i="17" s="1"/>
  <c r="CY30" i="17" s="1"/>
  <c r="BT19" i="17"/>
  <c r="CE30" i="17"/>
  <c r="CM30" i="17" s="1"/>
  <c r="CX30" i="17" s="1"/>
  <c r="G150" i="1"/>
  <c r="I148" i="1"/>
  <c r="I149" i="1"/>
  <c r="M37" i="12"/>
  <c r="M42" i="12"/>
  <c r="AJ116" i="1"/>
  <c r="BD124" i="1"/>
  <c r="BD123" i="1"/>
  <c r="AI117" i="1"/>
  <c r="DG352" i="11"/>
  <c r="DH353" i="11"/>
  <c r="DI353" i="11" s="1"/>
  <c r="BE163" i="1"/>
  <c r="BE164" i="1" s="1"/>
  <c r="BB164" i="1"/>
  <c r="BC121" i="1"/>
  <c r="BE120" i="1"/>
  <c r="BE121" i="1" s="1"/>
  <c r="DG20" i="17" l="1"/>
  <c r="DF30" i="17"/>
  <c r="CD31" i="17"/>
  <c r="CD33" i="17" s="1"/>
  <c r="CL19" i="17"/>
  <c r="CL31" i="17" s="1"/>
  <c r="DF28" i="17"/>
  <c r="DO28" i="17"/>
  <c r="DH28" i="17"/>
  <c r="DQ28" i="17"/>
  <c r="DF23" i="17"/>
  <c r="DO23" i="17"/>
  <c r="DP25" i="17"/>
  <c r="DG25" i="17"/>
  <c r="DG26" i="17"/>
  <c r="DP26" i="17"/>
  <c r="DQ25" i="17"/>
  <c r="DH25" i="17"/>
  <c r="DF24" i="17"/>
  <c r="DO24" i="17"/>
  <c r="DG29" i="17"/>
  <c r="DP29" i="17"/>
  <c r="DG21" i="17"/>
  <c r="DP21" i="17"/>
  <c r="DO20" i="17"/>
  <c r="DF20" i="17"/>
  <c r="DF26" i="17"/>
  <c r="DO26" i="17"/>
  <c r="BN32" i="17"/>
  <c r="CB15" i="17" s="1"/>
  <c r="BQ32" i="17"/>
  <c r="BP32" i="17"/>
  <c r="BO32" i="17"/>
  <c r="CC15" i="17" s="1"/>
  <c r="BR32" i="17"/>
  <c r="DG27" i="17"/>
  <c r="DP27" i="17"/>
  <c r="DF29" i="17"/>
  <c r="DO29" i="17"/>
  <c r="DH27" i="17"/>
  <c r="DQ27" i="17"/>
  <c r="DF27" i="17"/>
  <c r="DO27" i="17"/>
  <c r="DQ29" i="17"/>
  <c r="DH29" i="17"/>
  <c r="DP22" i="17"/>
  <c r="DG22" i="17"/>
  <c r="DH23" i="17"/>
  <c r="DQ23" i="17"/>
  <c r="DF21" i="17"/>
  <c r="DO21" i="17"/>
  <c r="DG28" i="17"/>
  <c r="DP28" i="17"/>
  <c r="DH20" i="17"/>
  <c r="DQ20" i="17"/>
  <c r="DQ26" i="17"/>
  <c r="DH26" i="17"/>
  <c r="DG30" i="17"/>
  <c r="DP30" i="17"/>
  <c r="DH22" i="17"/>
  <c r="DQ22" i="17"/>
  <c r="CM31" i="17"/>
  <c r="CX19" i="17"/>
  <c r="DO22" i="17"/>
  <c r="DF22" i="17"/>
  <c r="DP24" i="17"/>
  <c r="DG24" i="17"/>
  <c r="CN31" i="17"/>
  <c r="CY19" i="17"/>
  <c r="DQ21" i="17"/>
  <c r="DH21" i="17"/>
  <c r="DQ30" i="17"/>
  <c r="DH30" i="17"/>
  <c r="DH24" i="17"/>
  <c r="DQ24" i="17"/>
  <c r="CE31" i="17"/>
  <c r="DF25" i="17"/>
  <c r="DO25" i="17"/>
  <c r="DP23" i="17"/>
  <c r="DG23" i="17"/>
  <c r="CF31" i="17"/>
  <c r="I150" i="1"/>
  <c r="BC122" i="1"/>
  <c r="AJ50" i="12"/>
  <c r="AP50" i="12" s="1"/>
  <c r="AJ117" i="1"/>
  <c r="AA214" i="1" s="1"/>
  <c r="AA209" i="1" s="1"/>
  <c r="BD166" i="1"/>
  <c r="DG351" i="11"/>
  <c r="DH352" i="11"/>
  <c r="DI352" i="11" s="1"/>
  <c r="CC26" i="17" l="1"/>
  <c r="CK26" i="17" s="1"/>
  <c r="CV26" i="17" s="1"/>
  <c r="DN26" i="17" s="1"/>
  <c r="CC24" i="17"/>
  <c r="CK24" i="17" s="1"/>
  <c r="CV24" i="17" s="1"/>
  <c r="CC29" i="17"/>
  <c r="CK29" i="17" s="1"/>
  <c r="CV29" i="17" s="1"/>
  <c r="DE29" i="17" s="1"/>
  <c r="CC27" i="17"/>
  <c r="CK27" i="17" s="1"/>
  <c r="CV27" i="17" s="1"/>
  <c r="DN27" i="17" s="1"/>
  <c r="CC21" i="17"/>
  <c r="CK21" i="17" s="1"/>
  <c r="CV21" i="17" s="1"/>
  <c r="DE21" i="17" s="1"/>
  <c r="CC30" i="17"/>
  <c r="CK30" i="17" s="1"/>
  <c r="CV30" i="17" s="1"/>
  <c r="CC25" i="17"/>
  <c r="CK25" i="17" s="1"/>
  <c r="CV25" i="17" s="1"/>
  <c r="DN25" i="17" s="1"/>
  <c r="CC28" i="17"/>
  <c r="CK28" i="17" s="1"/>
  <c r="CV28" i="17" s="1"/>
  <c r="DN28" i="17" s="1"/>
  <c r="CC22" i="17"/>
  <c r="CK22" i="17" s="1"/>
  <c r="CV22" i="17" s="1"/>
  <c r="DE22" i="17" s="1"/>
  <c r="CC19" i="17"/>
  <c r="CC23" i="17"/>
  <c r="CK23" i="17" s="1"/>
  <c r="CV23" i="17" s="1"/>
  <c r="DN23" i="17" s="1"/>
  <c r="CC20" i="17"/>
  <c r="CK20" i="17" s="1"/>
  <c r="CV20" i="17" s="1"/>
  <c r="DN20" i="17" s="1"/>
  <c r="BC127" i="1"/>
  <c r="BC129" i="1" s="1"/>
  <c r="BE129" i="1" s="1"/>
  <c r="BC128" i="1"/>
  <c r="BE128" i="1" s="1"/>
  <c r="BK244" i="1" s="1"/>
  <c r="CW19" i="17"/>
  <c r="DF19" i="17" s="1"/>
  <c r="DF31" i="17" s="1"/>
  <c r="DF32" i="17" s="1"/>
  <c r="CL15" i="17"/>
  <c r="CL33" i="17" s="1"/>
  <c r="CN15" i="17"/>
  <c r="CN33" i="17" s="1"/>
  <c r="CF33" i="17"/>
  <c r="CB22" i="17"/>
  <c r="CB26" i="17"/>
  <c r="CB21" i="17"/>
  <c r="CB25" i="17"/>
  <c r="CB24" i="17"/>
  <c r="CB28" i="17"/>
  <c r="CB23" i="17"/>
  <c r="CB27" i="17"/>
  <c r="CB20" i="17"/>
  <c r="CB19" i="17"/>
  <c r="CB29" i="17"/>
  <c r="CB30" i="17"/>
  <c r="CE33" i="17"/>
  <c r="CM15" i="17"/>
  <c r="CM33" i="17" s="1"/>
  <c r="DQ19" i="17"/>
  <c r="DQ31" i="17" s="1"/>
  <c r="DQ32" i="17" s="1"/>
  <c r="DH19" i="17"/>
  <c r="DH31" i="17" s="1"/>
  <c r="DH32" i="17" s="1"/>
  <c r="CY31" i="17"/>
  <c r="DP19" i="17"/>
  <c r="DP31" i="17" s="1"/>
  <c r="DP32" i="17" s="1"/>
  <c r="DG19" i="17"/>
  <c r="DG31" i="17" s="1"/>
  <c r="DG32" i="17" s="1"/>
  <c r="CX31" i="17"/>
  <c r="C46" i="12"/>
  <c r="D46" i="12" s="1"/>
  <c r="M43" i="12"/>
  <c r="AE214" i="1"/>
  <c r="C41" i="12" s="1"/>
  <c r="BE122" i="1"/>
  <c r="BD215" i="1" s="1"/>
  <c r="BK215" i="1" s="1"/>
  <c r="D41" i="12" s="1"/>
  <c r="BC123" i="1"/>
  <c r="BE123" i="1" s="1"/>
  <c r="BC124" i="1"/>
  <c r="BE124" i="1" s="1"/>
  <c r="AJ51" i="12"/>
  <c r="AK51" i="12" s="1"/>
  <c r="M38" i="12"/>
  <c r="M47" i="12"/>
  <c r="AP51" i="12"/>
  <c r="AQ51" i="12" s="1"/>
  <c r="BD168" i="1"/>
  <c r="BD169" i="1" s="1"/>
  <c r="DG350" i="11"/>
  <c r="DH351" i="11"/>
  <c r="DI351" i="11" s="1"/>
  <c r="BE127" i="1" l="1"/>
  <c r="BK233" i="1" s="1"/>
  <c r="BK255" i="1" s="1"/>
  <c r="DN29" i="17"/>
  <c r="DN21" i="17"/>
  <c r="DE23" i="17"/>
  <c r="DE26" i="17"/>
  <c r="DE27" i="17"/>
  <c r="DN22" i="17"/>
  <c r="DE25" i="17"/>
  <c r="DE30" i="17"/>
  <c r="DN30" i="17"/>
  <c r="DE28" i="17"/>
  <c r="DE20" i="17"/>
  <c r="CC31" i="17"/>
  <c r="DE24" i="17"/>
  <c r="DN24" i="17"/>
  <c r="CW31" i="17"/>
  <c r="DO19" i="17"/>
  <c r="DO31" i="17" s="1"/>
  <c r="DO32" i="17" s="1"/>
  <c r="DF33" i="17"/>
  <c r="DO33" i="17"/>
  <c r="DO35" i="17" s="1"/>
  <c r="DO36" i="17" s="1"/>
  <c r="DO37" i="17" s="1"/>
  <c r="DO38" i="17" s="1"/>
  <c r="DO39" i="17" s="1"/>
  <c r="DO40" i="17" s="1"/>
  <c r="CG27" i="17"/>
  <c r="CG24" i="17"/>
  <c r="CG23" i="17"/>
  <c r="CG30" i="17"/>
  <c r="CG25" i="17"/>
  <c r="DG33" i="17"/>
  <c r="DP33" i="17"/>
  <c r="DP35" i="17" s="1"/>
  <c r="DP36" i="17" s="1"/>
  <c r="DP37" i="17" s="1"/>
  <c r="DP38" i="17" s="1"/>
  <c r="DP39" i="17" s="1"/>
  <c r="DP40" i="17" s="1"/>
  <c r="DH33" i="17"/>
  <c r="DQ33" i="17"/>
  <c r="DQ35" i="17" s="1"/>
  <c r="DQ36" i="17" s="1"/>
  <c r="DQ37" i="17" s="1"/>
  <c r="DQ38" i="17" s="1"/>
  <c r="DQ39" i="17" s="1"/>
  <c r="DQ40" i="17" s="1"/>
  <c r="CG29" i="17"/>
  <c r="CG21" i="17"/>
  <c r="CG19" i="17"/>
  <c r="CB31" i="17"/>
  <c r="CB33" i="17" s="1"/>
  <c r="CG26" i="17"/>
  <c r="CG28" i="17"/>
  <c r="CG20" i="17"/>
  <c r="CG22" i="17"/>
  <c r="G36" i="12"/>
  <c r="AE209" i="1"/>
  <c r="BF122" i="1"/>
  <c r="BD171" i="1"/>
  <c r="CD11" i="1" s="1"/>
  <c r="DG349" i="11"/>
  <c r="DH350" i="11"/>
  <c r="DI350" i="11" s="1"/>
  <c r="DQ46" i="17" l="1"/>
  <c r="DQ48" i="17" s="1"/>
  <c r="DQ47" i="17"/>
  <c r="DP46" i="17"/>
  <c r="DP48" i="17" s="1"/>
  <c r="DP47" i="17"/>
  <c r="DO46" i="17"/>
  <c r="DO48" i="17" s="1"/>
  <c r="DO47" i="17"/>
  <c r="CC33" i="17"/>
  <c r="CG31" i="17"/>
  <c r="CB32" i="17" s="1"/>
  <c r="DO41" i="17"/>
  <c r="DP41" i="17"/>
  <c r="DQ41" i="17"/>
  <c r="C36" i="12"/>
  <c r="DG348" i="11"/>
  <c r="DH349" i="11"/>
  <c r="DI349" i="11" s="1"/>
  <c r="CJ30" i="17" l="1"/>
  <c r="CJ29" i="17"/>
  <c r="CJ19" i="17"/>
  <c r="CJ20" i="17"/>
  <c r="CC32" i="17"/>
  <c r="CF32" i="17"/>
  <c r="CD32" i="17"/>
  <c r="CG33" i="17"/>
  <c r="CH33" i="17" s="1"/>
  <c r="CE32" i="17"/>
  <c r="CJ15" i="17"/>
  <c r="CJ23" i="17"/>
  <c r="CJ22" i="17"/>
  <c r="CJ26" i="17"/>
  <c r="CJ27" i="17"/>
  <c r="CJ25" i="17"/>
  <c r="CJ21" i="17"/>
  <c r="CJ28" i="17"/>
  <c r="CJ24" i="17"/>
  <c r="DQ43" i="17"/>
  <c r="DQ42" i="17"/>
  <c r="DP43" i="17"/>
  <c r="DP42" i="17"/>
  <c r="DO42" i="17"/>
  <c r="DO43" i="17"/>
  <c r="DG347" i="11"/>
  <c r="DH348" i="11"/>
  <c r="DI348" i="11" s="1"/>
  <c r="CK19" i="17" l="1"/>
  <c r="CO19" i="17" s="1"/>
  <c r="CK15" i="17"/>
  <c r="CU20" i="17"/>
  <c r="CO20" i="17"/>
  <c r="CU19" i="17"/>
  <c r="CU29" i="17"/>
  <c r="CO29" i="17"/>
  <c r="CU30" i="17"/>
  <c r="CO30" i="17"/>
  <c r="CU21" i="17"/>
  <c r="CO21" i="17"/>
  <c r="CJ31" i="17"/>
  <c r="CJ33" i="17" s="1"/>
  <c r="CU25" i="17"/>
  <c r="CO25" i="17"/>
  <c r="CU27" i="17"/>
  <c r="CO27" i="17"/>
  <c r="CU26" i="17"/>
  <c r="CO26" i="17"/>
  <c r="CU28" i="17"/>
  <c r="CO28" i="17"/>
  <c r="CU22" i="17"/>
  <c r="CO22" i="17"/>
  <c r="CU23" i="17"/>
  <c r="CO23" i="17"/>
  <c r="CO24" i="17"/>
  <c r="CU24" i="17"/>
  <c r="DG346" i="11"/>
  <c r="DH347" i="11"/>
  <c r="DI347" i="11" s="1"/>
  <c r="CK31" i="17" l="1"/>
  <c r="CK33" i="17" s="1"/>
  <c r="CV19" i="17"/>
  <c r="CZ19" i="17" s="1"/>
  <c r="DD19" i="17"/>
  <c r="DM19" i="17"/>
  <c r="DD29" i="17"/>
  <c r="DI29" i="17" s="1"/>
  <c r="CZ29" i="17"/>
  <c r="DM29" i="17"/>
  <c r="DR29" i="17" s="1"/>
  <c r="DD20" i="17"/>
  <c r="DI20" i="17" s="1"/>
  <c r="CZ20" i="17"/>
  <c r="DM20" i="17"/>
  <c r="DR20" i="17" s="1"/>
  <c r="CZ30" i="17"/>
  <c r="DD30" i="17"/>
  <c r="DI30" i="17" s="1"/>
  <c r="DM30" i="17"/>
  <c r="DR30" i="17" s="1"/>
  <c r="DD23" i="17"/>
  <c r="DI23" i="17" s="1"/>
  <c r="DM23" i="17"/>
  <c r="DR23" i="17" s="1"/>
  <c r="CZ23" i="17"/>
  <c r="DD27" i="17"/>
  <c r="DI27" i="17" s="1"/>
  <c r="CZ27" i="17"/>
  <c r="DM27" i="17"/>
  <c r="DR27" i="17" s="1"/>
  <c r="DD22" i="17"/>
  <c r="DI22" i="17" s="1"/>
  <c r="DM22" i="17"/>
  <c r="DR22" i="17" s="1"/>
  <c r="CZ22" i="17"/>
  <c r="DM25" i="17"/>
  <c r="DR25" i="17" s="1"/>
  <c r="CZ25" i="17"/>
  <c r="DD25" i="17"/>
  <c r="DI25" i="17" s="1"/>
  <c r="DM26" i="17"/>
  <c r="DR26" i="17" s="1"/>
  <c r="DD26" i="17"/>
  <c r="DI26" i="17" s="1"/>
  <c r="CZ26" i="17"/>
  <c r="DD24" i="17"/>
  <c r="DI24" i="17" s="1"/>
  <c r="CZ24" i="17"/>
  <c r="DM24" i="17"/>
  <c r="DR24" i="17" s="1"/>
  <c r="DM28" i="17"/>
  <c r="DR28" i="17" s="1"/>
  <c r="CZ28" i="17"/>
  <c r="DD28" i="17"/>
  <c r="DI28" i="17" s="1"/>
  <c r="CO31" i="17"/>
  <c r="DD21" i="17"/>
  <c r="CZ21" i="17"/>
  <c r="DM21" i="17"/>
  <c r="CU31" i="17"/>
  <c r="DG345" i="11"/>
  <c r="DH346" i="11"/>
  <c r="DI346" i="11" s="1"/>
  <c r="CV31" i="17" l="1"/>
  <c r="DE19" i="17"/>
  <c r="DE31" i="17" s="1"/>
  <c r="DE32" i="17" s="1"/>
  <c r="DN19" i="17"/>
  <c r="DN31" i="17" s="1"/>
  <c r="DN32" i="17" s="1"/>
  <c r="CK32" i="17"/>
  <c r="CJ32" i="17"/>
  <c r="CM32" i="17"/>
  <c r="CO33" i="17"/>
  <c r="CP33" i="17" s="1"/>
  <c r="CL32" i="17"/>
  <c r="CN32" i="17"/>
  <c r="DR21" i="17"/>
  <c r="DM31" i="17"/>
  <c r="DM32" i="17" s="1"/>
  <c r="CZ31" i="17"/>
  <c r="DI21" i="17"/>
  <c r="DD31" i="17"/>
  <c r="DD32" i="17" s="1"/>
  <c r="DG344" i="11"/>
  <c r="DH345" i="11"/>
  <c r="DI345" i="11" s="1"/>
  <c r="DN33" i="17" l="1"/>
  <c r="DN35" i="17" s="1"/>
  <c r="DN36" i="17" s="1"/>
  <c r="DN37" i="17" s="1"/>
  <c r="DN38" i="17" s="1"/>
  <c r="DN39" i="17" s="1"/>
  <c r="DN40" i="17" s="1"/>
  <c r="DE33" i="17"/>
  <c r="DI19" i="17"/>
  <c r="DI31" i="17" s="1"/>
  <c r="DR32" i="17"/>
  <c r="DR19" i="17"/>
  <c r="DR31" i="17" s="1"/>
  <c r="DI32" i="17"/>
  <c r="DM33" i="17"/>
  <c r="DD33" i="17"/>
  <c r="CY32" i="17"/>
  <c r="CU32" i="17"/>
  <c r="CX32" i="17"/>
  <c r="CW32" i="17"/>
  <c r="CV32" i="17"/>
  <c r="DG343" i="11"/>
  <c r="DH344" i="11"/>
  <c r="DI344" i="11" s="1"/>
  <c r="DN46" i="17" l="1"/>
  <c r="DN48" i="17" s="1"/>
  <c r="DN47" i="17"/>
  <c r="DN41" i="17"/>
  <c r="DR33" i="17"/>
  <c r="DM34" i="17" s="1"/>
  <c r="DM35" i="17"/>
  <c r="DI33" i="17"/>
  <c r="DG342" i="11"/>
  <c r="DH343" i="11"/>
  <c r="DI343" i="11" s="1"/>
  <c r="DN42" i="17" l="1"/>
  <c r="DN43" i="17"/>
  <c r="DD34" i="17"/>
  <c r="DD35" i="17" s="1"/>
  <c r="DE34" i="17"/>
  <c r="DE35" i="17" s="1"/>
  <c r="DE36" i="17" s="1"/>
  <c r="DE37" i="17" s="1"/>
  <c r="DE38" i="17" s="1"/>
  <c r="DE39" i="17" s="1"/>
  <c r="DE40" i="17" s="1"/>
  <c r="DG34" i="17"/>
  <c r="DG35" i="17" s="1"/>
  <c r="DG36" i="17" s="1"/>
  <c r="DG37" i="17" s="1"/>
  <c r="DG38" i="17" s="1"/>
  <c r="DG39" i="17" s="1"/>
  <c r="DG40" i="17" s="1"/>
  <c r="DH34" i="17"/>
  <c r="DH35" i="17" s="1"/>
  <c r="DH36" i="17" s="1"/>
  <c r="DH37" i="17" s="1"/>
  <c r="DH38" i="17" s="1"/>
  <c r="DH39" i="17" s="1"/>
  <c r="DH40" i="17" s="1"/>
  <c r="DF34" i="17"/>
  <c r="DF35" i="17" s="1"/>
  <c r="DF36" i="17" s="1"/>
  <c r="DF37" i="17" s="1"/>
  <c r="DF38" i="17" s="1"/>
  <c r="DF39" i="17" s="1"/>
  <c r="DF40" i="17" s="1"/>
  <c r="DM36" i="17"/>
  <c r="DR35" i="17"/>
  <c r="DG341" i="11"/>
  <c r="DH342" i="11"/>
  <c r="DI342" i="11" s="1"/>
  <c r="DH46" i="17" l="1"/>
  <c r="DH48" i="17" s="1"/>
  <c r="DH47" i="17"/>
  <c r="DG46" i="17"/>
  <c r="DG48" i="17" s="1"/>
  <c r="DG47" i="17"/>
  <c r="DF46" i="17"/>
  <c r="DF48" i="17" s="1"/>
  <c r="DF47" i="17"/>
  <c r="DE46" i="17"/>
  <c r="DE48" i="17" s="1"/>
  <c r="DE47" i="17"/>
  <c r="DM37" i="17"/>
  <c r="DR36" i="17"/>
  <c r="DH41" i="17"/>
  <c r="DG41" i="17"/>
  <c r="DE41" i="17"/>
  <c r="DF41" i="17"/>
  <c r="DD36" i="17"/>
  <c r="DI35" i="17"/>
  <c r="DG340" i="11"/>
  <c r="DH341" i="11"/>
  <c r="DI341" i="11" s="1"/>
  <c r="DE43" i="17" l="1"/>
  <c r="DE42" i="17"/>
  <c r="DG42" i="17"/>
  <c r="DG43" i="17"/>
  <c r="DH43" i="17"/>
  <c r="DH42" i="17"/>
  <c r="DD37" i="17"/>
  <c r="DI36" i="17"/>
  <c r="DF43" i="17"/>
  <c r="DF42" i="17"/>
  <c r="DM38" i="17"/>
  <c r="DR37" i="17"/>
  <c r="DG339" i="11"/>
  <c r="DH340" i="11"/>
  <c r="DI340" i="11" s="1"/>
  <c r="DD38" i="17" l="1"/>
  <c r="DI37" i="17"/>
  <c r="DM39" i="17"/>
  <c r="DR38" i="17"/>
  <c r="DG338" i="11"/>
  <c r="DH339" i="11"/>
  <c r="DI339" i="11" s="1"/>
  <c r="DM40" i="17" l="1"/>
  <c r="DR39" i="17"/>
  <c r="DI38" i="17"/>
  <c r="DD39" i="17"/>
  <c r="DG337" i="11"/>
  <c r="DH338" i="11"/>
  <c r="DI338" i="11" s="1"/>
  <c r="DM46" i="17" l="1"/>
  <c r="DM47" i="17"/>
  <c r="DI39" i="17"/>
  <c r="DD40" i="17"/>
  <c r="DM41" i="17"/>
  <c r="DR40" i="17"/>
  <c r="DS40" i="17" s="1"/>
  <c r="DS41" i="17" s="1"/>
  <c r="DG336" i="11"/>
  <c r="DH337" i="11"/>
  <c r="DI337" i="11" s="1"/>
  <c r="DR47" i="17" l="1"/>
  <c r="DR46" i="17"/>
  <c r="DM48" i="17"/>
  <c r="DR48" i="17" s="1"/>
  <c r="DD46" i="17"/>
  <c r="DD47" i="17"/>
  <c r="DI47" i="17" s="1"/>
  <c r="BK241" i="17" s="1"/>
  <c r="DI40" i="17"/>
  <c r="DD41" i="17"/>
  <c r="DR41" i="17"/>
  <c r="DM43" i="17"/>
  <c r="DR43" i="17" s="1"/>
  <c r="DM42" i="17"/>
  <c r="DR42" i="17" s="1"/>
  <c r="DS42" i="17" s="1"/>
  <c r="DG335" i="11"/>
  <c r="DH336" i="11"/>
  <c r="DI336" i="11" s="1"/>
  <c r="DI46" i="17" l="1"/>
  <c r="DD48" i="17"/>
  <c r="DI48" i="17" s="1"/>
  <c r="DD43" i="17"/>
  <c r="DI43" i="17" s="1"/>
  <c r="BD219" i="17" s="1"/>
  <c r="BK219" i="17" s="1"/>
  <c r="AG24" i="12" s="1"/>
  <c r="DI41" i="17"/>
  <c r="DD42" i="17"/>
  <c r="DI42" i="17" s="1"/>
  <c r="BD212" i="17"/>
  <c r="DJ40" i="17"/>
  <c r="DJ41" i="17" s="1"/>
  <c r="DG334" i="11"/>
  <c r="DH335" i="11"/>
  <c r="DI335" i="11" s="1"/>
  <c r="BK239" i="17" l="1"/>
  <c r="AH31" i="12" s="1"/>
  <c r="C30" i="12" s="1"/>
  <c r="BK230" i="17"/>
  <c r="BK212" i="17"/>
  <c r="BD210" i="17"/>
  <c r="BD218" i="17"/>
  <c r="BK218" i="17" s="1"/>
  <c r="DJ42" i="17"/>
  <c r="DG333" i="11"/>
  <c r="DH334" i="11"/>
  <c r="DI334" i="11" s="1"/>
  <c r="BK228" i="17" l="1"/>
  <c r="BK252" i="17"/>
  <c r="BK250" i="17" s="1"/>
  <c r="AI31" i="12" s="1"/>
  <c r="C31" i="12" s="1"/>
  <c r="D55" i="12"/>
  <c r="BK210" i="17"/>
  <c r="D53" i="12" s="1"/>
  <c r="DG332" i="11"/>
  <c r="DH333" i="11"/>
  <c r="DI333" i="11" s="1"/>
  <c r="AG31" i="12" l="1"/>
  <c r="DH332" i="11"/>
  <c r="DI332" i="11" s="1"/>
  <c r="BO12" i="1" l="1"/>
  <c r="AG162" i="1"/>
  <c r="AG154" i="1"/>
  <c r="AG155" i="1"/>
  <c r="AG160" i="1"/>
  <c r="AG163" i="1"/>
  <c r="AE164" i="1"/>
  <c r="AG158" i="1"/>
  <c r="AG156" i="1"/>
  <c r="AG157" i="1"/>
  <c r="AG159" i="1"/>
  <c r="AG152" i="1"/>
  <c r="AG161" i="1"/>
  <c r="G35" i="12" l="1"/>
  <c r="BN24" i="1"/>
  <c r="BP24" i="1"/>
  <c r="BV24" i="1" s="1"/>
  <c r="BO24" i="1"/>
  <c r="BQ24" i="1"/>
  <c r="BW24" i="1" s="1"/>
  <c r="BR24" i="1"/>
  <c r="BX24" i="1" s="1"/>
  <c r="BQ21" i="1"/>
  <c r="BW21" i="1" s="1"/>
  <c r="BP22" i="1"/>
  <c r="BV22" i="1" s="1"/>
  <c r="BQ22" i="1"/>
  <c r="BW22" i="1" s="1"/>
  <c r="BR21" i="1"/>
  <c r="BX21" i="1" s="1"/>
  <c r="BP23" i="1"/>
  <c r="BV23" i="1" s="1"/>
  <c r="BO23" i="1"/>
  <c r="BN21" i="1"/>
  <c r="BO21" i="1"/>
  <c r="BR22" i="1"/>
  <c r="BX22" i="1" s="1"/>
  <c r="BN23" i="1"/>
  <c r="BO22" i="1"/>
  <c r="BN22" i="1"/>
  <c r="BP21" i="1"/>
  <c r="BV21" i="1" s="1"/>
  <c r="BQ23" i="1"/>
  <c r="BW23" i="1" s="1"/>
  <c r="BR23" i="1"/>
  <c r="BX23" i="1" s="1"/>
  <c r="BN27" i="1"/>
  <c r="BO27" i="1"/>
  <c r="BR26" i="1"/>
  <c r="BX26" i="1" s="1"/>
  <c r="BQ26" i="1"/>
  <c r="BW26" i="1" s="1"/>
  <c r="BR27" i="1"/>
  <c r="BX27" i="1" s="1"/>
  <c r="BR28" i="1"/>
  <c r="BX28" i="1" s="1"/>
  <c r="BN28" i="1"/>
  <c r="BN26" i="1"/>
  <c r="BP26" i="1"/>
  <c r="BV26" i="1" s="1"/>
  <c r="BP28" i="1"/>
  <c r="BV28" i="1" s="1"/>
  <c r="BQ28" i="1"/>
  <c r="BW28" i="1" s="1"/>
  <c r="BP27" i="1"/>
  <c r="BV27" i="1" s="1"/>
  <c r="BQ27" i="1"/>
  <c r="BW27" i="1" s="1"/>
  <c r="BO26" i="1"/>
  <c r="BO28" i="1"/>
  <c r="BO19" i="1"/>
  <c r="BR29" i="1"/>
  <c r="BQ19" i="1"/>
  <c r="BQ30" i="1"/>
  <c r="BP29" i="1"/>
  <c r="BP30" i="1"/>
  <c r="BO30" i="1"/>
  <c r="BN19" i="1"/>
  <c r="BP19" i="1"/>
  <c r="BR20" i="1"/>
  <c r="BQ29" i="1"/>
  <c r="BN20" i="1"/>
  <c r="BP20" i="1"/>
  <c r="BR19" i="1"/>
  <c r="BO29" i="1"/>
  <c r="BN29" i="1"/>
  <c r="BN30" i="1"/>
  <c r="BO20" i="1"/>
  <c r="BQ20" i="1"/>
  <c r="BR30" i="1"/>
  <c r="AG153" i="1"/>
  <c r="AG164" i="1" s="1"/>
  <c r="BS22" i="1" l="1"/>
  <c r="BS24" i="1"/>
  <c r="BS23" i="1"/>
  <c r="BS21" i="1"/>
  <c r="BS26" i="1"/>
  <c r="BS28" i="1"/>
  <c r="BS30" i="1"/>
  <c r="BS29" i="1"/>
  <c r="BS19" i="1"/>
  <c r="BS20" i="1"/>
  <c r="BS27" i="1"/>
  <c r="BX29" i="1"/>
  <c r="BN31" i="1"/>
  <c r="BT17" i="1"/>
  <c r="BT20" i="1" s="1"/>
  <c r="BU17" i="1"/>
  <c r="BU19" i="1" s="1"/>
  <c r="BO31" i="1"/>
  <c r="BX20" i="1"/>
  <c r="BV20" i="1"/>
  <c r="BV30" i="1"/>
  <c r="BV17" i="1"/>
  <c r="BP31" i="1"/>
  <c r="BV19" i="1"/>
  <c r="BX30" i="1"/>
  <c r="BV29" i="1"/>
  <c r="BW19" i="1"/>
  <c r="BQ31" i="1"/>
  <c r="BW17" i="1"/>
  <c r="BX19" i="1"/>
  <c r="BR31" i="1"/>
  <c r="BX17" i="1"/>
  <c r="BW20" i="1"/>
  <c r="BW29" i="1"/>
  <c r="BW30" i="1"/>
  <c r="BU21" i="1" l="1"/>
  <c r="BT23" i="1"/>
  <c r="BU24" i="1"/>
  <c r="BT24" i="1"/>
  <c r="BU23" i="1"/>
  <c r="BT22" i="1"/>
  <c r="BT21" i="1"/>
  <c r="BU22" i="1"/>
  <c r="BU26" i="1"/>
  <c r="BU27" i="1"/>
  <c r="BU28" i="1"/>
  <c r="BT28" i="1"/>
  <c r="BT26" i="1"/>
  <c r="BT27" i="1"/>
  <c r="BU30" i="1"/>
  <c r="BS31" i="1"/>
  <c r="BT30" i="1"/>
  <c r="BU29" i="1"/>
  <c r="BT29" i="1"/>
  <c r="BU20" i="1"/>
  <c r="BT19" i="1"/>
  <c r="CF15" i="1"/>
  <c r="CE15" i="1"/>
  <c r="CD15" i="1"/>
  <c r="BN32" i="1" l="1"/>
  <c r="CB15" i="1" s="1"/>
  <c r="CB25" i="1" s="1"/>
  <c r="BR32" i="1"/>
  <c r="BP32" i="1"/>
  <c r="BQ32" i="1"/>
  <c r="BO32" i="1"/>
  <c r="CC15" i="1" s="1"/>
  <c r="CC19" i="1" s="1"/>
  <c r="C20" i="12"/>
  <c r="CE22" i="1"/>
  <c r="CM22" i="1" s="1"/>
  <c r="CX22" i="1" s="1"/>
  <c r="CE25" i="1"/>
  <c r="CM25" i="1" s="1"/>
  <c r="CX25" i="1" s="1"/>
  <c r="CE27" i="1"/>
  <c r="CM27" i="1" s="1"/>
  <c r="CX27" i="1" s="1"/>
  <c r="CE21" i="1"/>
  <c r="CM21" i="1" s="1"/>
  <c r="CX21" i="1" s="1"/>
  <c r="CE26" i="1"/>
  <c r="CM26" i="1" s="1"/>
  <c r="CX26" i="1" s="1"/>
  <c r="CE28" i="1"/>
  <c r="CM28" i="1" s="1"/>
  <c r="CX28" i="1" s="1"/>
  <c r="CE23" i="1"/>
  <c r="CM23" i="1" s="1"/>
  <c r="CX23" i="1" s="1"/>
  <c r="CE24" i="1"/>
  <c r="CM24" i="1" s="1"/>
  <c r="CX24" i="1" s="1"/>
  <c r="CE20" i="1"/>
  <c r="CM20" i="1" s="1"/>
  <c r="CX20" i="1" s="1"/>
  <c r="CE19" i="1"/>
  <c r="CE29" i="1"/>
  <c r="CM29" i="1" s="1"/>
  <c r="CX29" i="1" s="1"/>
  <c r="CE30" i="1"/>
  <c r="CM30" i="1" s="1"/>
  <c r="CX30" i="1" s="1"/>
  <c r="CF25" i="1"/>
  <c r="CN25" i="1" s="1"/>
  <c r="CY25" i="1" s="1"/>
  <c r="CF26" i="1"/>
  <c r="CN26" i="1" s="1"/>
  <c r="CY26" i="1" s="1"/>
  <c r="CF24" i="1"/>
  <c r="CN24" i="1" s="1"/>
  <c r="CF28" i="1"/>
  <c r="CN28" i="1" s="1"/>
  <c r="CY28" i="1" s="1"/>
  <c r="CF23" i="1"/>
  <c r="CN23" i="1" s="1"/>
  <c r="CY23" i="1" s="1"/>
  <c r="CF21" i="1"/>
  <c r="CN21" i="1" s="1"/>
  <c r="CY21" i="1" s="1"/>
  <c r="CF27" i="1"/>
  <c r="CN27" i="1" s="1"/>
  <c r="CY27" i="1" s="1"/>
  <c r="CF22" i="1"/>
  <c r="CN22" i="1" s="1"/>
  <c r="CY22" i="1" s="1"/>
  <c r="CF29" i="1"/>
  <c r="CN29" i="1" s="1"/>
  <c r="CF19" i="1"/>
  <c r="CF30" i="1"/>
  <c r="CN30" i="1" s="1"/>
  <c r="CF20" i="1"/>
  <c r="CN20" i="1" s="1"/>
  <c r="CY20" i="1" s="1"/>
  <c r="CD21" i="1"/>
  <c r="CL21" i="1" s="1"/>
  <c r="CW21" i="1" s="1"/>
  <c r="CD28" i="1"/>
  <c r="CL28" i="1" s="1"/>
  <c r="CW28" i="1" s="1"/>
  <c r="CD22" i="1"/>
  <c r="CL22" i="1" s="1"/>
  <c r="CW22" i="1" s="1"/>
  <c r="CD25" i="1"/>
  <c r="CL25" i="1" s="1"/>
  <c r="CW25" i="1" s="1"/>
  <c r="CD27" i="1"/>
  <c r="CL27" i="1" s="1"/>
  <c r="CW27" i="1" s="1"/>
  <c r="CD26" i="1"/>
  <c r="CL26" i="1" s="1"/>
  <c r="CW26" i="1" s="1"/>
  <c r="CD24" i="1"/>
  <c r="CL24" i="1" s="1"/>
  <c r="CW24" i="1" s="1"/>
  <c r="CD23" i="1"/>
  <c r="CL23" i="1" s="1"/>
  <c r="CW23" i="1" s="1"/>
  <c r="CD29" i="1"/>
  <c r="CL29" i="1" s="1"/>
  <c r="CW29" i="1" s="1"/>
  <c r="CD19" i="1"/>
  <c r="CD20" i="1"/>
  <c r="CL20" i="1" s="1"/>
  <c r="CW20" i="1" s="1"/>
  <c r="CD30" i="1"/>
  <c r="CL30" i="1" s="1"/>
  <c r="CW30" i="1" s="1"/>
  <c r="DF24" i="1" l="1"/>
  <c r="DO24" i="1"/>
  <c r="DH27" i="1"/>
  <c r="DQ27" i="1"/>
  <c r="DG29" i="1"/>
  <c r="DP29" i="1"/>
  <c r="DG27" i="1"/>
  <c r="DP27" i="1"/>
  <c r="DG21" i="1"/>
  <c r="DP21" i="1"/>
  <c r="DF26" i="1"/>
  <c r="DO26" i="1"/>
  <c r="DG25" i="1"/>
  <c r="DP25" i="1"/>
  <c r="DF23" i="1"/>
  <c r="DO23" i="1"/>
  <c r="DF27" i="1"/>
  <c r="DO27" i="1"/>
  <c r="DH23" i="1"/>
  <c r="DQ23" i="1"/>
  <c r="DG20" i="1"/>
  <c r="DP20" i="1"/>
  <c r="DG22" i="1"/>
  <c r="DP22" i="1"/>
  <c r="DH22" i="1"/>
  <c r="DQ22" i="1"/>
  <c r="DF30" i="1"/>
  <c r="DO30" i="1"/>
  <c r="DH28" i="1"/>
  <c r="DQ28" i="1"/>
  <c r="DG24" i="1"/>
  <c r="DP24" i="1"/>
  <c r="DG30" i="1"/>
  <c r="DP30" i="1"/>
  <c r="DF22" i="1"/>
  <c r="DO22" i="1"/>
  <c r="DG23" i="1"/>
  <c r="DP23" i="1"/>
  <c r="DH20" i="1"/>
  <c r="DQ20" i="1"/>
  <c r="DF28" i="1"/>
  <c r="DO28" i="1"/>
  <c r="DH26" i="1"/>
  <c r="DQ26" i="1"/>
  <c r="DG28" i="1"/>
  <c r="DP28" i="1"/>
  <c r="DH21" i="1"/>
  <c r="DQ21" i="1"/>
  <c r="DF25" i="1"/>
  <c r="DO25" i="1"/>
  <c r="DF20" i="1"/>
  <c r="DO20" i="1"/>
  <c r="DF29" i="1"/>
  <c r="DO29" i="1"/>
  <c r="DF21" i="1"/>
  <c r="DO21" i="1"/>
  <c r="DH25" i="1"/>
  <c r="DQ25" i="1"/>
  <c r="DG26" i="1"/>
  <c r="DP26" i="1"/>
  <c r="CY30" i="1"/>
  <c r="CY29" i="1"/>
  <c r="CY24" i="1"/>
  <c r="CB29" i="1"/>
  <c r="CB24" i="1"/>
  <c r="CB28" i="1"/>
  <c r="CB21" i="1"/>
  <c r="CB20" i="1"/>
  <c r="CB23" i="1"/>
  <c r="CB30" i="1"/>
  <c r="CB22" i="1"/>
  <c r="CB19" i="1"/>
  <c r="CG19" i="1" s="1"/>
  <c r="CB27" i="1"/>
  <c r="CB26" i="1"/>
  <c r="CC26" i="1"/>
  <c r="CC20" i="1"/>
  <c r="CC21" i="1"/>
  <c r="CC24" i="1"/>
  <c r="CC23" i="1"/>
  <c r="CC30" i="1"/>
  <c r="CC29" i="1"/>
  <c r="CC25" i="1"/>
  <c r="CG25" i="1" s="1"/>
  <c r="CC27" i="1"/>
  <c r="CC28" i="1"/>
  <c r="CC22" i="1"/>
  <c r="CL19" i="1"/>
  <c r="CD31" i="1"/>
  <c r="CE31" i="1"/>
  <c r="CM19" i="1"/>
  <c r="CF31" i="1"/>
  <c r="CN19" i="1"/>
  <c r="DH24" i="1" l="1"/>
  <c r="DQ24" i="1"/>
  <c r="DH29" i="1"/>
  <c r="DQ29" i="1"/>
  <c r="DH30" i="1"/>
  <c r="DQ30" i="1"/>
  <c r="CG23" i="1"/>
  <c r="CG24" i="1"/>
  <c r="CG22" i="1"/>
  <c r="CG21" i="1"/>
  <c r="CG26" i="1"/>
  <c r="CG28" i="1"/>
  <c r="CG27" i="1"/>
  <c r="CG29" i="1"/>
  <c r="CG20" i="1"/>
  <c r="CG30" i="1"/>
  <c r="CB31" i="1"/>
  <c r="CC31" i="1"/>
  <c r="CC33" i="1" s="1"/>
  <c r="CM31" i="1"/>
  <c r="CX19" i="1"/>
  <c r="DP19" i="1" s="1"/>
  <c r="CE33" i="1"/>
  <c r="CM15" i="1"/>
  <c r="CY19" i="1"/>
  <c r="DQ19" i="1" s="1"/>
  <c r="CN31" i="1"/>
  <c r="CL15" i="1"/>
  <c r="CD33" i="1"/>
  <c r="CN15" i="1"/>
  <c r="CF33" i="1"/>
  <c r="CL31" i="1"/>
  <c r="CW19" i="1"/>
  <c r="DO19" i="1" s="1"/>
  <c r="CB33" i="1" l="1"/>
  <c r="CG31" i="1"/>
  <c r="CN33" i="1"/>
  <c r="CL33" i="1"/>
  <c r="CW31" i="1"/>
  <c r="DF19" i="1"/>
  <c r="DG19" i="1"/>
  <c r="CX31" i="1"/>
  <c r="CM33" i="1"/>
  <c r="DH19" i="1"/>
  <c r="DH31" i="1" s="1"/>
  <c r="DH32" i="1" s="1"/>
  <c r="CY31" i="1"/>
  <c r="CB32" i="1" l="1"/>
  <c r="CJ20" i="1" s="1"/>
  <c r="CE32" i="1"/>
  <c r="CD32" i="1"/>
  <c r="CF32" i="1"/>
  <c r="CC32" i="1"/>
  <c r="CK21" i="1" s="1"/>
  <c r="CV21" i="1" s="1"/>
  <c r="DH33" i="1"/>
  <c r="DQ33" i="1"/>
  <c r="DQ35" i="1" s="1"/>
  <c r="DG31" i="1"/>
  <c r="DG32" i="1" s="1"/>
  <c r="DQ31" i="1"/>
  <c r="DQ32" i="1" s="1"/>
  <c r="DF31" i="1"/>
  <c r="DF32" i="1" s="1"/>
  <c r="DP31" i="1"/>
  <c r="DP32" i="1" s="1"/>
  <c r="CG33" i="1"/>
  <c r="CH33" i="1" s="1"/>
  <c r="CJ21" i="1" l="1"/>
  <c r="CO21" i="1" s="1"/>
  <c r="CJ30" i="1"/>
  <c r="CU30" i="1" s="1"/>
  <c r="DM30" i="1" s="1"/>
  <c r="CJ23" i="1"/>
  <c r="CU23" i="1" s="1"/>
  <c r="CJ28" i="1"/>
  <c r="CU28" i="1" s="1"/>
  <c r="DM28" i="1" s="1"/>
  <c r="CJ24" i="1"/>
  <c r="CU24" i="1" s="1"/>
  <c r="CJ29" i="1"/>
  <c r="CU29" i="1" s="1"/>
  <c r="CJ26" i="1"/>
  <c r="CU26" i="1" s="1"/>
  <c r="DM26" i="1" s="1"/>
  <c r="CJ27" i="1"/>
  <c r="CU27" i="1" s="1"/>
  <c r="DM27" i="1" s="1"/>
  <c r="CJ25" i="1"/>
  <c r="CU25" i="1" s="1"/>
  <c r="DM25" i="1" s="1"/>
  <c r="CJ22" i="1"/>
  <c r="CU22" i="1" s="1"/>
  <c r="CJ15" i="1"/>
  <c r="CJ19" i="1"/>
  <c r="CU19" i="1" s="1"/>
  <c r="DM19" i="1" s="1"/>
  <c r="DF33" i="1"/>
  <c r="DO33" i="1"/>
  <c r="DO35" i="1" s="1"/>
  <c r="DG33" i="1"/>
  <c r="DP33" i="1"/>
  <c r="DP35" i="1" s="1"/>
  <c r="DE21" i="1"/>
  <c r="DN21" i="1"/>
  <c r="CU20" i="1"/>
  <c r="CK23" i="1"/>
  <c r="CV23" i="1" s="1"/>
  <c r="CK26" i="1"/>
  <c r="CV26" i="1" s="1"/>
  <c r="CK29" i="1"/>
  <c r="CV29" i="1" s="1"/>
  <c r="CK20" i="1"/>
  <c r="CV20" i="1" s="1"/>
  <c r="CK22" i="1"/>
  <c r="CV22" i="1" s="1"/>
  <c r="CK27" i="1"/>
  <c r="CV27" i="1" s="1"/>
  <c r="CK30" i="1"/>
  <c r="CV30" i="1" s="1"/>
  <c r="CK28" i="1"/>
  <c r="CV28" i="1" s="1"/>
  <c r="CK15" i="1"/>
  <c r="CK19" i="1"/>
  <c r="CK25" i="1"/>
  <c r="CV25" i="1" s="1"/>
  <c r="CK24" i="1"/>
  <c r="CV24" i="1" s="1"/>
  <c r="CU21" i="1" l="1"/>
  <c r="CZ21" i="1" s="1"/>
  <c r="CO19" i="1"/>
  <c r="CJ31" i="1"/>
  <c r="CJ33" i="1" s="1"/>
  <c r="DD30" i="1"/>
  <c r="DE28" i="1"/>
  <c r="DN28" i="1"/>
  <c r="DE23" i="1"/>
  <c r="DN23" i="1"/>
  <c r="DE27" i="1"/>
  <c r="DN27" i="1"/>
  <c r="DD22" i="1"/>
  <c r="DM22" i="1"/>
  <c r="DE22" i="1"/>
  <c r="DN22" i="1"/>
  <c r="DD20" i="1"/>
  <c r="DM20" i="1"/>
  <c r="DE24" i="1"/>
  <c r="DN24" i="1"/>
  <c r="DD24" i="1"/>
  <c r="DM24" i="1"/>
  <c r="DE30" i="1"/>
  <c r="DN30" i="1"/>
  <c r="DR30" i="1" s="1"/>
  <c r="DE25" i="1"/>
  <c r="DN25" i="1"/>
  <c r="DR25" i="1" s="1"/>
  <c r="DE29" i="1"/>
  <c r="DN29" i="1"/>
  <c r="DE20" i="1"/>
  <c r="DN20" i="1"/>
  <c r="DD29" i="1"/>
  <c r="DM29" i="1"/>
  <c r="DD25" i="1"/>
  <c r="DE26" i="1"/>
  <c r="DN26" i="1"/>
  <c r="DD23" i="1"/>
  <c r="DM23" i="1"/>
  <c r="DD19" i="1"/>
  <c r="CO26" i="1"/>
  <c r="CZ26" i="1"/>
  <c r="CO28" i="1"/>
  <c r="CZ28" i="1"/>
  <c r="CZ30" i="1"/>
  <c r="DD28" i="1"/>
  <c r="CO24" i="1"/>
  <c r="CZ24" i="1"/>
  <c r="CZ22" i="1"/>
  <c r="CZ29" i="1"/>
  <c r="CZ20" i="1"/>
  <c r="DD27" i="1"/>
  <c r="CZ27" i="1"/>
  <c r="DD26" i="1"/>
  <c r="CO23" i="1"/>
  <c r="CZ23" i="1"/>
  <c r="CZ25" i="1"/>
  <c r="CO27" i="1"/>
  <c r="CO22" i="1"/>
  <c r="CO20" i="1"/>
  <c r="CO29" i="1"/>
  <c r="CO30" i="1"/>
  <c r="CO25" i="1"/>
  <c r="CV19" i="1"/>
  <c r="CK31" i="1"/>
  <c r="DD21" i="1" l="1"/>
  <c r="DD31" i="1" s="1"/>
  <c r="DD32" i="1" s="1"/>
  <c r="DD33" i="1" s="1"/>
  <c r="DM21" i="1"/>
  <c r="DM31" i="1" s="1"/>
  <c r="DM32" i="1" s="1"/>
  <c r="CU31" i="1"/>
  <c r="CK33" i="1"/>
  <c r="DI25" i="1"/>
  <c r="DR22" i="1"/>
  <c r="DI30" i="1"/>
  <c r="DR24" i="1"/>
  <c r="DI22" i="1"/>
  <c r="DR29" i="1"/>
  <c r="DI23" i="1"/>
  <c r="DI29" i="1"/>
  <c r="DI24" i="1"/>
  <c r="DR23" i="1"/>
  <c r="DR20" i="1"/>
  <c r="DI20" i="1"/>
  <c r="CZ19" i="1"/>
  <c r="CZ31" i="1" s="1"/>
  <c r="CY32" i="1" s="1"/>
  <c r="DN19" i="1"/>
  <c r="DR19" i="1" s="1"/>
  <c r="DI26" i="1"/>
  <c r="DR26" i="1"/>
  <c r="DI28" i="1"/>
  <c r="DR28" i="1"/>
  <c r="DI27" i="1"/>
  <c r="DR27" i="1"/>
  <c r="DE19" i="1"/>
  <c r="CV31" i="1"/>
  <c r="CO31" i="1"/>
  <c r="CJ32" i="1" s="1"/>
  <c r="DI21" i="1" l="1"/>
  <c r="CU32" i="1"/>
  <c r="CW32" i="1"/>
  <c r="CX32" i="1"/>
  <c r="CV32" i="1"/>
  <c r="CN32" i="1"/>
  <c r="CL32" i="1"/>
  <c r="CM32" i="1"/>
  <c r="CK32" i="1"/>
  <c r="DM33" i="1"/>
  <c r="DE31" i="1"/>
  <c r="DE32" i="1" s="1"/>
  <c r="DR21" i="1"/>
  <c r="DR31" i="1" s="1"/>
  <c r="DN31" i="1"/>
  <c r="DN32" i="1" s="1"/>
  <c r="DI19" i="1"/>
  <c r="CO33" i="1"/>
  <c r="CP33" i="1" s="1"/>
  <c r="DI31" i="1" l="1"/>
  <c r="DM35" i="1"/>
  <c r="DE33" i="1"/>
  <c r="DI33" i="1" s="1"/>
  <c r="DN33" i="1"/>
  <c r="DN35" i="1" s="1"/>
  <c r="DI32" i="1"/>
  <c r="DO31" i="1"/>
  <c r="DD34" i="1" l="1"/>
  <c r="DD35" i="1" s="1"/>
  <c r="DE34" i="1"/>
  <c r="DH34" i="1"/>
  <c r="DG34" i="1"/>
  <c r="DF34" i="1"/>
  <c r="DR33" i="1"/>
  <c r="DO32" i="1"/>
  <c r="DN36" i="1" l="1"/>
  <c r="DN37" i="1" s="1"/>
  <c r="DN38" i="1" s="1"/>
  <c r="DN39" i="1" s="1"/>
  <c r="DN40" i="1" s="1"/>
  <c r="DN47" i="1" s="1"/>
  <c r="DM34" i="1"/>
  <c r="DM36" i="1" s="1"/>
  <c r="DM37" i="1" s="1"/>
  <c r="DM38" i="1" s="1"/>
  <c r="DM39" i="1" s="1"/>
  <c r="DM40" i="1" s="1"/>
  <c r="DM46" i="1" s="1"/>
  <c r="DD36" i="1"/>
  <c r="DD37" i="1" s="1"/>
  <c r="DQ36" i="1"/>
  <c r="DQ37" i="1" s="1"/>
  <c r="DQ38" i="1" s="1"/>
  <c r="DQ39" i="1" s="1"/>
  <c r="DQ40" i="1" s="1"/>
  <c r="DQ47" i="1" s="1"/>
  <c r="DP36" i="1"/>
  <c r="DP37" i="1" s="1"/>
  <c r="DP38" i="1" s="1"/>
  <c r="DP39" i="1" s="1"/>
  <c r="DP40" i="1" s="1"/>
  <c r="DP47" i="1" s="1"/>
  <c r="DO36" i="1"/>
  <c r="DO37" i="1" s="1"/>
  <c r="DO38" i="1" s="1"/>
  <c r="DO39" i="1" s="1"/>
  <c r="DO40" i="1" s="1"/>
  <c r="DO47" i="1" s="1"/>
  <c r="DR32" i="1"/>
  <c r="DM48" i="1" l="1"/>
  <c r="DM47" i="1"/>
  <c r="DR47" i="1" s="1"/>
  <c r="BO241" i="1" s="1"/>
  <c r="BO239" i="1" s="1"/>
  <c r="DQ41" i="1"/>
  <c r="DQ46" i="1"/>
  <c r="DP41" i="1"/>
  <c r="DP46" i="1"/>
  <c r="DO41" i="1"/>
  <c r="DO46" i="1"/>
  <c r="DN41" i="1"/>
  <c r="DN46" i="1"/>
  <c r="DM41" i="1"/>
  <c r="DM43" i="1" s="1"/>
  <c r="DH35" i="1"/>
  <c r="DH36" i="1" s="1"/>
  <c r="DG35" i="1"/>
  <c r="DG36" i="1" s="1"/>
  <c r="DF35" i="1"/>
  <c r="DE35" i="1"/>
  <c r="DM42" i="1" l="1"/>
  <c r="DG37" i="1"/>
  <c r="DH37" i="1"/>
  <c r="DI35" i="1"/>
  <c r="DD38" i="1"/>
  <c r="DD39" i="1" s="1"/>
  <c r="DD40" i="1" s="1"/>
  <c r="DD46" i="1" s="1"/>
  <c r="DF36" i="1"/>
  <c r="DE36" i="1"/>
  <c r="DE37" i="1" s="1"/>
  <c r="DE38" i="1" s="1"/>
  <c r="DE39" i="1" s="1"/>
  <c r="DE40" i="1" s="1"/>
  <c r="DE47" i="1" s="1"/>
  <c r="DD47" i="1" l="1"/>
  <c r="DE41" i="1"/>
  <c r="DE46" i="1"/>
  <c r="DD41" i="1"/>
  <c r="DD42" i="1" s="1"/>
  <c r="DH38" i="1"/>
  <c r="DG38" i="1"/>
  <c r="DF37" i="1"/>
  <c r="DI36" i="1"/>
  <c r="DR35" i="1"/>
  <c r="DD48" i="1" l="1"/>
  <c r="DH39" i="1"/>
  <c r="DH40" i="1" s="1"/>
  <c r="DG39" i="1"/>
  <c r="DG40" i="1" s="1"/>
  <c r="DF38" i="1"/>
  <c r="DI37" i="1"/>
  <c r="DE48" i="1"/>
  <c r="DE42" i="1"/>
  <c r="DR36" i="1"/>
  <c r="DR37" i="1"/>
  <c r="DH46" i="1" l="1"/>
  <c r="DH48" i="1" s="1"/>
  <c r="DH47" i="1"/>
  <c r="DG46" i="1"/>
  <c r="DG48" i="1" s="1"/>
  <c r="DG47" i="1"/>
  <c r="DH41" i="1"/>
  <c r="DG41" i="1"/>
  <c r="DF39" i="1"/>
  <c r="DF40" i="1" s="1"/>
  <c r="DF47" i="1" s="1"/>
  <c r="DE43" i="1"/>
  <c r="DI38" i="1"/>
  <c r="DO43" i="1"/>
  <c r="DO48" i="1"/>
  <c r="DF46" i="1" l="1"/>
  <c r="DI47" i="1"/>
  <c r="BK241" i="1" s="1"/>
  <c r="DI39" i="1"/>
  <c r="DH43" i="1"/>
  <c r="DH42" i="1"/>
  <c r="DG43" i="1"/>
  <c r="DG42" i="1"/>
  <c r="DF41" i="1"/>
  <c r="DF42" i="1" s="1"/>
  <c r="DI40" i="1"/>
  <c r="DP43" i="1"/>
  <c r="DP48" i="1"/>
  <c r="DO42" i="1"/>
  <c r="DQ42" i="1"/>
  <c r="DQ48" i="1"/>
  <c r="DR38" i="1"/>
  <c r="DF48" i="1" l="1"/>
  <c r="DI48" i="1" s="1"/>
  <c r="DI46" i="1"/>
  <c r="BK230" i="1" s="1"/>
  <c r="DI41" i="1"/>
  <c r="DF43" i="1"/>
  <c r="DQ43" i="1"/>
  <c r="DP42" i="1"/>
  <c r="DN42" i="1"/>
  <c r="DN48" i="1"/>
  <c r="DR39" i="1"/>
  <c r="BK239" i="1" l="1"/>
  <c r="AH29" i="12" s="1"/>
  <c r="DI42" i="1"/>
  <c r="DD43" i="1"/>
  <c r="BD212" i="1"/>
  <c r="DJ40" i="1"/>
  <c r="DJ41" i="1" s="1"/>
  <c r="DN43" i="1"/>
  <c r="DR40" i="1"/>
  <c r="BK252" i="1" l="1"/>
  <c r="BK250" i="1" s="1"/>
  <c r="AI29" i="12" s="1"/>
  <c r="BK228" i="1"/>
  <c r="DR46" i="1"/>
  <c r="DR48" i="1"/>
  <c r="DI43" i="1"/>
  <c r="BD219" i="1" s="1"/>
  <c r="BK219" i="1" s="1"/>
  <c r="AG17" i="12" s="1"/>
  <c r="BK212" i="1"/>
  <c r="BK210" i="1" s="1"/>
  <c r="BD210" i="1"/>
  <c r="BD218" i="1"/>
  <c r="BK218" i="1" s="1"/>
  <c r="AG16" i="12" s="1"/>
  <c r="DJ42" i="1"/>
  <c r="DS40" i="1"/>
  <c r="DS41" i="1" s="1"/>
  <c r="BG212" i="1"/>
  <c r="DR42" i="1"/>
  <c r="DR43" i="1"/>
  <c r="DR41" i="1"/>
  <c r="AG29" i="12" l="1"/>
  <c r="BO230" i="1"/>
  <c r="AH30" i="12"/>
  <c r="BG219" i="1"/>
  <c r="BO219" i="1" s="1"/>
  <c r="BG210" i="1"/>
  <c r="BO212" i="1"/>
  <c r="DS42" i="1"/>
  <c r="BO228" i="1" l="1"/>
  <c r="C26" i="12" s="1"/>
  <c r="BO252" i="1"/>
  <c r="BO250" i="1" s="1"/>
  <c r="AI30" i="12" s="1"/>
  <c r="C27" i="12" s="1"/>
  <c r="C29" i="12"/>
  <c r="D38" i="12"/>
  <c r="BO210" i="1"/>
  <c r="AG22" i="12"/>
  <c r="C19" i="12" s="1"/>
  <c r="AG30" i="12" l="1"/>
  <c r="C25" i="12" s="1"/>
  <c r="D36" i="12"/>
  <c r="AF7" i="12"/>
  <c r="AK17" i="12" l="1"/>
  <c r="AG12" i="12"/>
  <c r="AF6" i="12"/>
  <c r="AG11" i="12"/>
  <c r="AF10" i="12"/>
  <c r="AG9" i="12"/>
  <c r="AG8" i="12"/>
  <c r="AF11" i="12"/>
  <c r="AG10" i="12"/>
  <c r="AF9" i="12"/>
  <c r="AG6" i="12"/>
  <c r="AF12" i="12"/>
  <c r="AG7" i="12"/>
  <c r="AF8" i="12"/>
  <c r="AK16" i="12" s="1"/>
  <c r="C21" i="12" l="1"/>
  <c r="AK15" i="12" s="1"/>
  <c r="C22"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mari-liis</author>
    <author>Karin Glader</author>
  </authors>
  <commentList>
    <comment ref="B7" authorId="0" shapeId="0" xr:uid="{15B6CD78-C471-4B3D-838B-1BCBCFB543AC}">
      <text>
        <r>
          <rPr>
            <sz val="9"/>
            <color indexed="81"/>
            <rFont val="Tahoma"/>
            <family val="2"/>
          </rPr>
          <t>Välj i rullgardinsmenyn om ansökan gäller för en ny byggnad, en befintlig byggnad Alternativ 1 eller en befintlig byggnad Alternativ 2</t>
        </r>
      </text>
    </comment>
    <comment ref="B8" authorId="0" shapeId="0" xr:uid="{5FAE04EC-C068-4010-B32B-C103ADCF57D3}">
      <text>
        <r>
          <rPr>
            <sz val="9"/>
            <color indexed="81"/>
            <rFont val="Tahoma"/>
            <family val="2"/>
          </rPr>
          <t>information om beställare / projektansvarig</t>
        </r>
      </text>
    </comment>
    <comment ref="B9" authorId="0" shapeId="0" xr:uid="{E2349F46-61BD-46D5-9A02-24A305CEC1B8}">
      <text>
        <r>
          <rPr>
            <sz val="9"/>
            <color indexed="81"/>
            <rFont val="Tahoma"/>
            <family val="2"/>
          </rPr>
          <t xml:space="preserve">Information om vem som har fyllt i informationen </t>
        </r>
      </text>
    </comment>
    <comment ref="B10" authorId="0" shapeId="0" xr:uid="{06A14068-945D-4B47-942D-229477A6C17D}">
      <text>
        <r>
          <rPr>
            <sz val="9"/>
            <color indexed="81"/>
            <rFont val="Tahoma"/>
            <family val="2"/>
          </rPr>
          <t xml:space="preserve">datum för beräkningar
</t>
        </r>
      </text>
    </comment>
    <comment ref="B13" authorId="0" shapeId="0" xr:uid="{551F386F-8C13-4C21-81BA-490654B3F87B}">
      <text>
        <r>
          <rPr>
            <sz val="9"/>
            <color indexed="81"/>
            <rFont val="Tahoma"/>
            <family val="2"/>
          </rPr>
          <t xml:space="preserve">Ange byggnadens adress, beteckning
</t>
        </r>
      </text>
    </comment>
    <comment ref="B14" authorId="0" shapeId="0" xr:uid="{4554352F-02BE-472B-8C55-FF197990899B}">
      <text>
        <r>
          <rPr>
            <sz val="9"/>
            <color indexed="81"/>
            <rFont val="Tahoma"/>
            <family val="2"/>
          </rPr>
          <t>t.ex. 
flerbostadshus, äldreboende, studentlägenheter, kontor, skola, butik, osv</t>
        </r>
      </text>
    </comment>
    <comment ref="B15" authorId="0" shapeId="0" xr:uid="{9E76860E-B23A-461A-B668-1298A14D2451}">
      <text>
        <r>
          <rPr>
            <sz val="9"/>
            <color indexed="81"/>
            <rFont val="Tahoma"/>
            <family val="2"/>
          </rPr>
          <t>välj klimatort för aktuella byggnaden i rullgardinsmenyn</t>
        </r>
      </text>
    </comment>
    <comment ref="B16" authorId="0" shapeId="0" xr:uid="{AAD6229C-92D5-4D84-ABF0-069B474639C2}">
      <text>
        <r>
          <rPr>
            <sz val="9"/>
            <color indexed="81"/>
            <rFont val="Tahoma"/>
            <family val="2"/>
          </rPr>
          <t>Ange tempererad golvarea för hela byggnaden, dvs. arean av samtliga våningsplan, vindsplan och källarplan för temperaturreglerade utrymmen, avsedda att värmas till mer än 10 grader, som begränsas av klimatskärmens insida. Area som upptas av innerväggar, öppningar för trappa, schakt och dylikt, inräknas. Area för garage, inom byggnaden, i bostadshus eller annan lokalbyggnad än garage, inräknas inte. Den energi som eventuellt används för att värma ett sådant garage, inräknas dock i byggnadens energianvändning.</t>
        </r>
      </text>
    </comment>
    <comment ref="B17" authorId="0" shapeId="0" xr:uid="{5ACAAFCE-873C-4CE2-AD9B-2333F7F3DC71}">
      <text>
        <r>
          <rPr>
            <sz val="9"/>
            <color indexed="81"/>
            <rFont val="Tahoma"/>
            <family val="2"/>
          </rPr>
          <t>Om byggnaden innehåller både bostäder och lokaler ange hur stor andel av byggnaden är bostäder.
I byggnader med bostäder och lokaler viktas energikraven utefter Atemp. Normalisering ska genomföras med hänsyn taget till respektive byggnadskategori.
Om det inte finns några lokaler i flerbostadshuset ska andel bostäder vara 100%.</t>
        </r>
      </text>
    </comment>
    <comment ref="B18" authorId="0" shapeId="0" xr:uid="{1902D345-F77A-4A03-83CE-CF17AC8CFF41}">
      <text>
        <r>
          <rPr>
            <sz val="9"/>
            <color indexed="81"/>
            <rFont val="Tahoma"/>
            <family val="2"/>
          </rPr>
          <t>Om byggnaden innehåller både bostäder och lokaler ange hur stor andel av byggnaden är lokaler.
I byggnader med bostäder och lokaler viktas energikraven utefter Atemp. Normalisering ska genomföras med hänsyn taget till respektive byggnadskategori.
Om det inte finns några bostäder i lokalbyggnaden ska andel lokaler vara 100%.</t>
        </r>
      </text>
    </comment>
    <comment ref="B20" authorId="0" shapeId="0" xr:uid="{0C0C836B-FB26-412A-BAE1-322C2EB4C5F4}">
      <text>
        <r>
          <rPr>
            <sz val="9"/>
            <color indexed="81"/>
            <rFont val="Tahoma"/>
            <family val="2"/>
          </rPr>
          <t>Ange om det finns äldreboende i byggnaden</t>
        </r>
      </text>
    </comment>
    <comment ref="B21" authorId="0" shapeId="0" xr:uid="{9B3E1367-508A-4CFD-B812-043D1AB470BE}">
      <text>
        <r>
          <rPr>
            <sz val="9"/>
            <color indexed="81"/>
            <rFont val="Tahoma"/>
            <family val="2"/>
          </rPr>
          <t>Ange om flerbostadhuset innehåller övervägande delen (&gt;50 % Atemp) lägenheter med en boarea om högst 35 m2 vardera?</t>
        </r>
      </text>
    </comment>
    <comment ref="B24" authorId="0" shapeId="0" xr:uid="{5BC97E60-331A-4F29-A53A-C916F0A35D8C}">
      <text>
        <r>
          <rPr>
            <sz val="9"/>
            <color indexed="81"/>
            <rFont val="Tahoma"/>
            <family val="2"/>
          </rPr>
          <t>Välg BBR version som gäller för projektet  i rullgardinsmenyn</t>
        </r>
      </text>
    </comment>
    <comment ref="B25" authorId="0" shapeId="0" xr:uid="{AD7DB48F-0D1F-4481-B365-E783A80DFAEA}">
      <text>
        <r>
          <rPr>
            <sz val="9"/>
            <color indexed="81"/>
            <rFont val="Tahoma"/>
            <family val="2"/>
          </rPr>
          <t xml:space="preserve">Geografisk justeringsfaktor visas automatiskt efter valet av klimatort
</t>
        </r>
      </text>
    </comment>
    <comment ref="B27" authorId="0" shapeId="0" xr:uid="{86A343C6-38B0-41EC-AD0D-5FF5BA0E9DFC}">
      <text>
        <r>
          <rPr>
            <sz val="9"/>
            <color indexed="81"/>
            <rFont val="Tahoma"/>
            <family val="2"/>
          </rPr>
          <t>Ange om byggnaden har en installerad eleffekt för uppvärmning och tappvarmvatten som överstiger 10 W/m2 eller inte (t.ex elvärmda byggnader)</t>
        </r>
      </text>
    </comment>
    <comment ref="B30" authorId="0" shapeId="0" xr:uid="{D2BB4136-B4E8-4EBD-8436-D7421A73DEDE}">
      <text>
        <r>
          <rPr>
            <sz val="9"/>
            <color indexed="81"/>
            <rFont val="Tahoma"/>
            <family val="2"/>
          </rPr>
          <t xml:space="preserve">Ange maximalt uteluftsflödet under uppvärmningssäsongen i temperaturreglerade utrymmen. Bara luftflödet som behövs för hygieniska skäl ska användas.
</t>
        </r>
      </text>
    </comment>
    <comment ref="B31" authorId="0" shapeId="0" xr:uid="{13F9D0E5-7095-4B55-9DC6-7906DA4331F5}">
      <text>
        <r>
          <rPr>
            <sz val="9"/>
            <color indexed="81"/>
            <rFont val="Tahoma"/>
            <family val="2"/>
          </rPr>
          <t xml:space="preserve">Ange ventilationens drifttid under en vecka under uppvärmningssäsongen </t>
        </r>
      </text>
    </comment>
    <comment ref="B40" authorId="0" shapeId="0" xr:uid="{C2A903C2-6D23-47E4-8685-77E391C61E0B}">
      <text>
        <r>
          <rPr>
            <sz val="9"/>
            <color indexed="81"/>
            <rFont val="Tahoma"/>
            <family val="2"/>
          </rPr>
          <t xml:space="preserve">Ange byggnadens bruttoarea BTA. Bruttoarea BTA är summan av alla våningsplans area och begränsas av de omslutande byggdelarnas utsida. Beräknades enligt SS 21054:2009 till och med 2020-03-17 och numera enligt SS 21054:2020.
Förenklat sätt kan BTA beräknas för flerbostadshus enligt ekvationen: Atemp = 0,9 * BTA (källa: Boverket 2007)
</t>
        </r>
      </text>
    </comment>
    <comment ref="D41" authorId="0" shapeId="0" xr:uid="{8347E904-80B7-49CB-A336-DB9D522F6F9F}">
      <text>
        <r>
          <rPr>
            <sz val="9"/>
            <color indexed="81"/>
            <rFont val="Tahoma"/>
            <family val="2"/>
          </rPr>
          <t>Ange emissionsfaktor för specifik energislag. Vid specifika emissionsfaktorer ska underlaget redovisas.</t>
        </r>
      </text>
    </comment>
    <comment ref="C42" authorId="0" shapeId="0" xr:uid="{6FEE7727-0AE6-4233-A5F3-C173682272F1}">
      <text>
        <r>
          <rPr>
            <sz val="9"/>
            <color indexed="81"/>
            <rFont val="Tahoma"/>
            <family val="2"/>
          </rPr>
          <t>Välj i rullgardinsmenyn vilket underlag används för emissionsfaktorer</t>
        </r>
      </text>
    </comment>
    <comment ref="D43" authorId="1" shapeId="0" xr:uid="{3E255A52-B654-4963-BBA4-C26DBB5687F7}">
      <text>
        <r>
          <rPr>
            <sz val="9"/>
            <color indexed="81"/>
            <rFont val="Tahoma"/>
            <family val="2"/>
          </rPr>
          <t>Svensk elmix
SGBC 2018</t>
        </r>
      </text>
    </comment>
    <comment ref="D44" authorId="1" shapeId="0" xr:uid="{E3F7A225-A0CB-42DE-8C25-542135342BD5}">
      <text>
        <r>
          <rPr>
            <sz val="9"/>
            <color indexed="81"/>
            <rFont val="Tahoma"/>
            <family val="2"/>
          </rPr>
          <t>Svensk fjärrvärmemix
SGBC 2018</t>
        </r>
      </text>
    </comment>
    <comment ref="D45" authorId="1" shapeId="0" xr:uid="{73992E16-406E-484B-ACAF-E0A5072F35DF}">
      <text>
        <r>
          <rPr>
            <b/>
            <sz val="9"/>
            <color indexed="81"/>
            <rFont val="Tahoma"/>
            <family val="2"/>
          </rPr>
          <t>Karin Glader:</t>
        </r>
        <r>
          <rPr>
            <sz val="9"/>
            <color indexed="81"/>
            <rFont val="Tahoma"/>
            <family val="2"/>
          </rPr>
          <t xml:space="preserve">
Bioenergi
Apoxo EPD S-P-00748</t>
        </r>
      </text>
    </comment>
    <comment ref="D46" authorId="1" shapeId="0" xr:uid="{CE2B977B-9873-41F3-A9EC-5A3A78CAFF19}">
      <text>
        <r>
          <rPr>
            <sz val="9"/>
            <color indexed="81"/>
            <rFont val="Tahoma"/>
            <family val="2"/>
          </rPr>
          <t>Ökobaudat 2020</t>
        </r>
      </text>
    </comment>
    <comment ref="D47" authorId="1" shapeId="0" xr:uid="{72D1A4DF-73E9-487C-A45D-7398D1D89A0F}">
      <text>
        <r>
          <rPr>
            <sz val="9"/>
            <color indexed="81"/>
            <rFont val="Tahoma"/>
            <family val="2"/>
          </rPr>
          <t>Ökobaudat 2020</t>
        </r>
      </text>
    </comment>
    <comment ref="D48" authorId="1" shapeId="0" xr:uid="{EFD88138-A55C-4201-A24C-06F2D524DD8E}">
      <text>
        <r>
          <rPr>
            <sz val="9"/>
            <color indexed="81"/>
            <rFont val="Tahoma"/>
            <family val="2"/>
          </rPr>
          <t>Svensk fjärrkyla 
SGBC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mari-liis</author>
  </authors>
  <commentList>
    <comment ref="BO8" authorId="0" shapeId="0" xr:uid="{F003D0AF-61EC-4B21-9689-E422D9BC2FE4}">
      <text>
        <r>
          <rPr>
            <b/>
            <sz val="9"/>
            <color indexed="81"/>
            <rFont val="Tahoma"/>
            <family val="2"/>
          </rPr>
          <t>mari-liis:</t>
        </r>
        <r>
          <rPr>
            <sz val="9"/>
            <color indexed="81"/>
            <rFont val="Tahoma"/>
            <family val="2"/>
          </rPr>
          <t xml:space="preserve">
om inget mätdata finns eller inget mätdata är inmatad eller om medeltemp är lägre än 10 grader (dvs fel inmatning) ska övertemp vara 0, dvs temp byggnad ska vara samma som viktat medel BEN så att ingen korrigering görs
</t>
        </r>
      </text>
    </comment>
    <comment ref="C14" authorId="0" shapeId="0" xr:uid="{018B7782-78E5-4120-9AF4-39B7B0725C2E}">
      <text>
        <r>
          <rPr>
            <sz val="9"/>
            <color indexed="81"/>
            <rFont val="Tahoma"/>
            <family val="2"/>
          </rPr>
          <t xml:space="preserve">Välj i rullgardinsmenyn antal olika värmekällor, dvs. värmeproduktionssystem som finns i byggnaden för uppvärmning. </t>
        </r>
      </text>
    </comment>
    <comment ref="F14" authorId="0" shapeId="0" xr:uid="{8BF552D7-9B69-4F97-9CAA-D7EA414ABE58}">
      <text>
        <r>
          <rPr>
            <sz val="9"/>
            <color indexed="81"/>
            <rFont val="Tahoma"/>
            <family val="2"/>
          </rPr>
          <t>Välj startår för mätperioden i rullgardinsmenyn.</t>
        </r>
      </text>
    </comment>
    <comment ref="I14" authorId="0" shapeId="0" xr:uid="{DD49DC89-EA5F-4084-A5A6-AE33C6A5D4F0}">
      <text>
        <r>
          <rPr>
            <sz val="9"/>
            <color indexed="81"/>
            <rFont val="Tahoma"/>
            <family val="2"/>
          </rPr>
          <t>Välj värmekälla i rullgardinsmenyn, dvs. typ av
värmeproduktionssystem som mätdata gäller för.</t>
        </r>
      </text>
    </comment>
    <comment ref="C15" authorId="0" shapeId="0" xr:uid="{B0932F1C-214B-4676-BF62-9E0C97C4349E}">
      <text>
        <r>
          <rPr>
            <sz val="9"/>
            <color indexed="81"/>
            <rFont val="Tahoma"/>
            <family val="2"/>
          </rPr>
          <t>Skriv kommentarer om mätdata i rutan nedan</t>
        </r>
      </text>
    </comment>
    <comment ref="F15" authorId="0" shapeId="0" xr:uid="{57127822-D842-41AA-8EB6-7A8AE78133AE}">
      <text>
        <r>
          <rPr>
            <sz val="9"/>
            <color indexed="81"/>
            <rFont val="Tahoma"/>
            <family val="2"/>
          </rPr>
          <t>Välj startmånad för mätperioden i rullgardinsmenyn. Mätvärden ska anges för en sammanhängande 12 månaders period.</t>
        </r>
      </text>
    </comment>
    <comment ref="I15" authorId="0" shapeId="0" xr:uid="{AE2C2FB7-C608-4B75-8406-D59549E8F76B}">
      <text>
        <r>
          <rPr>
            <sz val="9"/>
            <color indexed="81"/>
            <rFont val="Tahoma"/>
            <family val="2"/>
          </rPr>
          <t xml:space="preserve">Ange årsverkningsgraden hos värmekällan för produktion av
värme. Informationen används för beräkning av levererad energi om mätdata anges som producerad energi och för normalisering av energianvändningen. </t>
        </r>
      </text>
    </comment>
    <comment ref="I16" authorId="0" shapeId="0" xr:uid="{7C643BC4-6DFA-4F70-AE79-004FADED83B5}">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 </t>
        </r>
      </text>
    </comment>
    <comment ref="AU17" authorId="0" shapeId="0" xr:uid="{6AF8D9D6-1082-4C35-9E01-683FA2A8709D}">
      <text>
        <r>
          <rPr>
            <b/>
            <sz val="9"/>
            <color indexed="81"/>
            <rFont val="Tahoma"/>
            <family val="2"/>
          </rPr>
          <t>mari-liis:</t>
        </r>
        <r>
          <rPr>
            <sz val="9"/>
            <color indexed="81"/>
            <rFont val="Tahoma"/>
            <family val="2"/>
          </rPr>
          <t xml:space="preserve">
ingår I uppmätt energi för uppvärmning månadsredovisning</t>
        </r>
      </text>
    </comment>
    <comment ref="AL37" authorId="0" shapeId="0" xr:uid="{66D81724-EA18-4229-B2B9-BADB464B7739}">
      <text>
        <r>
          <rPr>
            <b/>
            <sz val="9"/>
            <color indexed="81"/>
            <rFont val="Tahoma"/>
            <family val="2"/>
          </rPr>
          <t>mari-liis:</t>
        </r>
        <r>
          <rPr>
            <sz val="9"/>
            <color indexed="81"/>
            <rFont val="Tahoma"/>
            <family val="2"/>
          </rPr>
          <t xml:space="preserve">
ingår I uppmätt energi för uppvärmning årsredovisning</t>
        </r>
      </text>
    </comment>
    <comment ref="DD37" authorId="0" shapeId="0" xr:uid="{AA5DB5A7-7737-4C27-8FAC-8BCA8A312FF6}">
      <text>
        <r>
          <rPr>
            <b/>
            <sz val="9"/>
            <color indexed="81"/>
            <rFont val="Tahoma"/>
            <family val="2"/>
          </rPr>
          <t>mari-liis:</t>
        </r>
        <r>
          <rPr>
            <sz val="9"/>
            <color indexed="81"/>
            <rFont val="Tahoma"/>
            <family val="2"/>
          </rPr>
          <t xml:space="preserve">
omräknat till levererad energi med kombinerad verkningsgrad för produktion av värme och VV</t>
        </r>
      </text>
    </comment>
    <comment ref="C40" authorId="0" shapeId="0" xr:uid="{9E23F05E-8ABB-48C7-843E-E2CF438FA540}">
      <text>
        <r>
          <rPr>
            <sz val="9"/>
            <color indexed="81"/>
            <rFont val="Tahoma"/>
            <family val="2"/>
          </rPr>
          <t xml:space="preserve">Välj i rullgardinsmenyn antal olika värmekällor/ värmeproduktionssystem som finns i byggnaden för produktion av tappvarmvatten
</t>
        </r>
      </text>
    </comment>
    <comment ref="I40" authorId="0" shapeId="0" xr:uid="{5753C73C-B5D1-4949-B795-365262FAFAB4}">
      <text>
        <r>
          <rPr>
            <sz val="9"/>
            <color indexed="81"/>
            <rFont val="Tahoma"/>
            <family val="2"/>
          </rPr>
          <t>Välj värmekälla, dvs. typ av
värmeproduktionssystem som mätdata gäller för.</t>
        </r>
      </text>
    </comment>
    <comment ref="DI40" authorId="0" shapeId="0" xr:uid="{6AABB2F6-A942-4EED-BF08-149EAD2CAD1A}">
      <text>
        <r>
          <rPr>
            <b/>
            <sz val="9"/>
            <color indexed="81"/>
            <rFont val="Tahoma"/>
            <family val="2"/>
          </rPr>
          <t>mari-liis:</t>
        </r>
        <r>
          <rPr>
            <sz val="9"/>
            <color indexed="81"/>
            <rFont val="Tahoma"/>
            <family val="2"/>
          </rPr>
          <t xml:space="preserve">
normaliserads energi för uppvärmnning I årsredovisningen</t>
        </r>
      </text>
    </comment>
    <comment ref="DR40" authorId="0" shapeId="0" xr:uid="{A170D491-CBCA-42C8-A49C-EE3367DEBC08}">
      <text>
        <r>
          <rPr>
            <b/>
            <sz val="9"/>
            <color indexed="81"/>
            <rFont val="Tahoma"/>
            <family val="2"/>
          </rPr>
          <t>mari-liis:</t>
        </r>
        <r>
          <rPr>
            <sz val="9"/>
            <color indexed="81"/>
            <rFont val="Tahoma"/>
            <family val="2"/>
          </rPr>
          <t xml:space="preserve">
normaliserads energi för uppvärmnning I årsredovisningen</t>
        </r>
      </text>
    </comment>
    <comment ref="C41" authorId="0" shapeId="0" xr:uid="{BD6FC2D4-95AC-40AB-9AD8-0D0044959728}">
      <text>
        <r>
          <rPr>
            <sz val="9"/>
            <color indexed="81"/>
            <rFont val="Tahoma"/>
            <family val="2"/>
          </rPr>
          <t>I nya byggnader ska förluster för varmvattencirkulation kunna mätas separat. I äldre byggnader är det inte ovanligt att de inkluderas i uppmätt energin för uppvärmning eller uppmätt energi för tappvarmvatten. Välj i rullgardinsmenyn hur mätning i VVS-förluster sker i den specifika byggnaden.</t>
        </r>
      </text>
    </comment>
    <comment ref="I41" authorId="0" shapeId="0" xr:uid="{A8108E7E-1482-4581-9B46-38F808DF8D67}">
      <text>
        <r>
          <rPr>
            <sz val="9"/>
            <color indexed="81"/>
            <rFont val="Tahoma"/>
            <family val="2"/>
          </rPr>
          <t xml:space="preserve">Ange årsverkningsgraden hos värmekällan för produktion av tappvarmvatten. Informationen används för beräkning av levererad energi om mätdata anges som producerad energi och för normalisering av energianvändningen. </t>
        </r>
      </text>
    </comment>
    <comment ref="AU41" authorId="0" shapeId="0" xr:uid="{0CED7416-CCDD-4059-9565-70E6746E3113}">
      <text>
        <r>
          <rPr>
            <b/>
            <sz val="9"/>
            <color indexed="81"/>
            <rFont val="Tahoma"/>
            <family val="2"/>
          </rPr>
          <t>mari-liis:</t>
        </r>
        <r>
          <rPr>
            <sz val="9"/>
            <color indexed="81"/>
            <rFont val="Tahoma"/>
            <family val="2"/>
          </rPr>
          <t xml:space="preserve">
Uppmätt energi för tappvarmvatten I månadsvis redovisning</t>
        </r>
      </text>
    </comment>
    <comment ref="C42" authorId="0" shapeId="0" xr:uid="{B757D919-41E1-4D8B-A2B4-6CE42B504733}">
      <text>
        <r>
          <rPr>
            <sz val="9"/>
            <color indexed="81"/>
            <rFont val="Tahoma"/>
            <family val="2"/>
          </rPr>
          <t>Ange om det finns energieffektiva tappvarmvattenarmaturer i byggnaden. Välj "Finns" bara om merparten av tappvarmvattenarmaturer i byggnaden uppfyller energiklass A enligt SS 820000:2010 och SS 820001:2010.Välj "Finns ej" om information saknas eller om merparten av armaturer inte uppfyller energiklass A.</t>
        </r>
      </text>
    </comment>
    <comment ref="I42" authorId="0" shapeId="0" xr:uid="{D9CA0B3E-3295-47C6-BA48-DFFE835BA6F9}">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t>
        </r>
      </text>
    </comment>
    <comment ref="C43" authorId="0" shapeId="0" xr:uid="{88531A30-FA6D-46D6-A846-7EBC5458A805}">
      <text>
        <r>
          <rPr>
            <sz val="9"/>
            <color indexed="81"/>
            <rFont val="Tahoma"/>
            <family val="2"/>
          </rPr>
          <t>Skriv kommentarer om mätdata i rutan nedan</t>
        </r>
      </text>
    </comment>
    <comment ref="BB55" authorId="0" shapeId="0" xr:uid="{1600360E-61B5-4A11-B874-F1CC0AEF3E63}">
      <text>
        <r>
          <rPr>
            <b/>
            <sz val="9"/>
            <color indexed="81"/>
            <rFont val="Tahoma"/>
            <family val="2"/>
          </rPr>
          <t>mari-liis:</t>
        </r>
        <r>
          <rPr>
            <sz val="9"/>
            <color indexed="81"/>
            <rFont val="Tahoma"/>
            <family val="2"/>
          </rPr>
          <t xml:space="preserve">
fördelning till hela byggnadens Atemp pga viktning av norm värde</t>
        </r>
      </text>
    </comment>
    <comment ref="BK55" authorId="0" shapeId="0" xr:uid="{74D695EE-F734-4157-A7B6-1B1CAB70AEFD}">
      <text>
        <r>
          <rPr>
            <b/>
            <sz val="9"/>
            <color indexed="81"/>
            <rFont val="Tahoma"/>
            <family val="2"/>
          </rPr>
          <t>mari-liis:</t>
        </r>
        <r>
          <rPr>
            <sz val="9"/>
            <color indexed="81"/>
            <rFont val="Tahoma"/>
            <family val="2"/>
          </rPr>
          <t xml:space="preserve">
fördelning till hela byggnadens Atemp pga viktning av norm värde</t>
        </r>
      </text>
    </comment>
    <comment ref="BG59" authorId="0" shapeId="0" xr:uid="{1E4A613D-6783-4E47-A279-6C815E9086E3}">
      <text>
        <r>
          <rPr>
            <b/>
            <sz val="9"/>
            <color indexed="81"/>
            <rFont val="Tahoma"/>
            <family val="2"/>
          </rPr>
          <t>mari-liis:</t>
        </r>
        <r>
          <rPr>
            <sz val="9"/>
            <color indexed="81"/>
            <rFont val="Tahoma"/>
            <family val="2"/>
          </rPr>
          <t xml:space="preserve">
normaliserad energi för tappvarmvatten I årsredovisningen</t>
        </r>
      </text>
    </comment>
    <comment ref="BP59" authorId="0" shapeId="0" xr:uid="{046C2D8E-A0AF-446C-9EFC-A0CA90B17A77}">
      <text>
        <r>
          <rPr>
            <b/>
            <sz val="9"/>
            <color indexed="81"/>
            <rFont val="Tahoma"/>
            <family val="2"/>
          </rPr>
          <t>mari-liis:</t>
        </r>
        <r>
          <rPr>
            <sz val="9"/>
            <color indexed="81"/>
            <rFont val="Tahoma"/>
            <family val="2"/>
          </rPr>
          <t xml:space="preserve">
normaliserad energi för tappvarmvatten I årsredovisningen</t>
        </r>
      </text>
    </comment>
    <comment ref="AL62" authorId="0" shapeId="0" xr:uid="{69E735D1-5805-4785-B1A3-32493B5FBD5E}">
      <text>
        <r>
          <rPr>
            <b/>
            <sz val="9"/>
            <color indexed="81"/>
            <rFont val="Tahoma"/>
            <family val="2"/>
          </rPr>
          <t>mari-liis:</t>
        </r>
        <r>
          <rPr>
            <sz val="9"/>
            <color indexed="81"/>
            <rFont val="Tahoma"/>
            <family val="2"/>
          </rPr>
          <t xml:space="preserve">
Uppmätt energi för tappvarmvatten I årsredovisning</t>
        </r>
      </text>
    </comment>
    <comment ref="C80" authorId="0" shapeId="0" xr:uid="{31BBC82C-43EB-4947-BEE8-90D389BB3473}">
      <text>
        <r>
          <rPr>
            <sz val="9"/>
            <color indexed="81"/>
            <rFont val="Tahoma"/>
            <family val="2"/>
          </rPr>
          <t xml:space="preserve">Välj antal olika energiproduktionssystem som finns i byggnaden för komfortkyla. </t>
        </r>
      </text>
    </comment>
    <comment ref="I80" authorId="0" shapeId="0" xr:uid="{FF8145C7-E57F-4031-9DF3-2F6315696332}">
      <text>
        <r>
          <rPr>
            <sz val="9"/>
            <color indexed="81"/>
            <rFont val="Tahoma"/>
            <family val="2"/>
          </rPr>
          <t>Välj typ av
energiproduktionssystem som mätdata gäller för.</t>
        </r>
      </text>
    </comment>
    <comment ref="C81" authorId="0" shapeId="0" xr:uid="{7505D152-5E02-4B1B-9D49-82F9D2EE8E3A}">
      <text>
        <r>
          <rPr>
            <sz val="9"/>
            <color indexed="81"/>
            <rFont val="Tahoma"/>
            <family val="2"/>
          </rPr>
          <t>Skriv kommentarer om mätdata i rutan nedan</t>
        </r>
      </text>
    </comment>
    <comment ref="I81" authorId="0" shapeId="0" xr:uid="{4271D84F-5368-49C9-8A65-B2CEE7B35AD4}">
      <text>
        <r>
          <rPr>
            <sz val="9"/>
            <color indexed="81"/>
            <rFont val="Tahoma"/>
            <family val="2"/>
          </rPr>
          <t xml:space="preserve">Ange årsverkningsgraden för produktion av komfortkyla.  Informationen används för beräkning av levererad energi om mätdata anges som producerad energi. </t>
        </r>
      </text>
    </comment>
    <comment ref="AF81" authorId="0" shapeId="0" xr:uid="{E496102B-7956-4F9A-A460-88CB05C8F7AB}">
      <text>
        <r>
          <rPr>
            <b/>
            <sz val="9"/>
            <color indexed="81"/>
            <rFont val="Tahoma"/>
            <family val="2"/>
          </rPr>
          <t>mari-liis:</t>
        </r>
        <r>
          <rPr>
            <sz val="9"/>
            <color indexed="81"/>
            <rFont val="Tahoma"/>
            <family val="2"/>
          </rPr>
          <t xml:space="preserve">
ingår I uppmätt energi för komfortkyla I månadsredovisning</t>
        </r>
      </text>
    </comment>
    <comment ref="I82" authorId="0" shapeId="0" xr:uid="{1381F166-5BE8-4ED0-BD9A-83D5F40BDB7C}">
      <text>
        <r>
          <rPr>
            <sz val="9"/>
            <color indexed="81"/>
            <rFont val="Tahoma"/>
            <family val="2"/>
          </rPr>
          <t xml:space="preserve">Välj hur energimätare har placerats i mätsystemet. Beroende på mätarnas placering mäter de antigen hur mycket energi som produceras, eller levereras till produktionssystemet (så kallad köpt energi). </t>
        </r>
      </text>
    </comment>
    <comment ref="BN91" authorId="0" shapeId="0" xr:uid="{449EA416-335B-405C-8FBA-0092BD596157}">
      <text>
        <r>
          <rPr>
            <b/>
            <sz val="9"/>
            <color indexed="81"/>
            <rFont val="Tahoma"/>
            <family val="2"/>
          </rPr>
          <t>mari-liis:</t>
        </r>
        <r>
          <rPr>
            <sz val="9"/>
            <color indexed="81"/>
            <rFont val="Tahoma"/>
            <family val="2"/>
          </rPr>
          <t xml:space="preserve">
normaliserad energi för komfortkyla I årsredovisningen</t>
        </r>
      </text>
    </comment>
    <comment ref="BD92" authorId="0" shapeId="0" xr:uid="{5EA8E6D5-C134-465B-B138-4AEE918D903E}">
      <text>
        <r>
          <rPr>
            <b/>
            <sz val="9"/>
            <color indexed="81"/>
            <rFont val="Tahoma"/>
            <family val="2"/>
          </rPr>
          <t>mari-liis:</t>
        </r>
        <r>
          <rPr>
            <sz val="9"/>
            <color indexed="81"/>
            <rFont val="Tahoma"/>
            <family val="2"/>
          </rPr>
          <t xml:space="preserve">
normaliserad energi för komfortkyla I årsredovisningen</t>
        </r>
      </text>
    </comment>
    <comment ref="AA95" authorId="0" shapeId="0" xr:uid="{E7A82C56-1892-4093-8A64-5F6EB01AEDD6}">
      <text>
        <r>
          <rPr>
            <b/>
            <sz val="9"/>
            <color indexed="81"/>
            <rFont val="Tahoma"/>
            <family val="2"/>
          </rPr>
          <t>mari-liis:</t>
        </r>
        <r>
          <rPr>
            <sz val="9"/>
            <color indexed="81"/>
            <rFont val="Tahoma"/>
            <family val="2"/>
          </rPr>
          <t xml:space="preserve">
ingår I uppmätt energi för komfortkyla I årsredovisning</t>
        </r>
      </text>
    </comment>
    <comment ref="C103" authorId="0" shapeId="0" xr:uid="{711B4068-2FCB-497F-9AD5-EA8F31EBCB10}">
      <text>
        <r>
          <rPr>
            <sz val="9"/>
            <color indexed="81"/>
            <rFont val="Tahoma"/>
            <family val="2"/>
          </rPr>
          <t xml:space="preserve">Välj antal energiproduktionssystem som finns i byggnaden för fastighetsenergi. </t>
        </r>
      </text>
    </comment>
    <comment ref="I103" authorId="0" shapeId="0" xr:uid="{EB670B3A-7AA5-4704-A8AF-EFAA88809E48}">
      <text>
        <r>
          <rPr>
            <sz val="9"/>
            <color indexed="81"/>
            <rFont val="Tahoma"/>
            <family val="2"/>
          </rPr>
          <t xml:space="preserve">Välj energibärare för fastighetsenergi i rullgardinsmenyn  </t>
        </r>
      </text>
    </comment>
    <comment ref="AO103" authorId="0" shapeId="0" xr:uid="{A11A1D7A-3DC3-4864-905B-04413298672A}">
      <text>
        <r>
          <rPr>
            <b/>
            <sz val="9"/>
            <color indexed="81"/>
            <rFont val="Tahoma"/>
            <family val="2"/>
          </rPr>
          <t>mari-liis:</t>
        </r>
        <r>
          <rPr>
            <sz val="9"/>
            <color indexed="81"/>
            <rFont val="Tahoma"/>
            <family val="2"/>
          </rPr>
          <t xml:space="preserve">
ingår I uppmätt energi för uppvärmning I månadsredovisning</t>
        </r>
      </text>
    </comment>
    <comment ref="I104" authorId="0" shapeId="0" xr:uid="{2B698BCA-456B-4F72-A95A-0BE6B7F4EB98}">
      <text>
        <r>
          <rPr>
            <sz val="9"/>
            <color indexed="81"/>
            <rFont val="Tahoma"/>
            <family val="2"/>
          </rPr>
          <t>Välj om mätningen gäller för fastighetsenergi eller  elgolvvärme i badrum (om finns och mäts separat)</t>
        </r>
      </text>
    </comment>
    <comment ref="C105" authorId="0" shapeId="0" xr:uid="{1CF2FD32-7B3B-47BD-9C17-2ACE43AEDB41}">
      <text>
        <r>
          <rPr>
            <sz val="9"/>
            <color indexed="81"/>
            <rFont val="Tahoma"/>
            <family val="2"/>
          </rPr>
          <t xml:space="preserve">Ange om det finns komfortgolvvärme med el i badrum. 
</t>
        </r>
      </text>
    </comment>
    <comment ref="AJ105" authorId="0" shapeId="0" xr:uid="{71CEA509-8D3C-466E-A76A-59B5E71528F0}">
      <text>
        <r>
          <rPr>
            <b/>
            <sz val="9"/>
            <color indexed="81"/>
            <rFont val="Tahoma"/>
            <family val="2"/>
          </rPr>
          <t>mari-liis:</t>
        </r>
        <r>
          <rPr>
            <sz val="9"/>
            <color indexed="81"/>
            <rFont val="Tahoma"/>
            <family val="2"/>
          </rPr>
          <t xml:space="preserve">
ingår I uppmätt energi för fastighetsenergi I månadsredovisning</t>
        </r>
      </text>
    </comment>
    <comment ref="C107" authorId="0" shapeId="0" xr:uid="{15AF9A0F-EE3E-4E6E-8981-829E917A008F}">
      <text>
        <r>
          <rPr>
            <sz val="9"/>
            <color indexed="81"/>
            <rFont val="Tahoma"/>
            <family val="2"/>
          </rPr>
          <t xml:space="preserve">Ange hur energi till elgolvvärme mäts i byggnaden. Uppmätt energi för elvärmda badrumsgolv ska  adderas till  energi för uppvärmning vid normalisering av energianvändningen.
</t>
        </r>
      </text>
    </comment>
    <comment ref="C109" authorId="0" shapeId="0" xr:uid="{AE7CD46A-53CD-4C2A-B08B-E685614B53EC}">
      <text>
        <r>
          <rPr>
            <sz val="9"/>
            <color indexed="81"/>
            <rFont val="Tahoma"/>
            <family val="2"/>
          </rPr>
          <t>Ange antal badrum där elgolvvärme är installerad</t>
        </r>
      </text>
    </comment>
    <comment ref="C111" authorId="0" shapeId="0" xr:uid="{AE9D9496-2C18-4AD5-980C-D7F1109B981D}">
      <text>
        <r>
          <rPr>
            <sz val="9"/>
            <color indexed="81"/>
            <rFont val="Tahoma"/>
            <family val="2"/>
          </rPr>
          <t>Skriv kommentarer om mätdata i rutan nedan</t>
        </r>
      </text>
    </comment>
    <comment ref="AJ117" authorId="0" shapeId="0" xr:uid="{B912AFB6-6A2F-4D68-991B-B9D1FB0F98FF}">
      <text>
        <r>
          <rPr>
            <b/>
            <sz val="9"/>
            <color indexed="81"/>
            <rFont val="Tahoma"/>
            <family val="2"/>
          </rPr>
          <t>mari-liis:</t>
        </r>
        <r>
          <rPr>
            <sz val="9"/>
            <color indexed="81"/>
            <rFont val="Tahoma"/>
            <family val="2"/>
          </rPr>
          <t xml:space="preserve">
ingår I uppmätt energi för fastighetsenergi I årsredovisningen</t>
        </r>
      </text>
    </comment>
    <comment ref="AO117" authorId="0" shapeId="0" xr:uid="{C9F8ED40-3645-4E4B-8EC3-B8487D8C5AD9}">
      <text>
        <r>
          <rPr>
            <b/>
            <sz val="9"/>
            <color indexed="81"/>
            <rFont val="Tahoma"/>
            <family val="2"/>
          </rPr>
          <t>mari-liis:</t>
        </r>
        <r>
          <rPr>
            <sz val="9"/>
            <color indexed="81"/>
            <rFont val="Tahoma"/>
            <family val="2"/>
          </rPr>
          <t xml:space="preserve">
ingår I uppmätt energi för uppvärmning I årsredovisningen</t>
        </r>
      </text>
    </comment>
    <comment ref="BE122" authorId="0" shapeId="0" xr:uid="{1990171F-FEDE-487A-BD28-913108B2A6E0}">
      <text>
        <r>
          <rPr>
            <b/>
            <sz val="9"/>
            <color indexed="81"/>
            <rFont val="Tahoma"/>
            <family val="2"/>
          </rPr>
          <t>mari-liis:</t>
        </r>
        <r>
          <rPr>
            <sz val="9"/>
            <color indexed="81"/>
            <rFont val="Tahoma"/>
            <family val="2"/>
          </rPr>
          <t xml:space="preserve">
normaliserad energi för fastighetsenergi I årsredovisningen</t>
        </r>
      </text>
    </comment>
    <comment ref="BO122" authorId="0" shapeId="0" xr:uid="{0351179A-9852-42C7-BD42-D30045D3CAC9}">
      <text>
        <r>
          <rPr>
            <b/>
            <sz val="9"/>
            <color indexed="81"/>
            <rFont val="Tahoma"/>
            <family val="2"/>
          </rPr>
          <t>mari-liis:</t>
        </r>
        <r>
          <rPr>
            <sz val="9"/>
            <color indexed="81"/>
            <rFont val="Tahoma"/>
            <family val="2"/>
          </rPr>
          <t xml:space="preserve">
normaliserad energi för fastighetsenergi I årsredovisningen</t>
        </r>
      </text>
    </comment>
    <comment ref="C129" authorId="0" shapeId="0" xr:uid="{2E169764-749C-43A4-A4B2-8FBA8A6E4808}">
      <text>
        <r>
          <rPr>
            <sz val="9"/>
            <color indexed="81"/>
            <rFont val="Tahoma"/>
            <family val="2"/>
          </rPr>
          <t xml:space="preserve">Välj antal olika system som finns i byggnaden för egenproducerad och/eller återvunnen energi. </t>
        </r>
      </text>
    </comment>
    <comment ref="I129" authorId="0" shapeId="0" xr:uid="{155446A9-8D1C-4299-8A38-63331A855785}">
      <text>
        <r>
          <rPr>
            <sz val="9"/>
            <color indexed="81"/>
            <rFont val="Tahoma"/>
            <family val="2"/>
          </rPr>
          <t>Välj typ av
energiproduktionssystem eller återvunnen energi som mätdata gäller för</t>
        </r>
      </text>
    </comment>
    <comment ref="C130" authorId="0" shapeId="0" xr:uid="{1DA79061-919B-482C-81D9-8849B55E50B4}">
      <text>
        <r>
          <rPr>
            <sz val="9"/>
            <color indexed="81"/>
            <rFont val="Tahoma"/>
            <family val="2"/>
          </rPr>
          <t>Skriv kommentarer om mätdata i rutan nedan</t>
        </r>
      </text>
    </comment>
    <comment ref="I130" authorId="0" shapeId="0" xr:uid="{94A285E2-5D54-4B0C-8131-907FCCF82583}">
      <text>
        <r>
          <rPr>
            <sz val="9"/>
            <color indexed="81"/>
            <rFont val="Tahoma"/>
            <family val="2"/>
          </rPr>
          <t xml:space="preserve">Välj för vilken energipost egenproducerad eller återvunnen energi kan tillgodoräknas </t>
        </r>
      </text>
    </comment>
    <comment ref="I131" authorId="0" shapeId="0" xr:uid="{42E89B3D-9A53-4252-8A4A-0E7BC6A41923}">
      <text>
        <r>
          <rPr>
            <sz val="9"/>
            <color indexed="81"/>
            <rFont val="Tahoma"/>
            <family val="2"/>
          </rPr>
          <t>Välj var energimätaren för tillgodogjord egenproducerad energi installerats i förhållande till övriga energimätare för mätning av olika energiposter. Mer om detta i informationstexten vid sidan om.</t>
        </r>
      </text>
    </comment>
    <comment ref="C154" authorId="0" shapeId="0" xr:uid="{D25BF351-D5F2-4D59-924D-892B3C99F16F}">
      <text>
        <r>
          <rPr>
            <sz val="9"/>
            <color indexed="81"/>
            <rFont val="Tahoma"/>
            <family val="2"/>
          </rPr>
          <t>Ange om det finns tillgänglig mätdata för hushållsenergi alt. verksamhetsenergi</t>
        </r>
      </text>
    </comment>
    <comment ref="I154" authorId="0" shapeId="0" xr:uid="{70B65B26-F9E0-45D2-984B-43840BEFA7D2}">
      <text>
        <r>
          <rPr>
            <sz val="9"/>
            <color indexed="81"/>
            <rFont val="Tahoma"/>
            <family val="2"/>
          </rPr>
          <t>Välj energibärare för verksamhetsenergi eller hushållsenergi</t>
        </r>
      </text>
    </comment>
    <comment ref="I155" authorId="0" shapeId="0" xr:uid="{6D09F8E8-01C9-43DC-8DC0-BBEE34209382}">
      <text>
        <r>
          <rPr>
            <sz val="9"/>
            <color indexed="81"/>
            <rFont val="Tahoma"/>
            <family val="2"/>
          </rPr>
          <t>Ange om mätningen gäller för hushållsenergi eller verksamhetsenergi</t>
        </r>
      </text>
    </comment>
    <comment ref="C156" authorId="0" shapeId="0" xr:uid="{19F7BA3C-3688-4B57-A78B-6D28EB70ED85}">
      <text>
        <r>
          <rPr>
            <sz val="9"/>
            <color indexed="81"/>
            <rFont val="Tahoma"/>
            <family val="2"/>
          </rPr>
          <t xml:space="preserve">Välj antal olika energiproduktionssystem som finns i byggnaden för verksamhetsenergi eller hushållsenergi
</t>
        </r>
      </text>
    </comment>
    <comment ref="C157" authorId="0" shapeId="0" xr:uid="{70B8C0FC-9638-48F6-9509-5CEEE6FD87A6}">
      <text>
        <r>
          <rPr>
            <sz val="9"/>
            <color indexed="81"/>
            <rFont val="Tahoma"/>
            <family val="2"/>
          </rPr>
          <t>Skriv kommentarer om mätdata i rutan nedan</t>
        </r>
      </text>
    </comment>
    <comment ref="AB164" authorId="0" shapeId="0" xr:uid="{B99D20C0-A832-4D05-99EC-FEE620C89539}">
      <text>
        <r>
          <rPr>
            <b/>
            <sz val="9"/>
            <color indexed="81"/>
            <rFont val="Tahoma"/>
            <family val="2"/>
          </rPr>
          <t>mari-liis:</t>
        </r>
        <r>
          <rPr>
            <sz val="9"/>
            <color indexed="81"/>
            <rFont val="Tahoma"/>
            <family val="2"/>
          </rPr>
          <t xml:space="preserve">
ingår I sammanställning på resultatsida</t>
        </r>
      </text>
    </comment>
    <comment ref="AB165" authorId="0" shapeId="0" xr:uid="{284133EF-DC50-453E-A6B1-73A3098B06C3}">
      <text>
        <r>
          <rPr>
            <b/>
            <sz val="9"/>
            <color indexed="81"/>
            <rFont val="Tahoma"/>
            <family val="2"/>
          </rPr>
          <t>mari-liis:</t>
        </r>
        <r>
          <rPr>
            <sz val="9"/>
            <color indexed="81"/>
            <rFont val="Tahoma"/>
            <family val="2"/>
          </rPr>
          <t xml:space="preserve">
ingår I sammanställning på resultatsida</t>
        </r>
      </text>
    </comment>
    <comment ref="BD166" authorId="0" shapeId="0" xr:uid="{456B8277-DD90-400F-B743-B47B20533EF5}">
      <text>
        <r>
          <rPr>
            <b/>
            <sz val="9"/>
            <color indexed="81"/>
            <rFont val="Tahoma"/>
            <family val="2"/>
          </rPr>
          <t>mari-liis:</t>
        </r>
        <r>
          <rPr>
            <sz val="9"/>
            <color indexed="81"/>
            <rFont val="Tahoma"/>
            <family val="2"/>
          </rPr>
          <t xml:space="preserve">
ingår I sammanställning på resultatsida</t>
        </r>
      </text>
    </comment>
    <comment ref="F176" authorId="0" shapeId="0" xr:uid="{791BD7CA-2E10-4539-80F6-B9E3193FDC8B}">
      <text>
        <r>
          <rPr>
            <sz val="9"/>
            <color indexed="81"/>
            <rFont val="Tahoma"/>
            <family val="2"/>
          </rPr>
          <t>Skriv kommentarer om mätdata i rutan nedan</t>
        </r>
      </text>
    </comment>
    <comment ref="C177" authorId="0" shapeId="0" xr:uid="{B58B2877-09B6-4254-82CF-185296F6B741}">
      <text>
        <r>
          <rPr>
            <sz val="9"/>
            <color indexed="81"/>
            <rFont val="Tahoma"/>
            <family val="2"/>
          </rPr>
          <t xml:space="preserve">Ange om det finns tillgänglig mätdata för inomhustemperaturer under uppvärmningssäsongen. För normalisering av mätvärden enligt Boverkets föreskrifter BEN behöver även representativa inomhustemperaturer mätas under uppvärmningssäsongen. Temperaturmätningar i verksamhetsutrymmen eller lägenheter ska representera minst 20 % av den tempererade golvarean (Atemp) och mätas med minst en givare per våningsplan. För lokalbyggnader finns alternativet att temperaturmätning istället utgörs av en kombination av temperaturmätning i frånluft under drifttid och några representativa temperaturgivare i verksamhetsutrymmen under övrig tid. 
</t>
        </r>
      </text>
    </comment>
    <comment ref="C179" authorId="0" shapeId="0" xr:uid="{7EDC7EA2-F555-48FC-AAAA-5386977AB395}">
      <text>
        <r>
          <rPr>
            <sz val="9"/>
            <color indexed="81"/>
            <rFont val="Tahoma"/>
            <family val="2"/>
          </rPr>
          <t xml:space="preserve">Välj i rullgardinsmenyn startmånad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0" authorId="0" shapeId="0" xr:uid="{7F1C8EF1-6753-49E5-8F97-B8C3DAA03703}">
      <text>
        <r>
          <rPr>
            <sz val="9"/>
            <color indexed="81"/>
            <rFont val="Tahoma"/>
            <family val="2"/>
          </rPr>
          <t xml:space="preserve">Välj i rullgardinsmenyn slutmånad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2" authorId="0" shapeId="0" xr:uid="{D559A373-AFD0-46CE-AD4B-04D4EEE3715C}">
      <text>
        <r>
          <rPr>
            <sz val="9"/>
            <color indexed="81"/>
            <rFont val="Tahoma"/>
            <family val="2"/>
          </rPr>
          <t>Ange vilken byggnadsdel/ verksamhetsutrymme som mätvärdet gäller för</t>
        </r>
      </text>
    </comment>
    <comment ref="C183" authorId="0" shapeId="0" xr:uid="{E3FEDDC4-B440-49BF-9D56-58862D2B51C2}">
      <text>
        <r>
          <rPr>
            <sz val="9"/>
            <color indexed="81"/>
            <rFont val="Tahoma"/>
            <family val="2"/>
          </rPr>
          <t>Ange areaandel av Atemp som mätvärdet gäller för</t>
        </r>
      </text>
    </comment>
    <comment ref="C184" authorId="0" shapeId="0" xr:uid="{436269D5-78E3-4B05-AA17-C08E41901566}">
      <text>
        <r>
          <rPr>
            <sz val="9"/>
            <color indexed="81"/>
            <rFont val="Tahoma"/>
            <family val="2"/>
          </rPr>
          <t xml:space="preserve">Ange uppmätt genomsnittlig inomhustemperatur under uppvärmningssäsongen </t>
        </r>
      </text>
    </comment>
    <comment ref="C186" authorId="0" shapeId="0" xr:uid="{436169AC-A7DE-41E1-9D65-C6DC5D942E68}">
      <text>
        <r>
          <rPr>
            <sz val="9"/>
            <color indexed="81"/>
            <rFont val="Tahoma"/>
            <family val="2"/>
          </rPr>
          <t>Ange vilken byggnadsdel/ verksamhetsutrymme som mätvärdet gäller för</t>
        </r>
      </text>
    </comment>
    <comment ref="C187" authorId="0" shapeId="0" xr:uid="{259605CA-1C1B-4D97-BD9C-89E89D2D65D2}">
      <text>
        <r>
          <rPr>
            <sz val="9"/>
            <color indexed="81"/>
            <rFont val="Tahoma"/>
            <family val="2"/>
          </rPr>
          <t>Ange areaandel av Atemp som mätvärdet gäller för</t>
        </r>
      </text>
    </comment>
    <comment ref="C188" authorId="0" shapeId="0" xr:uid="{A656E5EC-C0C2-4389-9DA1-6407EA727D2F}">
      <text>
        <r>
          <rPr>
            <sz val="9"/>
            <color indexed="81"/>
            <rFont val="Tahoma"/>
            <family val="2"/>
          </rPr>
          <t xml:space="preserve">Ange uppmätt genomsnittlig inomhustemperatur under uppvärmningssäsongen </t>
        </r>
      </text>
    </comment>
    <comment ref="C190" authorId="0" shapeId="0" xr:uid="{A2EA95E5-EA56-4012-83BB-9F344454E202}">
      <text>
        <r>
          <rPr>
            <sz val="9"/>
            <color indexed="81"/>
            <rFont val="Tahoma"/>
            <family val="2"/>
          </rPr>
          <t>Ange vilken byggnadsdel/ verksamhetsutrymme som mätvärdet gäller för</t>
        </r>
      </text>
    </comment>
    <comment ref="C191" authorId="0" shapeId="0" xr:uid="{F9F35A34-4DC3-4D46-B032-6A07ED99567A}">
      <text>
        <r>
          <rPr>
            <sz val="9"/>
            <color indexed="81"/>
            <rFont val="Tahoma"/>
            <family val="2"/>
          </rPr>
          <t>Ange areaandel av Atemp som mätvärdet gäller för</t>
        </r>
      </text>
    </comment>
    <comment ref="C192" authorId="0" shapeId="0" xr:uid="{537917CC-A465-428A-B31D-C682FEB2A325}">
      <text>
        <r>
          <rPr>
            <sz val="9"/>
            <color indexed="81"/>
            <rFont val="Tahoma"/>
            <family val="2"/>
          </rPr>
          <t xml:space="preserve">Ange uppmätt genomsnittlig inomhustemperatur under uppvärmningssäsongen </t>
        </r>
      </text>
    </comment>
    <comment ref="C198" authorId="0" shapeId="0" xr:uid="{4B0BBB01-93CC-496A-BE9C-6B89E9733175}">
      <text>
        <r>
          <rPr>
            <sz val="9"/>
            <color indexed="81"/>
            <rFont val="Tahoma"/>
            <family val="2"/>
          </rPr>
          <t xml:space="preserve">Normal inomhustemperatur enligt GreenBuilding krav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mari-liis</author>
  </authors>
  <commentList>
    <comment ref="BO8" authorId="0" shapeId="0" xr:uid="{06CB77AE-93EB-471C-BEA4-ECE58FC20A59}">
      <text>
        <r>
          <rPr>
            <b/>
            <sz val="9"/>
            <color indexed="81"/>
            <rFont val="Tahoma"/>
            <family val="2"/>
          </rPr>
          <t>mari-liis:</t>
        </r>
        <r>
          <rPr>
            <sz val="9"/>
            <color indexed="81"/>
            <rFont val="Tahoma"/>
            <family val="2"/>
          </rPr>
          <t xml:space="preserve">
om inget mätdata finns eller inget mätdata är inmatad eller om medeltemp är lägre än 10 grader (dvs fel inmatning) ska övertemp vara 0, dvs temp byggnad ska vara samma som viktat medel BEN så att ingen korrigering görs
</t>
        </r>
      </text>
    </comment>
    <comment ref="C14" authorId="0" shapeId="0" xr:uid="{E8608F5A-2740-46B0-BE26-EB88C9D65D39}">
      <text>
        <r>
          <rPr>
            <sz val="9"/>
            <color indexed="81"/>
            <rFont val="Tahoma"/>
            <family val="2"/>
          </rPr>
          <t xml:space="preserve">Välj i rullgardinsmenyn antal olika värmekällor, dvs. värmeproduktionssystem som finns i byggnaden för uppvärmning. </t>
        </r>
      </text>
    </comment>
    <comment ref="F14" authorId="0" shapeId="0" xr:uid="{51A7F3AB-0972-49B6-B4F5-98F1C5C55461}">
      <text>
        <r>
          <rPr>
            <sz val="9"/>
            <color indexed="81"/>
            <rFont val="Tahoma"/>
            <family val="2"/>
          </rPr>
          <t>Välj startår för mätperioden i rullgardinsmenyn.</t>
        </r>
      </text>
    </comment>
    <comment ref="I14" authorId="0" shapeId="0" xr:uid="{ED48F3D3-1659-4BB5-8D62-5524E351F428}">
      <text>
        <r>
          <rPr>
            <sz val="9"/>
            <color indexed="81"/>
            <rFont val="Tahoma"/>
            <family val="2"/>
          </rPr>
          <t>Välj värmekälla i rullgardinsmenyn, dvs. typ av
värmeproduktionssystem som mätdata gäller för.</t>
        </r>
      </text>
    </comment>
    <comment ref="C15" authorId="0" shapeId="0" xr:uid="{03010B59-1593-4315-893F-AC448ABA8B47}">
      <text>
        <r>
          <rPr>
            <sz val="9"/>
            <color indexed="81"/>
            <rFont val="Tahoma"/>
            <family val="2"/>
          </rPr>
          <t>Skriv kommentarer om mätdata i rutan nedan</t>
        </r>
      </text>
    </comment>
    <comment ref="F15" authorId="0" shapeId="0" xr:uid="{FF80C171-3ABC-43EA-B1BE-1476C7EF431A}">
      <text>
        <r>
          <rPr>
            <sz val="9"/>
            <color indexed="81"/>
            <rFont val="Tahoma"/>
            <family val="2"/>
          </rPr>
          <t>Välj startmånad för mätperioden i rullgardinsmenyn. Mätvärden ska anges för en sammanhängande 12 månaders period.</t>
        </r>
      </text>
    </comment>
    <comment ref="I15" authorId="0" shapeId="0" xr:uid="{62760A48-3770-4D9F-8BF2-B16BC4547DBB}">
      <text>
        <r>
          <rPr>
            <sz val="9"/>
            <color indexed="81"/>
            <rFont val="Tahoma"/>
            <family val="2"/>
          </rPr>
          <t xml:space="preserve">Ange årsverkningsgraden hos värmekällan för produktion av
värme. Informationen används för beräkning av levererad energi om mätdata anges som producerad energi och för normalisering av energianvändningen. </t>
        </r>
      </text>
    </comment>
    <comment ref="I16" authorId="0" shapeId="0" xr:uid="{A5C84AC9-9C45-45DD-A25D-C2166BBF2882}">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 </t>
        </r>
      </text>
    </comment>
    <comment ref="AU17" authorId="0" shapeId="0" xr:uid="{A6E30F07-0BD7-41B7-B1F2-5E42601B1618}">
      <text>
        <r>
          <rPr>
            <b/>
            <sz val="9"/>
            <color indexed="81"/>
            <rFont val="Tahoma"/>
            <family val="2"/>
          </rPr>
          <t>mari-liis:</t>
        </r>
        <r>
          <rPr>
            <sz val="9"/>
            <color indexed="81"/>
            <rFont val="Tahoma"/>
            <family val="2"/>
          </rPr>
          <t xml:space="preserve">
ingår I uppmätt energi för uppvärmning månadsredovisning</t>
        </r>
      </text>
    </comment>
    <comment ref="AL37" authorId="0" shapeId="0" xr:uid="{A46C1585-D0DF-45DD-A518-1F8227A496B4}">
      <text>
        <r>
          <rPr>
            <b/>
            <sz val="9"/>
            <color indexed="81"/>
            <rFont val="Tahoma"/>
            <family val="2"/>
          </rPr>
          <t>mari-liis:</t>
        </r>
        <r>
          <rPr>
            <sz val="9"/>
            <color indexed="81"/>
            <rFont val="Tahoma"/>
            <family val="2"/>
          </rPr>
          <t xml:space="preserve">
ingår I uppmätt energi för uppvärmning årsredovisning</t>
        </r>
      </text>
    </comment>
    <comment ref="DD37" authorId="0" shapeId="0" xr:uid="{18C58314-B76F-4D32-9E7C-2AF2CFAB4C30}">
      <text>
        <r>
          <rPr>
            <b/>
            <sz val="9"/>
            <color indexed="81"/>
            <rFont val="Tahoma"/>
            <family val="2"/>
          </rPr>
          <t>mari-liis:</t>
        </r>
        <r>
          <rPr>
            <sz val="9"/>
            <color indexed="81"/>
            <rFont val="Tahoma"/>
            <family val="2"/>
          </rPr>
          <t xml:space="preserve">
omräknat till levererad energi med kombinerad verkningsgrad för produktion av värme och VV</t>
        </r>
      </text>
    </comment>
    <comment ref="C40" authorId="0" shapeId="0" xr:uid="{5AF0A84E-EB6F-4316-A343-9B0AF8500152}">
      <text>
        <r>
          <rPr>
            <sz val="9"/>
            <color indexed="81"/>
            <rFont val="Tahoma"/>
            <family val="2"/>
          </rPr>
          <t xml:space="preserve">Välj i rullgardinsmenyn antal olika värmekällor/ värmeproduktionssystem som finns i byggnaden för produktion av tappvarmvatten
</t>
        </r>
      </text>
    </comment>
    <comment ref="I40" authorId="0" shapeId="0" xr:uid="{EA3DAD86-B9AD-4776-8412-8BD1D2F20455}">
      <text>
        <r>
          <rPr>
            <sz val="9"/>
            <color indexed="81"/>
            <rFont val="Tahoma"/>
            <family val="2"/>
          </rPr>
          <t>Välj värmekälla, dvs. typ av
värmeproduktionssystem som mätdata gäller för.</t>
        </r>
      </text>
    </comment>
    <comment ref="DI40" authorId="0" shapeId="0" xr:uid="{C3969058-5565-49C6-B071-789BFAA1CE3E}">
      <text>
        <r>
          <rPr>
            <b/>
            <sz val="9"/>
            <color indexed="81"/>
            <rFont val="Tahoma"/>
            <family val="2"/>
          </rPr>
          <t>mari-liis:</t>
        </r>
        <r>
          <rPr>
            <sz val="9"/>
            <color indexed="81"/>
            <rFont val="Tahoma"/>
            <family val="2"/>
          </rPr>
          <t xml:space="preserve">
normaliserads energi för uppvärmnning I årsredovisningen</t>
        </r>
      </text>
    </comment>
    <comment ref="DR40" authorId="0" shapeId="0" xr:uid="{E3F9B45B-44CC-47BF-B413-F1916956E28B}">
      <text>
        <r>
          <rPr>
            <b/>
            <sz val="9"/>
            <color indexed="81"/>
            <rFont val="Tahoma"/>
            <family val="2"/>
          </rPr>
          <t>mari-liis:</t>
        </r>
        <r>
          <rPr>
            <sz val="9"/>
            <color indexed="81"/>
            <rFont val="Tahoma"/>
            <family val="2"/>
          </rPr>
          <t xml:space="preserve">
normaliserads energi för uppvärmnning I årsredovisningen</t>
        </r>
      </text>
    </comment>
    <comment ref="C41" authorId="0" shapeId="0" xr:uid="{DBBC3E39-9F09-48E2-B743-BAAF8DE7968D}">
      <text>
        <r>
          <rPr>
            <sz val="9"/>
            <color indexed="81"/>
            <rFont val="Tahoma"/>
            <family val="2"/>
          </rPr>
          <t>I nya byggnader ska förluster för varmvattencirkulation kunna mätas separat. I äldre byggnader är det inte ovanligt att de inkluderas i uppmätt energin för uppvärmning eller uppmätt energi för tappvarmvatten. Välj i rullgardinsmenyn hur mätning i VVS-förluster sker i den specifika byggnaden.</t>
        </r>
      </text>
    </comment>
    <comment ref="I41" authorId="0" shapeId="0" xr:uid="{4B4C48AC-11CA-4EEE-8F1F-B0B221E30022}">
      <text>
        <r>
          <rPr>
            <sz val="9"/>
            <color indexed="81"/>
            <rFont val="Tahoma"/>
            <family val="2"/>
          </rPr>
          <t xml:space="preserve">Ange årsverkningsgraden hos värmekällan för produktion av tappvarmvatten. Informationen används för beräkning av levererad energi om mätdata anges som producerad energi och för normalisering av energianvändningen. </t>
        </r>
      </text>
    </comment>
    <comment ref="AU41" authorId="0" shapeId="0" xr:uid="{3718359D-7219-4AC6-8B39-D16A92A65B07}">
      <text>
        <r>
          <rPr>
            <b/>
            <sz val="9"/>
            <color indexed="81"/>
            <rFont val="Tahoma"/>
            <family val="2"/>
          </rPr>
          <t>mari-liis:</t>
        </r>
        <r>
          <rPr>
            <sz val="9"/>
            <color indexed="81"/>
            <rFont val="Tahoma"/>
            <family val="2"/>
          </rPr>
          <t xml:space="preserve">
Uppmätt energi för tappvarmvatten I månadsvis redovisning</t>
        </r>
      </text>
    </comment>
    <comment ref="C42" authorId="0" shapeId="0" xr:uid="{2BBCFBAE-C835-4E5A-80BD-0CE19AE112F6}">
      <text>
        <r>
          <rPr>
            <sz val="9"/>
            <color indexed="81"/>
            <rFont val="Tahoma"/>
            <family val="2"/>
          </rPr>
          <t>Ange om det finns energieffektiva tappvarmvattenarmaturer i byggnaden. Välj "Finns" bara om merparten av tappvarmvattenarmaturer i byggnaden uppfyller energiklass A enligt SS 820000:2010 och SS 820001:2010.Välj "Finns ej" om information saknas eller om merparten av armaturer inte uppfyller energiklass A.</t>
        </r>
      </text>
    </comment>
    <comment ref="I42" authorId="0" shapeId="0" xr:uid="{F9D6DBBA-E4A5-4ED9-9DBD-1586D8BD11BC}">
      <text>
        <r>
          <rPr>
            <sz val="9"/>
            <color indexed="81"/>
            <rFont val="Tahoma"/>
            <family val="2"/>
          </rPr>
          <t xml:space="preserve">Välj hur energimätare har placerats i mätsystemet. Beroende på mätarnas placering mäter de antigen hur mycket energi som produceras, eller levereras till värmekällan (så kallad köpt energi). </t>
        </r>
      </text>
    </comment>
    <comment ref="C43" authorId="0" shapeId="0" xr:uid="{5A64F889-7A1E-494E-A63E-C53F39862659}">
      <text>
        <r>
          <rPr>
            <sz val="9"/>
            <color indexed="81"/>
            <rFont val="Tahoma"/>
            <family val="2"/>
          </rPr>
          <t>Skriv kommentarer om mätdata i rutan nedan</t>
        </r>
      </text>
    </comment>
    <comment ref="BB55" authorId="0" shapeId="0" xr:uid="{7061452C-3EFB-4673-B19A-63677E0BD54E}">
      <text>
        <r>
          <rPr>
            <b/>
            <sz val="9"/>
            <color indexed="81"/>
            <rFont val="Tahoma"/>
            <family val="2"/>
          </rPr>
          <t>mari-liis:</t>
        </r>
        <r>
          <rPr>
            <sz val="9"/>
            <color indexed="81"/>
            <rFont val="Tahoma"/>
            <family val="2"/>
          </rPr>
          <t xml:space="preserve">
fördelning till hela byggnadens Atemp pga viktning av norm värde</t>
        </r>
      </text>
    </comment>
    <comment ref="BK55" authorId="0" shapeId="0" xr:uid="{86DE7331-CE87-4AF9-B5B7-B04948834356}">
      <text>
        <r>
          <rPr>
            <b/>
            <sz val="9"/>
            <color indexed="81"/>
            <rFont val="Tahoma"/>
            <family val="2"/>
          </rPr>
          <t>mari-liis:</t>
        </r>
        <r>
          <rPr>
            <sz val="9"/>
            <color indexed="81"/>
            <rFont val="Tahoma"/>
            <family val="2"/>
          </rPr>
          <t xml:space="preserve">
fördelning till hela byggnadens Atemp pga viktning av norm värde</t>
        </r>
      </text>
    </comment>
    <comment ref="BG59" authorId="0" shapeId="0" xr:uid="{7015DFBA-234F-449C-AD34-90DCD9A4E3A6}">
      <text>
        <r>
          <rPr>
            <b/>
            <sz val="9"/>
            <color indexed="81"/>
            <rFont val="Tahoma"/>
            <family val="2"/>
          </rPr>
          <t>mari-liis:</t>
        </r>
        <r>
          <rPr>
            <sz val="9"/>
            <color indexed="81"/>
            <rFont val="Tahoma"/>
            <family val="2"/>
          </rPr>
          <t xml:space="preserve">
normaliserad energi för tappvarmvatten I årsredovisningen</t>
        </r>
      </text>
    </comment>
    <comment ref="BP59" authorId="0" shapeId="0" xr:uid="{C1192791-89FE-4D02-BB19-A0979139D249}">
      <text>
        <r>
          <rPr>
            <b/>
            <sz val="9"/>
            <color indexed="81"/>
            <rFont val="Tahoma"/>
            <family val="2"/>
          </rPr>
          <t>mari-liis:</t>
        </r>
        <r>
          <rPr>
            <sz val="9"/>
            <color indexed="81"/>
            <rFont val="Tahoma"/>
            <family val="2"/>
          </rPr>
          <t xml:space="preserve">
normaliserad energi för tappvarmvatten I årsredovisningen</t>
        </r>
      </text>
    </comment>
    <comment ref="AL62" authorId="0" shapeId="0" xr:uid="{7AAC1BBD-5C2F-43DC-A0AE-67109538EF18}">
      <text>
        <r>
          <rPr>
            <b/>
            <sz val="9"/>
            <color indexed="81"/>
            <rFont val="Tahoma"/>
            <family val="2"/>
          </rPr>
          <t>mari-liis:</t>
        </r>
        <r>
          <rPr>
            <sz val="9"/>
            <color indexed="81"/>
            <rFont val="Tahoma"/>
            <family val="2"/>
          </rPr>
          <t xml:space="preserve">
Uppmätt energi för tappvarmvatten I årsredovisning</t>
        </r>
      </text>
    </comment>
    <comment ref="C80" authorId="0" shapeId="0" xr:uid="{B35563E8-B549-4485-A119-161064B584D4}">
      <text>
        <r>
          <rPr>
            <sz val="9"/>
            <color indexed="81"/>
            <rFont val="Tahoma"/>
            <family val="2"/>
          </rPr>
          <t xml:space="preserve">Välj antal olika energiproduktionssystem som finns i byggnaden för komfortkyla. </t>
        </r>
      </text>
    </comment>
    <comment ref="I80" authorId="0" shapeId="0" xr:uid="{23374334-F60C-495B-B45A-688342A83576}">
      <text>
        <r>
          <rPr>
            <sz val="9"/>
            <color indexed="81"/>
            <rFont val="Tahoma"/>
            <family val="2"/>
          </rPr>
          <t>Välj typ av
energiproduktionssystem som mätdata gäller för.</t>
        </r>
      </text>
    </comment>
    <comment ref="C81" authorId="0" shapeId="0" xr:uid="{C812C8B8-B63F-4872-BDCF-A5123D09BB7F}">
      <text>
        <r>
          <rPr>
            <sz val="9"/>
            <color indexed="81"/>
            <rFont val="Tahoma"/>
            <family val="2"/>
          </rPr>
          <t>Skriv kommentarer om mätdata i rutan nedan</t>
        </r>
      </text>
    </comment>
    <comment ref="I81" authorId="0" shapeId="0" xr:uid="{56C0B4CC-A8E3-4789-BCE8-57020B2926FC}">
      <text>
        <r>
          <rPr>
            <sz val="9"/>
            <color indexed="81"/>
            <rFont val="Tahoma"/>
            <family val="2"/>
          </rPr>
          <t xml:space="preserve">Ange årsverkningsgraden för produktion av komfortkyla.  Informationen används för beräkning av levererad energi om mätdata anges som producerad energi. </t>
        </r>
      </text>
    </comment>
    <comment ref="AF81" authorId="0" shapeId="0" xr:uid="{0AF0577A-96C6-4FA9-94D7-4B2FE2F2EA2B}">
      <text>
        <r>
          <rPr>
            <b/>
            <sz val="9"/>
            <color indexed="81"/>
            <rFont val="Tahoma"/>
            <family val="2"/>
          </rPr>
          <t>mari-liis:</t>
        </r>
        <r>
          <rPr>
            <sz val="9"/>
            <color indexed="81"/>
            <rFont val="Tahoma"/>
            <family val="2"/>
          </rPr>
          <t xml:space="preserve">
ingår I uppmätt energi för komfortkyla I månadsredovisning</t>
        </r>
      </text>
    </comment>
    <comment ref="I82" authorId="0" shapeId="0" xr:uid="{C58C6F6A-7B80-4D3C-B2A1-CCB93A6B090F}">
      <text>
        <r>
          <rPr>
            <sz val="9"/>
            <color indexed="81"/>
            <rFont val="Tahoma"/>
            <family val="2"/>
          </rPr>
          <t xml:space="preserve">Välj hur energimätare har placerats i mätsystemet. Beroende på mätarnas placering mäter de antigen hur mycket energi som produceras, eller levereras till produktionssystemet (så kallad köpt energi). </t>
        </r>
      </text>
    </comment>
    <comment ref="BN91" authorId="0" shapeId="0" xr:uid="{2E173AD0-DBFF-461A-97CC-3AEC92FA47FB}">
      <text>
        <r>
          <rPr>
            <b/>
            <sz val="9"/>
            <color indexed="81"/>
            <rFont val="Tahoma"/>
            <family val="2"/>
          </rPr>
          <t>mari-liis:</t>
        </r>
        <r>
          <rPr>
            <sz val="9"/>
            <color indexed="81"/>
            <rFont val="Tahoma"/>
            <family val="2"/>
          </rPr>
          <t xml:space="preserve">
normaliserad energi för komfortkyla I årsredovisningen</t>
        </r>
      </text>
    </comment>
    <comment ref="BD92" authorId="0" shapeId="0" xr:uid="{A5960A4B-8647-4C02-A2FF-9043C7329849}">
      <text>
        <r>
          <rPr>
            <b/>
            <sz val="9"/>
            <color indexed="81"/>
            <rFont val="Tahoma"/>
            <family val="2"/>
          </rPr>
          <t>mari-liis:</t>
        </r>
        <r>
          <rPr>
            <sz val="9"/>
            <color indexed="81"/>
            <rFont val="Tahoma"/>
            <family val="2"/>
          </rPr>
          <t xml:space="preserve">
normaliserad energi för komfortkyla I årsredovisningen</t>
        </r>
      </text>
    </comment>
    <comment ref="AA95" authorId="0" shapeId="0" xr:uid="{206295BD-7BF0-4E56-9C43-442AFDF1640F}">
      <text>
        <r>
          <rPr>
            <b/>
            <sz val="9"/>
            <color indexed="81"/>
            <rFont val="Tahoma"/>
            <family val="2"/>
          </rPr>
          <t>mari-liis:</t>
        </r>
        <r>
          <rPr>
            <sz val="9"/>
            <color indexed="81"/>
            <rFont val="Tahoma"/>
            <family val="2"/>
          </rPr>
          <t xml:space="preserve">
ingår I uppmätt energi för komfortkyla I årsredovisning</t>
        </r>
      </text>
    </comment>
    <comment ref="C103" authorId="0" shapeId="0" xr:uid="{EC7270BF-6650-48CE-8DAD-2236A3F28905}">
      <text>
        <r>
          <rPr>
            <sz val="9"/>
            <color indexed="81"/>
            <rFont val="Tahoma"/>
            <family val="2"/>
          </rPr>
          <t xml:space="preserve">Välj antal energiproduktionssystem som finns i byggnaden för fastighetsenergi. </t>
        </r>
      </text>
    </comment>
    <comment ref="I103" authorId="0" shapeId="0" xr:uid="{EDE961F8-5EE1-4A61-A4B3-C6E1FF03732C}">
      <text>
        <r>
          <rPr>
            <sz val="9"/>
            <color indexed="81"/>
            <rFont val="Tahoma"/>
            <family val="2"/>
          </rPr>
          <t xml:space="preserve">Välj energibärare för fastighetsenergi i rullgardinsmenyn  </t>
        </r>
      </text>
    </comment>
    <comment ref="AO103" authorId="0" shapeId="0" xr:uid="{61C893E6-CA8E-462F-BA9B-5D7C7F7CE66F}">
      <text>
        <r>
          <rPr>
            <b/>
            <sz val="9"/>
            <color indexed="81"/>
            <rFont val="Tahoma"/>
            <family val="2"/>
          </rPr>
          <t>mari-liis:</t>
        </r>
        <r>
          <rPr>
            <sz val="9"/>
            <color indexed="81"/>
            <rFont val="Tahoma"/>
            <family val="2"/>
          </rPr>
          <t xml:space="preserve">
ingår I uppmätt energi för uppvärmning I månadsredovisning</t>
        </r>
      </text>
    </comment>
    <comment ref="I104" authorId="0" shapeId="0" xr:uid="{6825A377-BB81-4E93-92F2-9A5B0D98373B}">
      <text>
        <r>
          <rPr>
            <sz val="9"/>
            <color indexed="81"/>
            <rFont val="Tahoma"/>
            <family val="2"/>
          </rPr>
          <t>Välj om mätningen gäller för fastighetsenergi eller  elgolvvärme i badrum (om finns och mäts separat)</t>
        </r>
      </text>
    </comment>
    <comment ref="C105" authorId="0" shapeId="0" xr:uid="{A86238F1-E88A-4498-B2D8-6AF5A66FE7B1}">
      <text>
        <r>
          <rPr>
            <sz val="9"/>
            <color indexed="81"/>
            <rFont val="Tahoma"/>
            <family val="2"/>
          </rPr>
          <t xml:space="preserve">Ange om det finns komfortgolvvärme med el i badrum. 
</t>
        </r>
      </text>
    </comment>
    <comment ref="AJ105" authorId="0" shapeId="0" xr:uid="{27F11CD0-4526-4A6E-8C0D-0576D75D21F9}">
      <text>
        <r>
          <rPr>
            <b/>
            <sz val="9"/>
            <color indexed="81"/>
            <rFont val="Tahoma"/>
            <family val="2"/>
          </rPr>
          <t>mari-liis:</t>
        </r>
        <r>
          <rPr>
            <sz val="9"/>
            <color indexed="81"/>
            <rFont val="Tahoma"/>
            <family val="2"/>
          </rPr>
          <t xml:space="preserve">
ingår I uppmätt energi för fastighetsenergi I månadsredovisning</t>
        </r>
      </text>
    </comment>
    <comment ref="C107" authorId="0" shapeId="0" xr:uid="{618CAFF0-9DB9-4032-ACD9-B6496AAFEA2A}">
      <text>
        <r>
          <rPr>
            <sz val="9"/>
            <color indexed="81"/>
            <rFont val="Tahoma"/>
            <family val="2"/>
          </rPr>
          <t xml:space="preserve">Ange hur energi till elgolvvärme mäts i byggnaden. Uppmätt energi för elvärmda badrumsgolv ska  adderas till  energi för uppvärmning vid normalisering av energianvändningen.
</t>
        </r>
      </text>
    </comment>
    <comment ref="C109" authorId="0" shapeId="0" xr:uid="{69AD0F66-1FFD-4EF0-85CB-31A5AB3AB57D}">
      <text>
        <r>
          <rPr>
            <sz val="9"/>
            <color indexed="81"/>
            <rFont val="Tahoma"/>
            <family val="2"/>
          </rPr>
          <t>Ange antal badrum där elgolvvärme är installerad</t>
        </r>
      </text>
    </comment>
    <comment ref="C111" authorId="0" shapeId="0" xr:uid="{68D73D72-EC84-49A8-928A-4E344253C42D}">
      <text>
        <r>
          <rPr>
            <sz val="9"/>
            <color indexed="81"/>
            <rFont val="Tahoma"/>
            <family val="2"/>
          </rPr>
          <t>Skriv kommentarer om mätdata i rutan nedan</t>
        </r>
      </text>
    </comment>
    <comment ref="AJ117" authorId="0" shapeId="0" xr:uid="{37F34778-A526-41B7-93B1-9B66C1F84650}">
      <text>
        <r>
          <rPr>
            <b/>
            <sz val="9"/>
            <color indexed="81"/>
            <rFont val="Tahoma"/>
            <family val="2"/>
          </rPr>
          <t>mari-liis:</t>
        </r>
        <r>
          <rPr>
            <sz val="9"/>
            <color indexed="81"/>
            <rFont val="Tahoma"/>
            <family val="2"/>
          </rPr>
          <t xml:space="preserve">
ingår I uppmätt energi för fastighetsenergi I årsredovisningen</t>
        </r>
      </text>
    </comment>
    <comment ref="AO117" authorId="0" shapeId="0" xr:uid="{0C7A5C5D-4697-4A8D-8DD2-C15EACDF73E9}">
      <text>
        <r>
          <rPr>
            <b/>
            <sz val="9"/>
            <color indexed="81"/>
            <rFont val="Tahoma"/>
            <family val="2"/>
          </rPr>
          <t>mari-liis:</t>
        </r>
        <r>
          <rPr>
            <sz val="9"/>
            <color indexed="81"/>
            <rFont val="Tahoma"/>
            <family val="2"/>
          </rPr>
          <t xml:space="preserve">
ingår I uppmätt energi för uppvärmning I årsredovisningen</t>
        </r>
      </text>
    </comment>
    <comment ref="BE122" authorId="0" shapeId="0" xr:uid="{33B4F2C9-A04B-4EE1-B788-CF3302421028}">
      <text>
        <r>
          <rPr>
            <b/>
            <sz val="9"/>
            <color indexed="81"/>
            <rFont val="Tahoma"/>
            <family val="2"/>
          </rPr>
          <t>mari-liis:</t>
        </r>
        <r>
          <rPr>
            <sz val="9"/>
            <color indexed="81"/>
            <rFont val="Tahoma"/>
            <family val="2"/>
          </rPr>
          <t xml:space="preserve">
normaliserad energi för fastighetsenergi I årsredovisningen</t>
        </r>
      </text>
    </comment>
    <comment ref="BO122" authorId="0" shapeId="0" xr:uid="{8DCD5880-650C-420E-B094-148E38B41838}">
      <text>
        <r>
          <rPr>
            <b/>
            <sz val="9"/>
            <color indexed="81"/>
            <rFont val="Tahoma"/>
            <family val="2"/>
          </rPr>
          <t>mari-liis:</t>
        </r>
        <r>
          <rPr>
            <sz val="9"/>
            <color indexed="81"/>
            <rFont val="Tahoma"/>
            <family val="2"/>
          </rPr>
          <t xml:space="preserve">
normaliserad energi för fastighetsenergi I årsredovisningen</t>
        </r>
      </text>
    </comment>
    <comment ref="C129" authorId="0" shapeId="0" xr:uid="{49306A48-0C8C-4A92-81C3-D9768DDD067D}">
      <text>
        <r>
          <rPr>
            <sz val="9"/>
            <color indexed="81"/>
            <rFont val="Tahoma"/>
            <family val="2"/>
          </rPr>
          <t xml:space="preserve">Välj antal olika system som finns i byggnaden för egenproducerad och/eller återvunnen energi. </t>
        </r>
      </text>
    </comment>
    <comment ref="I129" authorId="0" shapeId="0" xr:uid="{2B772554-AA48-47A3-8C12-A49E16549C54}">
      <text>
        <r>
          <rPr>
            <sz val="9"/>
            <color indexed="81"/>
            <rFont val="Tahoma"/>
            <family val="2"/>
          </rPr>
          <t>Välj typ av
energiproduktionssystem eller återvunnen energi som mätdata gäller för</t>
        </r>
      </text>
    </comment>
    <comment ref="C130" authorId="0" shapeId="0" xr:uid="{B12561CD-AFE3-46C5-ADEA-4D3AE965BE72}">
      <text>
        <r>
          <rPr>
            <sz val="9"/>
            <color indexed="81"/>
            <rFont val="Tahoma"/>
            <family val="2"/>
          </rPr>
          <t>Skriv kommentarer om mätdata i rutan nedan</t>
        </r>
      </text>
    </comment>
    <comment ref="I130" authorId="0" shapeId="0" xr:uid="{A6CDB5E1-90CE-4045-85B6-313BA2B06CDD}">
      <text>
        <r>
          <rPr>
            <sz val="9"/>
            <color indexed="81"/>
            <rFont val="Tahoma"/>
            <family val="2"/>
          </rPr>
          <t xml:space="preserve">Välj för vilken energipost egenproducerad eller återvunnen energi kan tillgodoräknas </t>
        </r>
      </text>
    </comment>
    <comment ref="I131" authorId="0" shapeId="0" xr:uid="{B3E70BF8-0101-4CA9-A260-EDAF6FBA3FEF}">
      <text>
        <r>
          <rPr>
            <sz val="9"/>
            <color indexed="81"/>
            <rFont val="Tahoma"/>
            <family val="2"/>
          </rPr>
          <t>Välj var energimätaren för tillgodogjord egenproducerad energi installerats i förhållande till övriga energimätare för mätning av olika energiposter. Mer om detta i informationstexten vid sidan om.</t>
        </r>
      </text>
    </comment>
    <comment ref="C154" authorId="0" shapeId="0" xr:uid="{EAF3732E-CC13-49CE-947B-CB28084733C9}">
      <text>
        <r>
          <rPr>
            <sz val="9"/>
            <color indexed="81"/>
            <rFont val="Tahoma"/>
            <family val="2"/>
          </rPr>
          <t>Ange om det finns tillgänglig mätdata för hushållsenergi alt. verksamhetsenergi</t>
        </r>
      </text>
    </comment>
    <comment ref="I154" authorId="0" shapeId="0" xr:uid="{470D703E-EDC3-4D27-A816-544309370423}">
      <text>
        <r>
          <rPr>
            <sz val="9"/>
            <color indexed="81"/>
            <rFont val="Tahoma"/>
            <family val="2"/>
          </rPr>
          <t>Välj energibärare för verksamhetsenergi eller hushållsenergi</t>
        </r>
      </text>
    </comment>
    <comment ref="I155" authorId="0" shapeId="0" xr:uid="{6E1B28BF-DF29-455D-9E8C-87147B5109F6}">
      <text>
        <r>
          <rPr>
            <sz val="9"/>
            <color indexed="81"/>
            <rFont val="Tahoma"/>
            <family val="2"/>
          </rPr>
          <t>Ange om mätningen gäller för hushållsenergi eller verksamhetsenergi</t>
        </r>
      </text>
    </comment>
    <comment ref="C156" authorId="0" shapeId="0" xr:uid="{95EFB24F-5BD8-448C-A55A-11698CC1365E}">
      <text>
        <r>
          <rPr>
            <sz val="9"/>
            <color indexed="81"/>
            <rFont val="Tahoma"/>
            <family val="2"/>
          </rPr>
          <t xml:space="preserve">Välj antal olika energiproduktionssystem som finns i byggnaden för verksamhetsenergi eller hushållsenergi
</t>
        </r>
      </text>
    </comment>
    <comment ref="C157" authorId="0" shapeId="0" xr:uid="{23A9D4A3-3B89-4286-AF04-2DC65AEFF4E5}">
      <text>
        <r>
          <rPr>
            <sz val="9"/>
            <color indexed="81"/>
            <rFont val="Tahoma"/>
            <family val="2"/>
          </rPr>
          <t>Skriv kommentarer om mätdata i rutan nedan</t>
        </r>
      </text>
    </comment>
    <comment ref="AB164" authorId="0" shapeId="0" xr:uid="{DB9249B7-5F9B-4748-B01A-1608A1CAD066}">
      <text>
        <r>
          <rPr>
            <b/>
            <sz val="9"/>
            <color indexed="81"/>
            <rFont val="Tahoma"/>
            <family val="2"/>
          </rPr>
          <t>mari-liis:</t>
        </r>
        <r>
          <rPr>
            <sz val="9"/>
            <color indexed="81"/>
            <rFont val="Tahoma"/>
            <family val="2"/>
          </rPr>
          <t xml:space="preserve">
ingår I sammanställning på resultatsida</t>
        </r>
      </text>
    </comment>
    <comment ref="AB165" authorId="0" shapeId="0" xr:uid="{E3723352-5545-4F35-9828-90381B4570E6}">
      <text>
        <r>
          <rPr>
            <b/>
            <sz val="9"/>
            <color indexed="81"/>
            <rFont val="Tahoma"/>
            <family val="2"/>
          </rPr>
          <t>mari-liis:</t>
        </r>
        <r>
          <rPr>
            <sz val="9"/>
            <color indexed="81"/>
            <rFont val="Tahoma"/>
            <family val="2"/>
          </rPr>
          <t xml:space="preserve">
ingår I sammanställning på resultatsida</t>
        </r>
      </text>
    </comment>
    <comment ref="BD166" authorId="0" shapeId="0" xr:uid="{703E1511-0430-4F4F-B63C-745CE369D5F4}">
      <text>
        <r>
          <rPr>
            <b/>
            <sz val="9"/>
            <color indexed="81"/>
            <rFont val="Tahoma"/>
            <family val="2"/>
          </rPr>
          <t>mari-liis:</t>
        </r>
        <r>
          <rPr>
            <sz val="9"/>
            <color indexed="81"/>
            <rFont val="Tahoma"/>
            <family val="2"/>
          </rPr>
          <t xml:space="preserve">
ingår I sammanställning på resultatsida</t>
        </r>
      </text>
    </comment>
    <comment ref="F176" authorId="0" shapeId="0" xr:uid="{D344428B-4101-477A-A2CD-9757F8EAC9CC}">
      <text>
        <r>
          <rPr>
            <sz val="9"/>
            <color indexed="81"/>
            <rFont val="Tahoma"/>
            <family val="2"/>
          </rPr>
          <t>Skriv kommentarer om mätdata i rutan nedan</t>
        </r>
      </text>
    </comment>
    <comment ref="C177" authorId="0" shapeId="0" xr:uid="{6E21088B-B015-42B0-B7C5-C898D269EF17}">
      <text>
        <r>
          <rPr>
            <sz val="9"/>
            <color indexed="81"/>
            <rFont val="Tahoma"/>
            <family val="2"/>
          </rPr>
          <t xml:space="preserve">Ange om det finns tillgänglig mätdata för inomhustemperaturer under uppvärmningssäsongen. För normalisering av mätvärden enligt Boverkets föreskrifter BEN behöver även representativa inomhustemperaturer mätas under uppvärmningssäsongen. Temperaturmätningar i verksamhetsutrymmen eller lägenheter ska representera minst 20 % av den tempererade golvarean (Atemp) och mätas med minst en givare per våningsplan. För lokalbyggnader finns alternativet att temperaturmätning istället utgörs av en kombination av temperaturmätning i frånluft under drifttid och några representativa temperaturgivare i verksamhetsutrymmen under övrig tid. 
</t>
        </r>
      </text>
    </comment>
    <comment ref="C179" authorId="0" shapeId="0" xr:uid="{DD4080F9-0F2C-476B-97B7-F9B553971AAE}">
      <text>
        <r>
          <rPr>
            <sz val="9"/>
            <color indexed="81"/>
            <rFont val="Tahoma"/>
            <family val="2"/>
          </rPr>
          <t xml:space="preserve">Välj i rullgardinsmenyn startmånad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0" authorId="0" shapeId="0" xr:uid="{99945B9F-EFB2-41B4-AA62-267E1CF4235C}">
      <text>
        <r>
          <rPr>
            <sz val="9"/>
            <color indexed="81"/>
            <rFont val="Tahoma"/>
            <family val="2"/>
          </rPr>
          <t xml:space="preserve">Välj i rullgardinsmenyn slutmånad för uppvärmningssäsongen,
Uppvärmningssäsongens start och slut ska anges även om separat mätdata för uppmätta inomhustemperaturer inte finns. Informationen behövs  för normalisering av energianvändning på grund av avvikelser i internlaster. </t>
        </r>
      </text>
    </comment>
    <comment ref="C182" authorId="0" shapeId="0" xr:uid="{4BCC9D97-56A4-4EFB-8C47-AD69A353530A}">
      <text>
        <r>
          <rPr>
            <sz val="9"/>
            <color indexed="81"/>
            <rFont val="Tahoma"/>
            <family val="2"/>
          </rPr>
          <t>Ange vilken byggnadsdel/ verksamhetsutrymme som mätvärdet gäller för</t>
        </r>
      </text>
    </comment>
    <comment ref="C183" authorId="0" shapeId="0" xr:uid="{B5FD350A-D9B8-4826-912B-9ECD107B1830}">
      <text>
        <r>
          <rPr>
            <sz val="9"/>
            <color indexed="81"/>
            <rFont val="Tahoma"/>
            <family val="2"/>
          </rPr>
          <t>Ange areaandel av Atemp som mätvärdet gäller för</t>
        </r>
      </text>
    </comment>
    <comment ref="C184" authorId="0" shapeId="0" xr:uid="{37058005-B991-49B8-BB8E-F409E7F761A7}">
      <text>
        <r>
          <rPr>
            <sz val="9"/>
            <color indexed="81"/>
            <rFont val="Tahoma"/>
            <family val="2"/>
          </rPr>
          <t xml:space="preserve">Ange uppmätt genomsnittlig inomhustemperatur under uppvärmningssäsongen </t>
        </r>
      </text>
    </comment>
    <comment ref="C186" authorId="0" shapeId="0" xr:uid="{F88569BE-C133-44DB-8D19-8BFAB26261D5}">
      <text>
        <r>
          <rPr>
            <sz val="9"/>
            <color indexed="81"/>
            <rFont val="Tahoma"/>
            <family val="2"/>
          </rPr>
          <t>Ange vilken byggnadsdel/ verksamhetsutrymme som mätvärdet gäller för</t>
        </r>
      </text>
    </comment>
    <comment ref="C187" authorId="0" shapeId="0" xr:uid="{D9A4EFCB-C08B-4361-B12F-D04325CB4494}">
      <text>
        <r>
          <rPr>
            <sz val="9"/>
            <color indexed="81"/>
            <rFont val="Tahoma"/>
            <family val="2"/>
          </rPr>
          <t>Ange areaandel av Atemp som mätvärdet gäller för</t>
        </r>
      </text>
    </comment>
    <comment ref="C188" authorId="0" shapeId="0" xr:uid="{AEF0EFA7-A041-465A-B028-5A1A1F7D796E}">
      <text>
        <r>
          <rPr>
            <sz val="9"/>
            <color indexed="81"/>
            <rFont val="Tahoma"/>
            <family val="2"/>
          </rPr>
          <t xml:space="preserve">Ange uppmätt genomsnittlig inomhustemperatur under uppvärmningssäsongen </t>
        </r>
      </text>
    </comment>
    <comment ref="C190" authorId="0" shapeId="0" xr:uid="{65D98F14-9353-4E9D-AFDA-556F9DF61D3C}">
      <text>
        <r>
          <rPr>
            <sz val="9"/>
            <color indexed="81"/>
            <rFont val="Tahoma"/>
            <family val="2"/>
          </rPr>
          <t>Ange vilken byggnadsdel/ verksamhetsutrymme som mätvärdet gäller för</t>
        </r>
      </text>
    </comment>
    <comment ref="C191" authorId="0" shapeId="0" xr:uid="{407475CC-2939-474A-85EA-5482F905EE59}">
      <text>
        <r>
          <rPr>
            <sz val="9"/>
            <color indexed="81"/>
            <rFont val="Tahoma"/>
            <family val="2"/>
          </rPr>
          <t>Ange areaandel av Atemp som mätvärdet gäller för</t>
        </r>
      </text>
    </comment>
    <comment ref="C192" authorId="0" shapeId="0" xr:uid="{301A156A-00C4-40FE-AEBE-25EED84633F0}">
      <text>
        <r>
          <rPr>
            <sz val="9"/>
            <color indexed="81"/>
            <rFont val="Tahoma"/>
            <family val="2"/>
          </rPr>
          <t xml:space="preserve">Ange uppmätt genomsnittlig inomhustemperatur under uppvärmningssäsongen </t>
        </r>
      </text>
    </comment>
    <comment ref="C198" authorId="0" shapeId="0" xr:uid="{F34A1A14-6DF2-405F-BF87-563A1057858C}">
      <text>
        <r>
          <rPr>
            <sz val="9"/>
            <color indexed="81"/>
            <rFont val="Tahoma"/>
            <family val="2"/>
          </rPr>
          <t xml:space="preserve">Normal inomhustemperatur enligt GreenBuilding krav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Karin Glader</author>
    <author>mari-liis</author>
  </authors>
  <commentList>
    <comment ref="D25" authorId="0" shapeId="0" xr:uid="{31B5D207-9930-4C86-9056-62261C3A8121}">
      <text>
        <r>
          <rPr>
            <sz val="9"/>
            <color indexed="81"/>
            <rFont val="Tahoma"/>
            <family val="2"/>
          </rPr>
          <t>Totala under beräkningsperioden på 
50 år</t>
        </r>
      </text>
    </comment>
    <comment ref="D26" authorId="0" shapeId="0" xr:uid="{F34DE1E7-6029-4CF2-8E89-EDBE882568DC}">
      <text>
        <r>
          <rPr>
            <sz val="9"/>
            <color indexed="81"/>
            <rFont val="Tahoma"/>
            <family val="2"/>
          </rPr>
          <t>Totala under beräkningsperioden på 
50 år</t>
        </r>
      </text>
    </comment>
    <comment ref="D27" authorId="0" shapeId="0" xr:uid="{79629F9F-15D8-466E-BC18-A06BA3B4E16F}">
      <text>
        <r>
          <rPr>
            <sz val="9"/>
            <color indexed="81"/>
            <rFont val="Tahoma"/>
            <family val="2"/>
          </rPr>
          <t>Totala under aktuellt mätår.</t>
        </r>
      </text>
    </comment>
    <comment ref="D29" authorId="0" shapeId="0" xr:uid="{4560CD6E-E2AC-4021-A738-B17FCFE9CF4F}">
      <text>
        <r>
          <rPr>
            <sz val="9"/>
            <color indexed="81"/>
            <rFont val="Tahoma"/>
            <family val="2"/>
          </rPr>
          <t>Totala under beräkningsperioden på 
50 år</t>
        </r>
      </text>
    </comment>
    <comment ref="D30" authorId="0" shapeId="0" xr:uid="{BE3D6CA5-1C5B-497F-BA10-3E8FDD902DB2}">
      <text>
        <r>
          <rPr>
            <sz val="9"/>
            <color indexed="81"/>
            <rFont val="Tahoma"/>
            <family val="2"/>
          </rPr>
          <t>Totala under beräkningsperioden på 
50 år</t>
        </r>
      </text>
    </comment>
    <comment ref="D31" authorId="0" shapeId="0" xr:uid="{3813C37E-EBE0-4FA9-97DE-7DDB46523511}">
      <text>
        <r>
          <rPr>
            <sz val="9"/>
            <color indexed="81"/>
            <rFont val="Tahoma"/>
            <family val="2"/>
          </rPr>
          <t>Totala under aktuellt mätår.</t>
        </r>
      </text>
    </comment>
    <comment ref="F39" authorId="1" shapeId="0" xr:uid="{A0AA07C8-2165-417F-A195-D0E0B1B35517}">
      <text>
        <r>
          <rPr>
            <sz val="9"/>
            <color indexed="81"/>
            <rFont val="Tahoma"/>
            <family val="2"/>
          </rPr>
          <t>skriv kommentarer om normalisering av byggnadens energianvändning i rutan nedan</t>
        </r>
      </text>
    </comment>
    <comment ref="F56" authorId="1" shapeId="0" xr:uid="{F6B86DAC-983E-4301-BFFB-15A151CF5CCC}">
      <text>
        <r>
          <rPr>
            <sz val="9"/>
            <color indexed="81"/>
            <rFont val="Tahoma"/>
            <family val="2"/>
          </rPr>
          <t>skriv kommentarer om normalisering av byggnadens energianvändning i rutan nedan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mari-liis</author>
  </authors>
  <commentList>
    <comment ref="B14" authorId="0" shapeId="0" xr:uid="{ED744C69-1314-44F5-894C-9324AC23E12F}">
      <text>
        <r>
          <rPr>
            <sz val="9"/>
            <color indexed="81"/>
            <rFont val="Tahoma"/>
            <family val="2"/>
          </rPr>
          <t>Klicka på gröna cellen och välj från rullgardinsmenyn om värdena i kolumnen gäller för referensåret, certifieringsåret eller återrapporteringsåret.</t>
        </r>
      </text>
    </comment>
    <comment ref="B15" authorId="0" shapeId="0" xr:uid="{1A953FFC-6427-4B3A-A621-B148EA8EA094}">
      <text>
        <r>
          <rPr>
            <sz val="9"/>
            <color indexed="81"/>
            <rFont val="Tahoma"/>
            <family val="2"/>
          </rPr>
          <t>Klicka på gröna cellen och välj från rullgardinsmeny mätår som gäller för rapporteringsperioden</t>
        </r>
      </text>
    </comment>
    <comment ref="B16" authorId="0" shapeId="0" xr:uid="{F79B3B7B-8826-4585-84AD-E41C5F9B8970}">
      <text>
        <r>
          <rPr>
            <sz val="9"/>
            <color indexed="81"/>
            <rFont val="Tahoma"/>
            <family val="2"/>
          </rPr>
          <t>Ange beräknat primärenergital som gäller för rapporteringperioden</t>
        </r>
      </text>
    </comment>
    <comment ref="B17" authorId="0" shapeId="0" xr:uid="{BA7F27B8-023E-47ED-A125-B167AB14FDA6}">
      <text>
        <r>
          <rPr>
            <sz val="9"/>
            <color indexed="81"/>
            <rFont val="Tahoma"/>
            <family val="2"/>
          </rPr>
          <t>Ange byggnadens energi- klass enligt beräknat primärenergital (gäller för ny byggnad eller befintlig byggnad Alternativ 2) eller minskning av primärenergital i % fämfört med referensåret (gäller för befintlig byggnad Alternativ 1)</t>
        </r>
      </text>
    </comment>
    <comment ref="B18" authorId="0" shapeId="0" xr:uid="{ED4D2681-C84F-4FC2-84F3-930BC36A75A1}">
      <text>
        <r>
          <rPr>
            <sz val="9"/>
            <color indexed="81"/>
            <rFont val="Tahoma"/>
            <family val="2"/>
          </rPr>
          <t>Ange om kriteriet 1.1 i GreenBuilding 8.0 uppfylls. Valet görs från rullgardinsmenyn.</t>
        </r>
      </text>
    </comment>
    <comment ref="B19" authorId="0" shapeId="0" xr:uid="{4B99624D-8CC1-4599-A89F-D6C2C9CACAB6}">
      <text>
        <r>
          <rPr>
            <sz val="9"/>
            <color indexed="81"/>
            <rFont val="Tahoma"/>
            <family val="2"/>
          </rPr>
          <t>Vid återrapportering beräknas fram avvikelse jämfört med målvärdet (certifieringsåret). Bara avvikelse i energiprestanda som överskrider 5% redovisas här.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mari-liis</author>
  </authors>
  <commentList>
    <comment ref="DD359" authorId="0" shapeId="0" xr:uid="{432C3039-D4B2-40C2-936F-41BAA561DE76}">
      <text>
        <r>
          <rPr>
            <b/>
            <sz val="9"/>
            <color indexed="81"/>
            <rFont val="Tahoma"/>
            <family val="2"/>
          </rPr>
          <t>mari-liis:</t>
        </r>
        <r>
          <rPr>
            <sz val="9"/>
            <color indexed="81"/>
            <rFont val="Tahoma"/>
            <family val="2"/>
          </rPr>
          <t xml:space="preserve">
Ändrat till viktat medel av norm temp bostäder och lokaler</t>
        </r>
      </text>
    </comment>
  </commentList>
</comments>
</file>

<file path=xl/sharedStrings.xml><?xml version="1.0" encoding="utf-8"?>
<sst xmlns="http://schemas.openxmlformats.org/spreadsheetml/2006/main" count="5983" uniqueCount="1473">
  <si>
    <t>Programmerare:</t>
  </si>
  <si>
    <t>Ansvarig:</t>
  </si>
  <si>
    <t>Utvecklat av:</t>
  </si>
  <si>
    <t>Versionsnummer:</t>
  </si>
  <si>
    <t>Datum:</t>
  </si>
  <si>
    <t>CIT Energy Management AB</t>
  </si>
  <si>
    <t>Tommy Sundström</t>
  </si>
  <si>
    <t>Mari-Liis Maripuu</t>
  </si>
  <si>
    <t>GreenBuilding 8.0</t>
  </si>
  <si>
    <t>År</t>
  </si>
  <si>
    <t>Byggnad</t>
  </si>
  <si>
    <t>Klimatort</t>
  </si>
  <si>
    <t>Typ av verksamhet</t>
  </si>
  <si>
    <t>Verkninsgrad</t>
  </si>
  <si>
    <t>Fjärrvärme</t>
  </si>
  <si>
    <t>Värmepump</t>
  </si>
  <si>
    <t>Solfångare</t>
  </si>
  <si>
    <t>Solceller</t>
  </si>
  <si>
    <t>Energi till fastighetsel</t>
  </si>
  <si>
    <t>Månad</t>
  </si>
  <si>
    <t xml:space="preserve">Energieffektiva tappvarmvattenarmaturer </t>
  </si>
  <si>
    <t>Total byggnadens energianvändning</t>
  </si>
  <si>
    <t>Energi för uppvärmning</t>
  </si>
  <si>
    <t>Energi för tappvarmvatten</t>
  </si>
  <si>
    <t>Energi för komfortkyla</t>
  </si>
  <si>
    <t>Fjärrkyla</t>
  </si>
  <si>
    <t>Kompressorkyla</t>
  </si>
  <si>
    <r>
      <t>Uppmätt energianvändning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</si>
  <si>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r>
      <t>Normaliserad energianvändning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</si>
  <si>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Fördelning</t>
  </si>
  <si>
    <t>norm år</t>
  </si>
  <si>
    <t xml:space="preserve">Abisko </t>
  </si>
  <si>
    <t>Adelsö</t>
  </si>
  <si>
    <t>Ale</t>
  </si>
  <si>
    <t>Alingsås</t>
  </si>
  <si>
    <t>Älmhult</t>
  </si>
  <si>
    <t>Älvdalen</t>
  </si>
  <si>
    <t>Alvesta</t>
  </si>
  <si>
    <t>Älvsbyn</t>
  </si>
  <si>
    <t>Åmal</t>
  </si>
  <si>
    <t>Ängelholm</t>
  </si>
  <si>
    <t>Ånge</t>
  </si>
  <si>
    <t>Arboga</t>
  </si>
  <si>
    <t>Åre</t>
  </si>
  <si>
    <t>Årjang</t>
  </si>
  <si>
    <t>Arjeplog</t>
  </si>
  <si>
    <t>Arvidsjaur</t>
  </si>
  <si>
    <t>Arvika</t>
  </si>
  <si>
    <t>Åseda</t>
  </si>
  <si>
    <t>Askersund</t>
  </si>
  <si>
    <t>Åtvidaberg</t>
  </si>
  <si>
    <t>Avesta</t>
  </si>
  <si>
    <t>Båstad</t>
  </si>
  <si>
    <t>Bengtsfors</t>
  </si>
  <si>
    <t>Bjurholm</t>
  </si>
  <si>
    <t>Bjuv</t>
  </si>
  <si>
    <t>Boden</t>
  </si>
  <si>
    <t>Bollebygd</t>
  </si>
  <si>
    <t>Bollnäs</t>
  </si>
  <si>
    <t>Borås</t>
  </si>
  <si>
    <t>Borgholm</t>
  </si>
  <si>
    <t>Borlänge</t>
  </si>
  <si>
    <t xml:space="preserve">Botkyrka </t>
  </si>
  <si>
    <t>Bräcke</t>
  </si>
  <si>
    <t>Broby</t>
  </si>
  <si>
    <t>Bromölla</t>
  </si>
  <si>
    <t>Burlov</t>
  </si>
  <si>
    <t>Charlottenberg</t>
  </si>
  <si>
    <t>Danderyd</t>
  </si>
  <si>
    <t>Degerfors</t>
  </si>
  <si>
    <t xml:space="preserve">Delsbo </t>
  </si>
  <si>
    <t>Dorotea</t>
  </si>
  <si>
    <t>Edsbyn</t>
  </si>
  <si>
    <t>Ed</t>
  </si>
  <si>
    <t>Eksjö</t>
  </si>
  <si>
    <t>Emmaboda</t>
  </si>
  <si>
    <t>Enköping</t>
  </si>
  <si>
    <t>Eskilstuna</t>
  </si>
  <si>
    <t>Eslöv</t>
  </si>
  <si>
    <t>Essunga</t>
  </si>
  <si>
    <t>Fagersta</t>
  </si>
  <si>
    <t>Falkenberg</t>
  </si>
  <si>
    <t>Falköping</t>
  </si>
  <si>
    <t>Falsterbo</t>
  </si>
  <si>
    <t>Falun</t>
  </si>
  <si>
    <t>Färgelanda</t>
  </si>
  <si>
    <t>Filipstad</t>
  </si>
  <si>
    <t>Films Kyrkby</t>
  </si>
  <si>
    <t>Finspång</t>
  </si>
  <si>
    <t>Flen</t>
  </si>
  <si>
    <t xml:space="preserve">Föllinge </t>
  </si>
  <si>
    <t>Forshaga</t>
  </si>
  <si>
    <t>Fredrika</t>
  </si>
  <si>
    <t>Gäddede</t>
  </si>
  <si>
    <t>Gagnef</t>
  </si>
  <si>
    <t>Gällivare</t>
  </si>
  <si>
    <t>Gävle</t>
  </si>
  <si>
    <t>Gislaved</t>
  </si>
  <si>
    <t>Gnesta</t>
  </si>
  <si>
    <t>Göteborg</t>
  </si>
  <si>
    <t>Götene</t>
  </si>
  <si>
    <t>Grästorp</t>
  </si>
  <si>
    <t>Habo</t>
  </si>
  <si>
    <t>Hagfors</t>
  </si>
  <si>
    <t>Hällefors</t>
  </si>
  <si>
    <t>Hallsberg</t>
  </si>
  <si>
    <t>Hallstahammar</t>
  </si>
  <si>
    <t>Halmstad</t>
  </si>
  <si>
    <t>Hammarö</t>
  </si>
  <si>
    <t>Hammarstrand</t>
  </si>
  <si>
    <t>Haninge</t>
  </si>
  <si>
    <t>Haparanda</t>
  </si>
  <si>
    <t>Härnosand</t>
  </si>
  <si>
    <t>Härryda</t>
  </si>
  <si>
    <t>Hässleholm</t>
  </si>
  <si>
    <t>Hedemora</t>
  </si>
  <si>
    <t>Hede</t>
  </si>
  <si>
    <t>Helsingborg</t>
  </si>
  <si>
    <t>Hemavan</t>
  </si>
  <si>
    <t>Hemse</t>
  </si>
  <si>
    <t>Herrljunga</t>
  </si>
  <si>
    <t>Hjo</t>
  </si>
  <si>
    <t>Hofors</t>
  </si>
  <si>
    <t>Höganäs</t>
  </si>
  <si>
    <t>Hogsby</t>
  </si>
  <si>
    <t>Höör</t>
  </si>
  <si>
    <t xml:space="preserve">Hörby </t>
  </si>
  <si>
    <t>Hova</t>
  </si>
  <si>
    <t>Huddinge</t>
  </si>
  <si>
    <t>Hudiksvall</t>
  </si>
  <si>
    <t>Hultsfred</t>
  </si>
  <si>
    <t>Hyltebruk</t>
  </si>
  <si>
    <t>Järfalla</t>
  </si>
  <si>
    <t>Jokkmokk</t>
  </si>
  <si>
    <t>Jönkoping</t>
  </si>
  <si>
    <t>Junsele</t>
  </si>
  <si>
    <t>Kalix</t>
  </si>
  <si>
    <t>Kalmar</t>
  </si>
  <si>
    <t>Karesuando</t>
  </si>
  <si>
    <t>Karlsborg</t>
  </si>
  <si>
    <t>Karlshamn</t>
  </si>
  <si>
    <t>Karlskoga</t>
  </si>
  <si>
    <t>Karlskrona</t>
  </si>
  <si>
    <t>Karlstad</t>
  </si>
  <si>
    <t>Katrineholm</t>
  </si>
  <si>
    <t>Kavlinge</t>
  </si>
  <si>
    <t>Kil</t>
  </si>
  <si>
    <t>Kinna</t>
  </si>
  <si>
    <t>Kiruna</t>
  </si>
  <si>
    <t>Kisa</t>
  </si>
  <si>
    <t>Klippan</t>
  </si>
  <si>
    <t>Knivsta</t>
  </si>
  <si>
    <t>Köping</t>
  </si>
  <si>
    <t>Kopparberg</t>
  </si>
  <si>
    <t>Kramfors</t>
  </si>
  <si>
    <t>Kristianstad</t>
  </si>
  <si>
    <t>Kristinehamn</t>
  </si>
  <si>
    <t>Kumla</t>
  </si>
  <si>
    <t>Kungalv</t>
  </si>
  <si>
    <t>Kungsbacka</t>
  </si>
  <si>
    <t>Kungsör</t>
  </si>
  <si>
    <t>Kvikkjokk</t>
  </si>
  <si>
    <t>Laholm</t>
  </si>
  <si>
    <t>Landskrona</t>
  </si>
  <si>
    <t>Laxa</t>
  </si>
  <si>
    <t>Lekeberg</t>
  </si>
  <si>
    <t>Leksand</t>
  </si>
  <si>
    <t>Lerum</t>
  </si>
  <si>
    <t>Lessebo</t>
  </si>
  <si>
    <t>Lidingö</t>
  </si>
  <si>
    <t>Lidköping</t>
  </si>
  <si>
    <t>LillaEdet</t>
  </si>
  <si>
    <t>Lindesberg</t>
  </si>
  <si>
    <t>Linköping</t>
  </si>
  <si>
    <t>Ljungby</t>
  </si>
  <si>
    <t>Ljusdal</t>
  </si>
  <si>
    <t>Lomma</t>
  </si>
  <si>
    <t>Ludvika</t>
  </si>
  <si>
    <t>Luleå</t>
  </si>
  <si>
    <t>Lund</t>
  </si>
  <si>
    <t>Lycksele</t>
  </si>
  <si>
    <t>Lysekil</t>
  </si>
  <si>
    <t>Mala</t>
  </si>
  <si>
    <t xml:space="preserve">Malexander </t>
  </si>
  <si>
    <t>Malmö</t>
  </si>
  <si>
    <t>Malung</t>
  </si>
  <si>
    <t>Mariestad</t>
  </si>
  <si>
    <t>Markaryd</t>
  </si>
  <si>
    <t>Märsta</t>
  </si>
  <si>
    <t>Mellerud</t>
  </si>
  <si>
    <t>Mjölby</t>
  </si>
  <si>
    <t>Mölndal</t>
  </si>
  <si>
    <t>Mönsterås</t>
  </si>
  <si>
    <t>Mora</t>
  </si>
  <si>
    <t>Mörbylånga</t>
  </si>
  <si>
    <t>Motala</t>
  </si>
  <si>
    <t>Munkedal</t>
  </si>
  <si>
    <t>Munkfors</t>
  </si>
  <si>
    <t>Nacka</t>
  </si>
  <si>
    <t>Nässjo</t>
  </si>
  <si>
    <t>Nora</t>
  </si>
  <si>
    <t>Norberg</t>
  </si>
  <si>
    <t>Nordanstig</t>
  </si>
  <si>
    <t>Nordmaling</t>
  </si>
  <si>
    <t>Norrköping</t>
  </si>
  <si>
    <t>Norrtälje</t>
  </si>
  <si>
    <t xml:space="preserve">Norsjö </t>
  </si>
  <si>
    <t>Nybro</t>
  </si>
  <si>
    <t>Nyköping</t>
  </si>
  <si>
    <t>Nykvarn</t>
  </si>
  <si>
    <t>Nynäshamn</t>
  </si>
  <si>
    <t>Ockelbo</t>
  </si>
  <si>
    <t>Öckerö</t>
  </si>
  <si>
    <t>Ödeshög</t>
  </si>
  <si>
    <t>Olofström</t>
  </si>
  <si>
    <t>Örebro</t>
  </si>
  <si>
    <t>Örkelljunga</t>
  </si>
  <si>
    <t>Örnskoldsvik</t>
  </si>
  <si>
    <t>Orsa</t>
  </si>
  <si>
    <t>Orust</t>
  </si>
  <si>
    <t>Osby</t>
  </si>
  <si>
    <t>Oskarshamn</t>
  </si>
  <si>
    <t>Österåker</t>
  </si>
  <si>
    <t>Östersund</t>
  </si>
  <si>
    <t>Osthammar</t>
  </si>
  <si>
    <t>Östmark</t>
  </si>
  <si>
    <t>Överkalix</t>
  </si>
  <si>
    <t>Övertorneå</t>
  </si>
  <si>
    <t>Oxelosund</t>
  </si>
  <si>
    <t>Pajala</t>
  </si>
  <si>
    <t>Partille</t>
  </si>
  <si>
    <t>Pitea</t>
  </si>
  <si>
    <t>Rattvik</t>
  </si>
  <si>
    <t>Ritsem</t>
  </si>
  <si>
    <t>Robertsfors</t>
  </si>
  <si>
    <t>Ronneby</t>
  </si>
  <si>
    <t>Säffle</t>
  </si>
  <si>
    <t>Sala</t>
  </si>
  <si>
    <t>Salem</t>
  </si>
  <si>
    <t>Sälen-Högfjällshotell</t>
  </si>
  <si>
    <t>Sandviken</t>
  </si>
  <si>
    <t>Särna</t>
  </si>
  <si>
    <t>Såtenäs</t>
  </si>
  <si>
    <t>Säter</t>
  </si>
  <si>
    <t>Sävsjö</t>
  </si>
  <si>
    <t>Sigtuna</t>
  </si>
  <si>
    <t>Simrishamn</t>
  </si>
  <si>
    <t>Sjöbo</t>
  </si>
  <si>
    <t>Skara</t>
  </si>
  <si>
    <t>Skellefteå</t>
  </si>
  <si>
    <t>Skinnskatteberg</t>
  </si>
  <si>
    <t>Skövde</t>
  </si>
  <si>
    <t>Skurup</t>
  </si>
  <si>
    <t>Skutskär</t>
  </si>
  <si>
    <t>Smedjebacken</t>
  </si>
  <si>
    <t>Söderhamn</t>
  </si>
  <si>
    <t>Söderköping</t>
  </si>
  <si>
    <t>Södertälje</t>
  </si>
  <si>
    <t>Sollefteå</t>
  </si>
  <si>
    <t>Sollentuna</t>
  </si>
  <si>
    <t>Solna</t>
  </si>
  <si>
    <t>Sölvesborg</t>
  </si>
  <si>
    <t>Sorsele</t>
  </si>
  <si>
    <t>Sotenäs</t>
  </si>
  <si>
    <t>Staffanstorp</t>
  </si>
  <si>
    <t>Stenungsund</t>
  </si>
  <si>
    <t>Stockholm-Bromma</t>
  </si>
  <si>
    <t>Stockholm</t>
  </si>
  <si>
    <t>Storfors</t>
  </si>
  <si>
    <t>Storlien</t>
  </si>
  <si>
    <t>Storuman</t>
  </si>
  <si>
    <t>Strängnäs</t>
  </si>
  <si>
    <t>Strömstad</t>
  </si>
  <si>
    <t>Strömsund</t>
  </si>
  <si>
    <t>Sundbyberg</t>
  </si>
  <si>
    <t>Sundsvall</t>
  </si>
  <si>
    <t>Sunne</t>
  </si>
  <si>
    <t>Surahammar</t>
  </si>
  <si>
    <t>Svalöv</t>
  </si>
  <si>
    <t>Svedala</t>
  </si>
  <si>
    <t>Sveg</t>
  </si>
  <si>
    <t>Svenljunga</t>
  </si>
  <si>
    <t>Svenstavik</t>
  </si>
  <si>
    <t>Täby</t>
  </si>
  <si>
    <t>Tannås</t>
  </si>
  <si>
    <t>Tanum</t>
  </si>
  <si>
    <t>Tärnsjö</t>
  </si>
  <si>
    <t>Tibro</t>
  </si>
  <si>
    <t>Tidaholm</t>
  </si>
  <si>
    <t>Tierp</t>
  </si>
  <si>
    <t>Timrå</t>
  </si>
  <si>
    <t>Tingsryd</t>
  </si>
  <si>
    <t>Tjörn</t>
  </si>
  <si>
    <t>Tomelilla</t>
  </si>
  <si>
    <t>Töreboda</t>
  </si>
  <si>
    <t>Torsås</t>
  </si>
  <si>
    <t>Torsby</t>
  </si>
  <si>
    <t>Tranås</t>
  </si>
  <si>
    <t>Tranemo</t>
  </si>
  <si>
    <t>Trelleborg</t>
  </si>
  <si>
    <t>Trollhättan</t>
  </si>
  <si>
    <t>Trosa</t>
  </si>
  <si>
    <t>Tyresö</t>
  </si>
  <si>
    <t>Uddevalla</t>
  </si>
  <si>
    <t>Ullared</t>
  </si>
  <si>
    <t>Ulricehamn</t>
  </si>
  <si>
    <t>Umeå</t>
  </si>
  <si>
    <t>Upplands-Bro</t>
  </si>
  <si>
    <t>Upplands-Väsby</t>
  </si>
  <si>
    <t>Uppsala</t>
  </si>
  <si>
    <t>Vadstena</t>
  </si>
  <si>
    <t>Vaggeryd</t>
  </si>
  <si>
    <t>Valdermarsvik</t>
  </si>
  <si>
    <t>Vallentuna</t>
  </si>
  <si>
    <t>Vänersborg</t>
  </si>
  <si>
    <t>Vannas</t>
  </si>
  <si>
    <t>Vansbro</t>
  </si>
  <si>
    <t>Vara</t>
  </si>
  <si>
    <t>Varberg</t>
  </si>
  <si>
    <t>Vårgårda</t>
  </si>
  <si>
    <t>Värmdö</t>
  </si>
  <si>
    <t>Värnamo</t>
  </si>
  <si>
    <t>Västerås</t>
  </si>
  <si>
    <t>Västervik</t>
  </si>
  <si>
    <t>Växjö</t>
  </si>
  <si>
    <t>Vetlanda</t>
  </si>
  <si>
    <t>Vilhelmina</t>
  </si>
  <si>
    <t>Vimmerby</t>
  </si>
  <si>
    <t>Vindeln</t>
  </si>
  <si>
    <t>Vingåker</t>
  </si>
  <si>
    <t>Visby</t>
  </si>
  <si>
    <t>Ydre</t>
  </si>
  <si>
    <t>Ystad</t>
  </si>
  <si>
    <t>ort</t>
  </si>
  <si>
    <t>värde</t>
  </si>
  <si>
    <t>normalårkorrigerade</t>
  </si>
  <si>
    <t>sann korrektion</t>
  </si>
  <si>
    <t>trolig korrektion</t>
  </si>
  <si>
    <t>Blekinge Samtliga kommuner 0,9 ;Dalarna Avesta, Borlänge, Falun, Gagnef, Hedemora, Leksand, Ludvika, Smedjebacken och Säter 1,1;Mora, Orsa, Rättvik och Vansbro 1,2 Malung-Sälen och Älvdalen 1,3 Gotland Gotland 0,9 Gävleborg Samtliga utom Ljusdal och Ovanåker 1,1 Ljusdal och Ovanåker 1,2 Halland Samtliga utom Hylte 0,9 Hylte 1,0 Jämtland Berg, Bräcke, Krokom, Ragunda och Östersund 1,3 Härjedalen, Strömsund och Åre 1,4 Jönköping Samtliga kommuner 1,0 Kalmar Borgholm, Emmaboda, Kalmar, Mönsterås, Mörbylånga, Nybro, Oskarshamn, Torsås och Västervik 0,9 Hultsfred, Högsby och Vimmerby 1,0 Kronoberg Samtliga kommuner 1,0 Norrbotten Piteå 1,3 Boden, Haparanda, Kalix, Luleå, Älvsbyn, Överkalix och Övertorneå 1,4 Arjeplog, Arvidsjaur och Pajala 1,5 Gällivare, Jokkmokk och Kiruna 1,6 Skåne Samtliga kommuner utom Osby 0,9 Osby 1,0 Stockholm Samtliga kommuner 1,0 Södermanland Samtliga kommuner 1,0 Uppsala Samtliga utom Tierp och Älvkarleby 1,0 Tierp och Älvkarleby 1,1 Värmland Forshaga, Grums, Hammarö, Karlstad, Kil, Kristinehamn och Säffle 1,0 Övriga 1,1 Västerbotten Nordmaling och Umeå 1,2 Bjurholm, Robertsfors, Skellefteå, Vindeln och Vännäs 1,3 BFS 2017:xx BBR (B) 4 Dorotea, Lycksele, Malå, Norsjö, Vilhelmina och Åsele 1,4 Sorsele och Storuman 1,5 Västernorrland Samtliga utom Sollefteå och Ånge 1,2 Sollefteå och Ånge 1,3 Västmanland Arboga, Hallstahammar, Kungsör, Köping, Sala, Surahammar och Västerås 1,0 Fagersta, Norberg och Skinnskatteberg 1,1 Västra Götaland Bollebygd, Färgelanda, Göteborg, Härryda, Kungälv, Lerum, Lysekil, Mark, Munkedal, Mölndal, Orust, Partille, Sotenäs, Stenungsund, Strömstad, Svenljunga, Tanum, Tjörn, Uddevalla och Öckerö 0,9 Övriga 1,0 Örebro Samtliga utom Hällefors och Ljusnarsberg 1,0 Hällefors och Ljusnarsberg 1,1 Östergötland Samtliga kommuner 1,0</t>
  </si>
  <si>
    <t>Abisko</t>
  </si>
  <si>
    <t xml:space="preserve"> "Norrbottens län"</t>
  </si>
  <si>
    <t xml:space="preserve"> "Stockholms län"</t>
  </si>
  <si>
    <t xml:space="preserve"> "Västra Götalands län"</t>
  </si>
  <si>
    <t xml:space="preserve"> "Kronobergs län"</t>
  </si>
  <si>
    <t>Aneby</t>
  </si>
  <si>
    <t xml:space="preserve"> "Jönköpings län"</t>
  </si>
  <si>
    <t xml:space="preserve"> "Västmanlands län"</t>
  </si>
  <si>
    <t xml:space="preserve"> "Värmlands län"</t>
  </si>
  <si>
    <t xml:space="preserve"> "Örebro län"</t>
  </si>
  <si>
    <t xml:space="preserve"> "Dalarnas län"</t>
  </si>
  <si>
    <t xml:space="preserve"> "Västerbottens län"</t>
  </si>
  <si>
    <t xml:space="preserve"> "Skåne län"</t>
  </si>
  <si>
    <t xml:space="preserve"> "Gävleborgs län"</t>
  </si>
  <si>
    <t>Boo</t>
  </si>
  <si>
    <t xml:space="preserve"> "Kalmar län"</t>
  </si>
  <si>
    <t>Botkyrka</t>
  </si>
  <si>
    <t>Brunflo</t>
  </si>
  <si>
    <t xml:space="preserve"> "Jämtlands län"</t>
  </si>
  <si>
    <t>Burlöv</t>
  </si>
  <si>
    <t>Dals-Ed</t>
  </si>
  <si>
    <t>Delsbo</t>
  </si>
  <si>
    <t xml:space="preserve"> "Uppsala län"</t>
  </si>
  <si>
    <t xml:space="preserve"> 59.37</t>
  </si>
  <si>
    <t xml:space="preserve"> 16.499</t>
  </si>
  <si>
    <t xml:space="preserve"> "Södermanlands län"</t>
  </si>
  <si>
    <t xml:space="preserve"> "Hallands län"</t>
  </si>
  <si>
    <t xml:space="preserve"> 60.236</t>
  </si>
  <si>
    <t xml:space="preserve"> 17.907</t>
  </si>
  <si>
    <t xml:space="preserve"> "Östergötlands län"</t>
  </si>
  <si>
    <t>Furnäsdalen</t>
  </si>
  <si>
    <t>Föllinge</t>
  </si>
  <si>
    <t>Gnosjö</t>
  </si>
  <si>
    <t>Grums</t>
  </si>
  <si>
    <t>Hammerdal</t>
  </si>
  <si>
    <t>Hedby</t>
  </si>
  <si>
    <t xml:space="preserve"> "Gotlands län"</t>
  </si>
  <si>
    <t>Holmsund</t>
  </si>
  <si>
    <t>Håbo</t>
  </si>
  <si>
    <t>Härnösand</t>
  </si>
  <si>
    <t xml:space="preserve"> "Västernorrlands län"</t>
  </si>
  <si>
    <t>Högsby</t>
  </si>
  <si>
    <t>Hörby</t>
  </si>
  <si>
    <t>Hörnefors</t>
  </si>
  <si>
    <t>Järfälla</t>
  </si>
  <si>
    <t>Jönköping</t>
  </si>
  <si>
    <t>Järpen</t>
  </si>
  <si>
    <t xml:space="preserve"> "Blekinge län"</t>
  </si>
  <si>
    <t>Krokom</t>
  </si>
  <si>
    <t>Kungälv</t>
  </si>
  <si>
    <t>Kävlinge</t>
  </si>
  <si>
    <t>Kallinge</t>
  </si>
  <si>
    <t>Laxå</t>
  </si>
  <si>
    <t>Lit</t>
  </si>
  <si>
    <t>Ljungbro</t>
  </si>
  <si>
    <t>Ljusnarsberg</t>
  </si>
  <si>
    <t>Malexander</t>
  </si>
  <si>
    <t xml:space="preserve"> 55.592</t>
  </si>
  <si>
    <t xml:space="preserve"> 13.025</t>
  </si>
  <si>
    <t>Malmberget</t>
  </si>
  <si>
    <t>Malmslätt</t>
  </si>
  <si>
    <t>Malå</t>
  </si>
  <si>
    <t>Mark</t>
  </si>
  <si>
    <t>Mullsjö</t>
  </si>
  <si>
    <t>Mörrum</t>
  </si>
  <si>
    <t>Norsjö</t>
  </si>
  <si>
    <t>Nälden</t>
  </si>
  <si>
    <t>Nässjö</t>
  </si>
  <si>
    <t>Onsala</t>
  </si>
  <si>
    <t>Oxelösund</t>
  </si>
  <si>
    <t>Perstorp</t>
  </si>
  <si>
    <t>Piteå</t>
  </si>
  <si>
    <t>Rättvik</t>
  </si>
  <si>
    <t>Rödeby</t>
  </si>
  <si>
    <t>Skelleftehamn</t>
  </si>
  <si>
    <t>Skoghall</t>
  </si>
  <si>
    <t>Stenstavik</t>
  </si>
  <si>
    <t xml:space="preserve"> 58#</t>
  </si>
  <si>
    <t>Torshälla</t>
  </si>
  <si>
    <t>Tumba</t>
  </si>
  <si>
    <t>Tännäs</t>
  </si>
  <si>
    <t xml:space="preserve"> 63.826</t>
  </si>
  <si>
    <t xml:space="preserve"> 20.261</t>
  </si>
  <si>
    <t>Ursviken</t>
  </si>
  <si>
    <t>Vännäs</t>
  </si>
  <si>
    <t>Åkersberga</t>
  </si>
  <si>
    <t>Åmål</t>
  </si>
  <si>
    <t>Årjäng</t>
  </si>
  <si>
    <t>Ås</t>
  </si>
  <si>
    <t>Åstorp</t>
  </si>
  <si>
    <t>Älvkarleby</t>
  </si>
  <si>
    <t>Örnsköldsvik</t>
  </si>
  <si>
    <t xml:space="preserve"> 63.18</t>
  </si>
  <si>
    <t xml:space="preserve"> 14.629</t>
  </si>
  <si>
    <t>Östhammar</t>
  </si>
  <si>
    <t>klimatår</t>
  </si>
  <si>
    <t>lattitud</t>
  </si>
  <si>
    <t>longitud</t>
  </si>
  <si>
    <t>stationsnr</t>
  </si>
  <si>
    <t>1981-2010</t>
  </si>
  <si>
    <t>68.35569759999998</t>
  </si>
  <si>
    <t>18.8206005</t>
  </si>
  <si>
    <t>59.3580017</t>
  </si>
  <si>
    <t>17.524000199999996</t>
  </si>
  <si>
    <t>57.9159</t>
  </si>
  <si>
    <t>12.06395</t>
  </si>
  <si>
    <t>57.9280014</t>
  </si>
  <si>
    <t>12.5389996</t>
  </si>
  <si>
    <t>56.9000015</t>
  </si>
  <si>
    <t>14.555999800000002</t>
  </si>
  <si>
    <t>57.838889</t>
  </si>
  <si>
    <t>14.816111</t>
  </si>
  <si>
    <t>59.3919983</t>
  </si>
  <si>
    <t>15.8549995</t>
  </si>
  <si>
    <t>66.04900359999999</t>
  </si>
  <si>
    <t>17.8840008</t>
  </si>
  <si>
    <t>65.5920029</t>
  </si>
  <si>
    <t>19.1739998</t>
  </si>
  <si>
    <t>59.6529999</t>
  </si>
  <si>
    <t>12.6059999</t>
  </si>
  <si>
    <t>58.882999399999996</t>
  </si>
  <si>
    <t>14.913999599999999</t>
  </si>
  <si>
    <t>60.139999399999994</t>
  </si>
  <si>
    <t>16.198</t>
  </si>
  <si>
    <t>59.0320015</t>
  </si>
  <si>
    <t>12.222000099999999</t>
  </si>
  <si>
    <t>63.9300003</t>
  </si>
  <si>
    <t>19.2229996</t>
  </si>
  <si>
    <t>56.076000199999996</t>
  </si>
  <si>
    <t>12.937999699999999</t>
  </si>
  <si>
    <t>65.8199997</t>
  </si>
  <si>
    <t>21.698</t>
  </si>
  <si>
    <t>57.666667</t>
  </si>
  <si>
    <t>12.566667</t>
  </si>
  <si>
    <t>61.348999</t>
  </si>
  <si>
    <t>16.3929996</t>
  </si>
  <si>
    <t>56.88000110000001</t>
  </si>
  <si>
    <t>16.6599998</t>
  </si>
  <si>
    <t>60.473999</t>
  </si>
  <si>
    <t>15.46</t>
  </si>
  <si>
    <t>57.730999</t>
  </si>
  <si>
    <t>12.9460001</t>
  </si>
  <si>
    <t>59.1790009</t>
  </si>
  <si>
    <t>17.9130001</t>
  </si>
  <si>
    <t>56.257</t>
  </si>
  <si>
    <t>14.078000099999999</t>
  </si>
  <si>
    <t>56.07899860000001</t>
  </si>
  <si>
    <t>14.472999599999998</t>
  </si>
  <si>
    <t>62.7490005</t>
  </si>
  <si>
    <t>15.423999800000002</t>
  </si>
  <si>
    <t>55.63333299999999</t>
  </si>
  <si>
    <t>13.083333</t>
  </si>
  <si>
    <t>56.42499920000001</t>
  </si>
  <si>
    <t>12.852000199999999</t>
  </si>
  <si>
    <t>59.88600160000001</t>
  </si>
  <si>
    <t>12.3059998</t>
  </si>
  <si>
    <t>59.397222</t>
  </si>
  <si>
    <t>18.081944</t>
  </si>
  <si>
    <t>59.233333</t>
  </si>
  <si>
    <t>14.433333</t>
  </si>
  <si>
    <t>61.826999699999995</t>
  </si>
  <si>
    <t>16.541999800000006</t>
  </si>
  <si>
    <t>64.262001</t>
  </si>
  <si>
    <t>16.4179993</t>
  </si>
  <si>
    <t>58.9080009</t>
  </si>
  <si>
    <t>11.9399996</t>
  </si>
  <si>
    <t>61.36100010000001</t>
  </si>
  <si>
    <t>15.717</t>
  </si>
  <si>
    <t>57.6669998</t>
  </si>
  <si>
    <t>14.974</t>
  </si>
  <si>
    <t>56.63</t>
  </si>
  <si>
    <t>15.537778</t>
  </si>
  <si>
    <t>59.639999399999994</t>
  </si>
  <si>
    <t>17.0900002</t>
  </si>
  <si>
    <t>55.837001799999996</t>
  </si>
  <si>
    <t>13.305999800000002</t>
  </si>
  <si>
    <t>58.188889</t>
  </si>
  <si>
    <t>12.719444</t>
  </si>
  <si>
    <t>59.997001600000004</t>
  </si>
  <si>
    <t>15.809000000000001</t>
  </si>
  <si>
    <t>56.9039993</t>
  </si>
  <si>
    <t>12.5010004</t>
  </si>
  <si>
    <t>58.17300030000001</t>
  </si>
  <si>
    <t>13.5539999</t>
  </si>
  <si>
    <t>55.383998899999995</t>
  </si>
  <si>
    <t>12.819999699999999</t>
  </si>
  <si>
    <t>60.5979996</t>
  </si>
  <si>
    <t>15.6700001</t>
  </si>
  <si>
    <t>59.710998499999995</t>
  </si>
  <si>
    <t>14.1700001</t>
  </si>
  <si>
    <t>58.70500179999999</t>
  </si>
  <si>
    <t>15.772999800000004</t>
  </si>
  <si>
    <t>59.05699920000001</t>
  </si>
  <si>
    <t>16.596000699999998</t>
  </si>
  <si>
    <t>59.533333</t>
  </si>
  <si>
    <t>13.466667</t>
  </si>
  <si>
    <t>64.0749969</t>
  </si>
  <si>
    <t>18.3659992</t>
  </si>
  <si>
    <t>58.57083299999999</t>
  </si>
  <si>
    <t>11.993611</t>
  </si>
  <si>
    <t>63.67699810000001</t>
  </si>
  <si>
    <t>14.607999800000002</t>
  </si>
  <si>
    <t>60.55</t>
  </si>
  <si>
    <t>15.133333</t>
  </si>
  <si>
    <t>Gammelstad</t>
  </si>
  <si>
    <t>57.29800030000001</t>
  </si>
  <si>
    <t>13.552</t>
  </si>
  <si>
    <t>59.0429993</t>
  </si>
  <si>
    <t>17.3129997</t>
  </si>
  <si>
    <t>57.356667</t>
  </si>
  <si>
    <t>13.733889</t>
  </si>
  <si>
    <t>59.35</t>
  </si>
  <si>
    <t>13.1</t>
  </si>
  <si>
    <t>58.333333</t>
  </si>
  <si>
    <t>12.666667</t>
  </si>
  <si>
    <t>64.5039978</t>
  </si>
  <si>
    <t>17.1599998</t>
  </si>
  <si>
    <t>67.13999940000001</t>
  </si>
  <si>
    <t>20.6630001</t>
  </si>
  <si>
    <t>60.6790009</t>
  </si>
  <si>
    <t>17.183000600000003</t>
  </si>
  <si>
    <t>57.67200089999999</t>
  </si>
  <si>
    <t>11.958000199999999</t>
  </si>
  <si>
    <t>58.5250015</t>
  </si>
  <si>
    <t>13.491000199999998</t>
  </si>
  <si>
    <t>57.908611</t>
  </si>
  <si>
    <t>14.075278</t>
  </si>
  <si>
    <t>60.0340004</t>
  </si>
  <si>
    <t>13.692999800000004</t>
  </si>
  <si>
    <t>59.066667</t>
  </si>
  <si>
    <t>15.116667</t>
  </si>
  <si>
    <t>59.613611</t>
  </si>
  <si>
    <t>16.229167</t>
  </si>
  <si>
    <t>56.66999820000001</t>
  </si>
  <si>
    <t>12.866000199999998</t>
  </si>
  <si>
    <t>63.111999499999996</t>
  </si>
  <si>
    <t>16.3589993</t>
  </si>
  <si>
    <t>59.333333</t>
  </si>
  <si>
    <t>13.433333</t>
  </si>
  <si>
    <t>59.11399839999999</t>
  </si>
  <si>
    <t>18.073</t>
  </si>
  <si>
    <t>65.8330002</t>
  </si>
  <si>
    <t>24.1280003</t>
  </si>
  <si>
    <t>62.41999820000001</t>
  </si>
  <si>
    <t>13.5</t>
  </si>
  <si>
    <t>60.276001</t>
  </si>
  <si>
    <t>15.9870005</t>
  </si>
  <si>
    <t>56.0340004</t>
  </si>
  <si>
    <t>12.734000199999999</t>
  </si>
  <si>
    <t>65.7969971</t>
  </si>
  <si>
    <t>15.104000099999999</t>
  </si>
  <si>
    <t>57.2400017</t>
  </si>
  <si>
    <t>18.2800007</t>
  </si>
  <si>
    <t>58.07899860000001</t>
  </si>
  <si>
    <t>13.027999900000001</t>
  </si>
  <si>
    <t>58.3040009</t>
  </si>
  <si>
    <t>14.284000400000002</t>
  </si>
  <si>
    <t>60.55099870000001</t>
  </si>
  <si>
    <t>16.291999800000006</t>
  </si>
  <si>
    <t>58.85300060000001</t>
  </si>
  <si>
    <t>14.220000299999999</t>
  </si>
  <si>
    <t>59.20999910000001</t>
  </si>
  <si>
    <t>18.041000399999998</t>
  </si>
  <si>
    <t>61.72900010000001</t>
  </si>
  <si>
    <t>17.111000100000002</t>
  </si>
  <si>
    <t>57.4980011</t>
  </si>
  <si>
    <t>15.854000099999999</t>
  </si>
  <si>
    <t>57.0019989</t>
  </si>
  <si>
    <t>13.244999900000002</t>
  </si>
  <si>
    <t>59.567778</t>
  </si>
  <si>
    <t>17.529722</t>
  </si>
  <si>
    <t>59.76666700000001</t>
  </si>
  <si>
    <t>14.516667000000002</t>
  </si>
  <si>
    <t>62.633998899999995</t>
  </si>
  <si>
    <t>17.9319992</t>
  </si>
  <si>
    <t>12.116667</t>
  </si>
  <si>
    <t>56.1599998</t>
  </si>
  <si>
    <t>13.781000099999998</t>
  </si>
  <si>
    <t>56.2140007</t>
  </si>
  <si>
    <t>12.5579996</t>
  </si>
  <si>
    <t>57.165</t>
  </si>
  <si>
    <t>16.026944</t>
  </si>
  <si>
    <t>55.862999</t>
  </si>
  <si>
    <t>13.6689997</t>
  </si>
  <si>
    <t>55.93199920000001</t>
  </si>
  <si>
    <t>13.550000199999998</t>
  </si>
  <si>
    <t>66.6060028</t>
  </si>
  <si>
    <t>19.843000399999998</t>
  </si>
  <si>
    <t>63.6969986</t>
  </si>
  <si>
    <t>16.8719997</t>
  </si>
  <si>
    <t>59.405998200000006</t>
  </si>
  <si>
    <t>17.8689995</t>
  </si>
  <si>
    <t>57.7599983</t>
  </si>
  <si>
    <t>14.190999999999999</t>
  </si>
  <si>
    <t>65.85700229999999</t>
  </si>
  <si>
    <t>23.158000899999998</t>
  </si>
  <si>
    <t>56.6790009</t>
  </si>
  <si>
    <t>16.3540001</t>
  </si>
  <si>
    <t>68.44000240000001</t>
  </si>
  <si>
    <t>22.4909992</t>
  </si>
  <si>
    <t>58.53699870000001</t>
  </si>
  <si>
    <t>14.510000199999999</t>
  </si>
  <si>
    <t>56.18600079999999</t>
  </si>
  <si>
    <t>14.8529997</t>
  </si>
  <si>
    <t>59.32100000000001</t>
  </si>
  <si>
    <t>14.534</t>
  </si>
  <si>
    <t>56.18299870000001</t>
  </si>
  <si>
    <t>15.616999599999998</t>
  </si>
  <si>
    <t>59.387001</t>
  </si>
  <si>
    <t>13.508000400000002</t>
  </si>
  <si>
    <t>58.98600010000001</t>
  </si>
  <si>
    <t>16.1959991</t>
  </si>
  <si>
    <t>59.513000500000004</t>
  </si>
  <si>
    <t>13.319000199999998</t>
  </si>
  <si>
    <t>57.4939995</t>
  </si>
  <si>
    <t>12.687999699999999</t>
  </si>
  <si>
    <t>67.8529968</t>
  </si>
  <si>
    <t>20.2509995</t>
  </si>
  <si>
    <t>57.9900017</t>
  </si>
  <si>
    <t>15.640999800000005</t>
  </si>
  <si>
    <t>56.13600160000001</t>
  </si>
  <si>
    <t>13.1619997</t>
  </si>
  <si>
    <t>59.726111</t>
  </si>
  <si>
    <t>17.788611</t>
  </si>
  <si>
    <t>59.86600110000001</t>
  </si>
  <si>
    <t>15.024000199999998</t>
  </si>
  <si>
    <t>62.9290009</t>
  </si>
  <si>
    <t>17.798000299999995</t>
  </si>
  <si>
    <t>56.02099989999999</t>
  </si>
  <si>
    <t>14.1379995</t>
  </si>
  <si>
    <t>59.3149986</t>
  </si>
  <si>
    <t>14.109000199999995</t>
  </si>
  <si>
    <t>59.1240005</t>
  </si>
  <si>
    <t>15.1450005</t>
  </si>
  <si>
    <t>57.49100110000001</t>
  </si>
  <si>
    <t>12.079000500000001</t>
  </si>
  <si>
    <t>59.423611</t>
  </si>
  <si>
    <t>16.096110999999997</t>
  </si>
  <si>
    <t>57.8740005</t>
  </si>
  <si>
    <t>11.974</t>
  </si>
  <si>
    <t>66.9560013</t>
  </si>
  <si>
    <t>17.731000899999994</t>
  </si>
  <si>
    <t>55.7919998</t>
  </si>
  <si>
    <t>13.114999800000001</t>
  </si>
  <si>
    <t>59.51100160000001</t>
  </si>
  <si>
    <t>16.0139999</t>
  </si>
  <si>
    <t>56.50500110000001</t>
  </si>
  <si>
    <t>13.041999800000001</t>
  </si>
  <si>
    <t>55.877998399999996</t>
  </si>
  <si>
    <t>12.8369999</t>
  </si>
  <si>
    <t>58.9840012</t>
  </si>
  <si>
    <t>14.625</t>
  </si>
  <si>
    <t>59.166667</t>
  </si>
  <si>
    <t>14.866667</t>
  </si>
  <si>
    <t>60.7249985</t>
  </si>
  <si>
    <t>15.0290003</t>
  </si>
  <si>
    <t>57.77199939999999</t>
  </si>
  <si>
    <t>12.2799997</t>
  </si>
  <si>
    <t>56.7519989</t>
  </si>
  <si>
    <t>15.276</t>
  </si>
  <si>
    <t>59.36666700000001</t>
  </si>
  <si>
    <t>18.183333</t>
  </si>
  <si>
    <t>58.50400160000001</t>
  </si>
  <si>
    <t>13.151</t>
  </si>
  <si>
    <t>58.13333299999999</t>
  </si>
  <si>
    <t>12.133333</t>
  </si>
  <si>
    <t>59.5929985</t>
  </si>
  <si>
    <t>15.229000099999999</t>
  </si>
  <si>
    <t>58.4000015</t>
  </si>
  <si>
    <t>15.645999900000001</t>
  </si>
  <si>
    <t>56.83100129999999</t>
  </si>
  <si>
    <t>13.946999499999999</t>
  </si>
  <si>
    <t>61.82799910000001</t>
  </si>
  <si>
    <t>16.103000599999998</t>
  </si>
  <si>
    <t>55.666667</t>
  </si>
  <si>
    <t>15.196999499999999</t>
  </si>
  <si>
    <t>65.5889969</t>
  </si>
  <si>
    <t>22.16699980000001</t>
  </si>
  <si>
    <t>55.70500179999999</t>
  </si>
  <si>
    <t>13.199999800000002</t>
  </si>
  <si>
    <t>64.5910034</t>
  </si>
  <si>
    <t>18.691</t>
  </si>
  <si>
    <t>58.2789993</t>
  </si>
  <si>
    <t>11.4429998</t>
  </si>
  <si>
    <t>58.0719986</t>
  </si>
  <si>
    <t>15.236000099999998</t>
  </si>
  <si>
    <t>60.6809998</t>
  </si>
  <si>
    <t>13.708999599999999</t>
  </si>
  <si>
    <t>65.1839981</t>
  </si>
  <si>
    <t>18.7490005</t>
  </si>
  <si>
    <t>58.70399860000001</t>
  </si>
  <si>
    <t>13.835</t>
  </si>
  <si>
    <t>56.45999910000001</t>
  </si>
  <si>
    <t>13.600999800000002</t>
  </si>
  <si>
    <t>58.69900129999999</t>
  </si>
  <si>
    <t>12.4619999</t>
  </si>
  <si>
    <t>58.32799910000001</t>
  </si>
  <si>
    <t>15.133999800000002</t>
  </si>
  <si>
    <t>61.007999399999996</t>
  </si>
  <si>
    <t>14.5450001</t>
  </si>
  <si>
    <t>58.54499820000001</t>
  </si>
  <si>
    <t>15.041999800000005</t>
  </si>
  <si>
    <t>57.917222</t>
  </si>
  <si>
    <t>13.878889</t>
  </si>
  <si>
    <t>58.473999</t>
  </si>
  <si>
    <t>11.6850004</t>
  </si>
  <si>
    <t>59.833333</t>
  </si>
  <si>
    <t>13.533333</t>
  </si>
  <si>
    <t>59.86999889999999</t>
  </si>
  <si>
    <t>17.7229996</t>
  </si>
  <si>
    <t>57.654167</t>
  </si>
  <si>
    <t>12.019167</t>
  </si>
  <si>
    <t>57.040000899999995</t>
  </si>
  <si>
    <t>16.4419994</t>
  </si>
  <si>
    <t>56.52416700000001</t>
  </si>
  <si>
    <t>16.383611</t>
  </si>
  <si>
    <t>59.31</t>
  </si>
  <si>
    <t>18.163889</t>
  </si>
  <si>
    <t>59.51666700000001</t>
  </si>
  <si>
    <t>15.033333</t>
  </si>
  <si>
    <t>60.353</t>
  </si>
  <si>
    <t>15.5529</t>
  </si>
  <si>
    <t>61.983333</t>
  </si>
  <si>
    <t>17.066667000000002</t>
  </si>
  <si>
    <t>63.5719986</t>
  </si>
  <si>
    <t>19.5119991</t>
  </si>
  <si>
    <t>58.5919991</t>
  </si>
  <si>
    <t>16.1930008</t>
  </si>
  <si>
    <t>59.758998899999995</t>
  </si>
  <si>
    <t>18.7029991</t>
  </si>
  <si>
    <t>64.9260025</t>
  </si>
  <si>
    <t>19.3780003</t>
  </si>
  <si>
    <t>56.74599839999999</t>
  </si>
  <si>
    <t>15.906000099999998</t>
  </si>
  <si>
    <t>17.433332999999998</t>
  </si>
  <si>
    <t>58.758998899999995</t>
  </si>
  <si>
    <t>17.014999399999994</t>
  </si>
  <si>
    <t>58.9029999</t>
  </si>
  <si>
    <t>17.948</t>
  </si>
  <si>
    <t>57.6549988</t>
  </si>
  <si>
    <t>14.696999499999999</t>
  </si>
  <si>
    <t>60.89699939999999</t>
  </si>
  <si>
    <t>16.722999599999998</t>
  </si>
  <si>
    <t>56.280998200000006</t>
  </si>
  <si>
    <t>14.524000199999998</t>
  </si>
  <si>
    <t>61.12</t>
  </si>
  <si>
    <t>14.609167</t>
  </si>
  <si>
    <t>58.236111</t>
  </si>
  <si>
    <t>11.663889</t>
  </si>
  <si>
    <t>56.3769989</t>
  </si>
  <si>
    <t>14.0039997</t>
  </si>
  <si>
    <t>57.2659988</t>
  </si>
  <si>
    <t>16.4510002</t>
  </si>
  <si>
    <t>58.67300030000001</t>
  </si>
  <si>
    <t>17.0979996</t>
  </si>
  <si>
    <t>67.2139969</t>
  </si>
  <si>
    <t>23.3729992</t>
  </si>
  <si>
    <t>57.73944399999999</t>
  </si>
  <si>
    <t>12.106389</t>
  </si>
  <si>
    <t>56.137778</t>
  </si>
  <si>
    <t>13.395</t>
  </si>
  <si>
    <t>65.3030014</t>
  </si>
  <si>
    <t>21.489999800000003</t>
  </si>
  <si>
    <t>67.72599790000001</t>
  </si>
  <si>
    <t>17.472000100000002</t>
  </si>
  <si>
    <t>64.19200129999999</t>
  </si>
  <si>
    <t>20.8530006</t>
  </si>
  <si>
    <t>56.2080002</t>
  </si>
  <si>
    <t>15.277999900000001</t>
  </si>
  <si>
    <t>60.8849983</t>
  </si>
  <si>
    <t>15.1120005</t>
  </si>
  <si>
    <t>59.9169998</t>
  </si>
  <si>
    <t>16.586000400000003</t>
  </si>
  <si>
    <t>59.23883114344743</t>
  </si>
  <si>
    <t>17.689803433556005</t>
  </si>
  <si>
    <t>60.617000600000004</t>
  </si>
  <si>
    <t>16.7800007</t>
  </si>
  <si>
    <t>59.61666700000001</t>
  </si>
  <si>
    <t>17.716667</t>
  </si>
  <si>
    <t>55.55699920000001</t>
  </si>
  <si>
    <t>14.345000299999999</t>
  </si>
  <si>
    <t>55.632999399999996</t>
  </si>
  <si>
    <t>13.708000199999995</t>
  </si>
  <si>
    <t>58.382</t>
  </si>
  <si>
    <t>13.439999599999998</t>
  </si>
  <si>
    <t>64.7539978</t>
  </si>
  <si>
    <t>20.9599991</t>
  </si>
  <si>
    <t>59.83194399999999</t>
  </si>
  <si>
    <t>15.693611</t>
  </si>
  <si>
    <t>55.483333</t>
  </si>
  <si>
    <t>60.632999399999996</t>
  </si>
  <si>
    <t>17.4090004</t>
  </si>
  <si>
    <t>58.3979988</t>
  </si>
  <si>
    <t>13.857000400000002</t>
  </si>
  <si>
    <t>60.14166700000001</t>
  </si>
  <si>
    <t>15.413332999999998</t>
  </si>
  <si>
    <t>63.1669998</t>
  </si>
  <si>
    <t>17.278999300000002</t>
  </si>
  <si>
    <t>59.4449997</t>
  </si>
  <si>
    <t>17.941999399999997</t>
  </si>
  <si>
    <t>59.359444</t>
  </si>
  <si>
    <t>18.001667</t>
  </si>
  <si>
    <t>65.5350037</t>
  </si>
  <si>
    <t>17.5340004</t>
  </si>
  <si>
    <t>58.358333</t>
  </si>
  <si>
    <t>11.258333</t>
  </si>
  <si>
    <t>55.65</t>
  </si>
  <si>
    <t>13.216667</t>
  </si>
  <si>
    <t>58.073001899999994</t>
  </si>
  <si>
    <t>11.833000199999999</t>
  </si>
  <si>
    <t>LatLon:</t>
  </si>
  <si>
    <t>59.2830009</t>
  </si>
  <si>
    <t>59.35400010000001</t>
  </si>
  <si>
    <t>17.9510002</t>
  </si>
  <si>
    <t>14.266667000000002</t>
  </si>
  <si>
    <t>63.3030014</t>
  </si>
  <si>
    <t>12.125</t>
  </si>
  <si>
    <t>65.10199739999999</t>
  </si>
  <si>
    <t>17.1140003</t>
  </si>
  <si>
    <t>59.3740005</t>
  </si>
  <si>
    <t>17.023000699999994</t>
  </si>
  <si>
    <t>58.9399986</t>
  </si>
  <si>
    <t>11.1850004</t>
  </si>
  <si>
    <t>63.85300060000001</t>
  </si>
  <si>
    <t>15.564999599999998</t>
  </si>
  <si>
    <t>59.37670018508004</t>
  </si>
  <si>
    <t>17.96116881684211</t>
  </si>
  <si>
    <t>62.388000500000004</t>
  </si>
  <si>
    <t>17.3110008</t>
  </si>
  <si>
    <t>59.8390007</t>
  </si>
  <si>
    <t>13.1470003</t>
  </si>
  <si>
    <t>59.707222</t>
  </si>
  <si>
    <t>16.222222</t>
  </si>
  <si>
    <t>55.9109993</t>
  </si>
  <si>
    <t>13.109000199999995</t>
  </si>
  <si>
    <t>55.51100160000001</t>
  </si>
  <si>
    <t>13.243</t>
  </si>
  <si>
    <t>62.0359993</t>
  </si>
  <si>
    <t>14.362999900000002</t>
  </si>
  <si>
    <t>57.5</t>
  </si>
  <si>
    <t>13.116667</t>
  </si>
  <si>
    <t>62.7669983</t>
  </si>
  <si>
    <t>14.4379997</t>
  </si>
  <si>
    <t>58.43600079999999</t>
  </si>
  <si>
    <t>12.708000199999999</t>
  </si>
  <si>
    <t>59.1349983</t>
  </si>
  <si>
    <t>12.923000300000002</t>
  </si>
  <si>
    <t>61.094001799999994</t>
  </si>
  <si>
    <t>13.2309999</t>
  </si>
  <si>
    <t>61.7070007</t>
  </si>
  <si>
    <t>13.133999800000002</t>
  </si>
  <si>
    <t>60.3460007</t>
  </si>
  <si>
    <t>15.743</t>
  </si>
  <si>
    <t>57.3979988</t>
  </si>
  <si>
    <t>14.665</t>
  </si>
  <si>
    <t>61.3050003</t>
  </si>
  <si>
    <t>17.0779991</t>
  </si>
  <si>
    <t>58.4720001</t>
  </si>
  <si>
    <t>16.3409996</t>
  </si>
  <si>
    <t>59.19300079999999</t>
  </si>
  <si>
    <t>17.6329994</t>
  </si>
  <si>
    <t>56.04999920000001</t>
  </si>
  <si>
    <t>14.595000299999999</t>
  </si>
  <si>
    <t>58.733333</t>
  </si>
  <si>
    <t>11.333333</t>
  </si>
  <si>
    <t>58.416667</t>
  </si>
  <si>
    <t>14.166667000000002</t>
  </si>
  <si>
    <t>58.183333</t>
  </si>
  <si>
    <t>13.95</t>
  </si>
  <si>
    <t>60.348999</t>
  </si>
  <si>
    <t>17.5209999</t>
  </si>
  <si>
    <t>62.5</t>
  </si>
  <si>
    <t>17.333333</t>
  </si>
  <si>
    <t>56.5279999</t>
  </si>
  <si>
    <t>14.970000299999999</t>
  </si>
  <si>
    <t>58.0</t>
  </si>
  <si>
    <t>11.55</t>
  </si>
  <si>
    <t>55.54999920000001</t>
  </si>
  <si>
    <t>13.944000199999998</t>
  </si>
  <si>
    <t>60.132999399999996</t>
  </si>
  <si>
    <t>13.007</t>
  </si>
  <si>
    <t>56.4109993</t>
  </si>
  <si>
    <t>16.0030003</t>
  </si>
  <si>
    <t>57.483333</t>
  </si>
  <si>
    <t>13.35</t>
  </si>
  <si>
    <t>58.0340004</t>
  </si>
  <si>
    <t>14.979000099999999</t>
  </si>
  <si>
    <t>55.3759995</t>
  </si>
  <si>
    <t>13.1689997</t>
  </si>
  <si>
    <t>58.280998200000006</t>
  </si>
  <si>
    <t>12.296999900000001</t>
  </si>
  <si>
    <t>58.9000015</t>
  </si>
  <si>
    <t>17.5550003</t>
  </si>
  <si>
    <t>59.2490005</t>
  </si>
  <si>
    <t>18.2770004</t>
  </si>
  <si>
    <t>59.4469986</t>
  </si>
  <si>
    <t>18.0869999</t>
  </si>
  <si>
    <t>62.45000079999999</t>
  </si>
  <si>
    <t>12.6700001</t>
  </si>
  <si>
    <t>60.1599998</t>
  </si>
  <si>
    <t>16.920000100000006</t>
  </si>
  <si>
    <t>58.716667</t>
  </si>
  <si>
    <t>14.133333</t>
  </si>
  <si>
    <t>58.3470001</t>
  </si>
  <si>
    <t>11.7989998</t>
  </si>
  <si>
    <t>57.11399839999999</t>
  </si>
  <si>
    <t>12.776</t>
  </si>
  <si>
    <t>57.796001399999994</t>
  </si>
  <si>
    <t>13.4130001</t>
  </si>
  <si>
    <t>59.519001</t>
  </si>
  <si>
    <t>17.639999399999994</t>
  </si>
  <si>
    <t>17.916667</t>
  </si>
  <si>
    <t>59.8400002</t>
  </si>
  <si>
    <t>17.6410007</t>
  </si>
  <si>
    <t>58.4459991</t>
  </si>
  <si>
    <t>14.901</t>
  </si>
  <si>
    <t>57.49599839999999</t>
  </si>
  <si>
    <t>14.142000199999998</t>
  </si>
  <si>
    <t>58.20500179999999</t>
  </si>
  <si>
    <t>16.600999800000004</t>
  </si>
  <si>
    <t>59.58762501583927</t>
  </si>
  <si>
    <t>18.198388360364056</t>
  </si>
  <si>
    <t>60.508998899999995</t>
  </si>
  <si>
    <t>14.224</t>
  </si>
  <si>
    <t>58.3219986</t>
  </si>
  <si>
    <t>13.0410004</t>
  </si>
  <si>
    <t>57.106998399999995</t>
  </si>
  <si>
    <t>12.258999800000002</t>
  </si>
  <si>
    <t>Vaxholm</t>
  </si>
  <si>
    <t>59.4039993</t>
  </si>
  <si>
    <t>18.337999300000003</t>
  </si>
  <si>
    <t>57.41899870000001</t>
  </si>
  <si>
    <t>15.086000400000001</t>
  </si>
  <si>
    <t>64.6259995</t>
  </si>
  <si>
    <t>16.6560001</t>
  </si>
  <si>
    <t>57.6679993</t>
  </si>
  <si>
    <t>15.859000199999995</t>
  </si>
  <si>
    <t>64.1999969</t>
  </si>
  <si>
    <t>19.722000100000002</t>
  </si>
  <si>
    <t>59.048999800000004</t>
  </si>
  <si>
    <t>15.875</t>
  </si>
  <si>
    <t>57.6269989</t>
  </si>
  <si>
    <t>18.305999800000002</t>
  </si>
  <si>
    <t>58.033333</t>
  </si>
  <si>
    <t>12.8</t>
  </si>
  <si>
    <t>58.367000600000004</t>
  </si>
  <si>
    <t>12.323</t>
  </si>
  <si>
    <t>63.9049988</t>
  </si>
  <si>
    <t>19.7460003</t>
  </si>
  <si>
    <t>59.326999699999995</t>
  </si>
  <si>
    <t>18.389999399999997</t>
  </si>
  <si>
    <t>57.1870003</t>
  </si>
  <si>
    <t>14.045999499999999</t>
  </si>
  <si>
    <t>57.75500110000001</t>
  </si>
  <si>
    <t>16.6420002</t>
  </si>
  <si>
    <t>59.610000600000006</t>
  </si>
  <si>
    <t>16.5429993</t>
  </si>
  <si>
    <t>56.882999399999996</t>
  </si>
  <si>
    <t>14.7869997</t>
  </si>
  <si>
    <t>57.827222</t>
  </si>
  <si>
    <t>15.273889000000002</t>
  </si>
  <si>
    <t>55.43199920000001</t>
  </si>
  <si>
    <t>13.824000400000001</t>
  </si>
  <si>
    <t>59.05199810000001</t>
  </si>
  <si>
    <t>12.7049999</t>
  </si>
  <si>
    <t>62.5200005</t>
  </si>
  <si>
    <t>15.6619997</t>
  </si>
  <si>
    <t>63.4099998</t>
  </si>
  <si>
    <t>13.069999699999999</t>
  </si>
  <si>
    <t>12.1359997</t>
  </si>
  <si>
    <t>57.1679993</t>
  </si>
  <si>
    <t>15.350999800000002</t>
  </si>
  <si>
    <t>56.133889</t>
  </si>
  <si>
    <t>12.948889</t>
  </si>
  <si>
    <t>58.19900129999999</t>
  </si>
  <si>
    <t>56.56100079999999</t>
  </si>
  <si>
    <t>14.145999900000001</t>
  </si>
  <si>
    <t>61.223999</t>
  </si>
  <si>
    <t>14.0480003</t>
  </si>
  <si>
    <t>65.6760025</t>
  </si>
  <si>
    <t>21.0109997</t>
  </si>
  <si>
    <t>56.24599839999999</t>
  </si>
  <si>
    <t>12.868</t>
  </si>
  <si>
    <t>57.711111</t>
  </si>
  <si>
    <t>11.647222</t>
  </si>
  <si>
    <t>58.2299995</t>
  </si>
  <si>
    <t>14.658</t>
  </si>
  <si>
    <t>59.2729988</t>
  </si>
  <si>
    <t>15.211000400000001</t>
  </si>
  <si>
    <t>13.283</t>
  </si>
  <si>
    <t>63.2849998</t>
  </si>
  <si>
    <t>18.6949997</t>
  </si>
  <si>
    <t>59.466667</t>
  </si>
  <si>
    <t>18.316667</t>
  </si>
  <si>
    <t>60.2560005</t>
  </si>
  <si>
    <t>18.3670006</t>
  </si>
  <si>
    <t>60.3549995</t>
  </si>
  <si>
    <t>12.6490002</t>
  </si>
  <si>
    <t>66.32099910000001</t>
  </si>
  <si>
    <t>22.8479996</t>
  </si>
  <si>
    <t>66.383333</t>
  </si>
  <si>
    <t>23.666667</t>
  </si>
  <si>
    <t>Temp</t>
  </si>
  <si>
    <t>Sänkning i grader</t>
  </si>
  <si>
    <t>A,a,B,b,C,c,D,d,E,e,F,f,G,g,H,h,I,i,J,j,K,k,L,l,M,m,N,n,O,o,P,p,Q,q,R,r,S,s,T,t,U,u,V,v,W,w,X,x,Y,y,Z,z,Å,å,Ä,ä,Ö,ö</t>
  </si>
  <si>
    <t>år</t>
  </si>
  <si>
    <t>månad</t>
  </si>
  <si>
    <t>Producerad energi</t>
  </si>
  <si>
    <t>System 1</t>
  </si>
  <si>
    <t>System 2</t>
  </si>
  <si>
    <t>System 3</t>
  </si>
  <si>
    <t xml:space="preserve">Antal system </t>
  </si>
  <si>
    <t>Antal system</t>
  </si>
  <si>
    <t>Värmeproduktion</t>
  </si>
  <si>
    <t>El-panna</t>
  </si>
  <si>
    <t>Flispanna</t>
  </si>
  <si>
    <t>Gaspanna</t>
  </si>
  <si>
    <t>Pelletspanna</t>
  </si>
  <si>
    <t>Oljepanna</t>
  </si>
  <si>
    <t>Vedpanna</t>
  </si>
  <si>
    <t>Mätperiod år</t>
  </si>
  <si>
    <t>Mätperiod månad</t>
  </si>
  <si>
    <t>jan</t>
  </si>
  <si>
    <t>feb</t>
  </si>
  <si>
    <t>mars</t>
  </si>
  <si>
    <t>apr</t>
  </si>
  <si>
    <t>maj</t>
  </si>
  <si>
    <t xml:space="preserve">jun </t>
  </si>
  <si>
    <t>jul</t>
  </si>
  <si>
    <t>aug</t>
  </si>
  <si>
    <t>sept</t>
  </si>
  <si>
    <t>okt</t>
  </si>
  <si>
    <t>nov</t>
  </si>
  <si>
    <t>dec</t>
  </si>
  <si>
    <t>Viktningsfaktor</t>
  </si>
  <si>
    <t>Kylproduktion</t>
  </si>
  <si>
    <t>Levererad energi</t>
  </si>
  <si>
    <t>Avloppsåtervinning</t>
  </si>
  <si>
    <t>Egenproduktion</t>
  </si>
  <si>
    <t>Fastighetsenergi</t>
  </si>
  <si>
    <t>Försörjer</t>
  </si>
  <si>
    <t>Elgolvärme i badrum</t>
  </si>
  <si>
    <t>Typ av energiproduktion</t>
  </si>
  <si>
    <t>Egenproducerad och återvunnen energi</t>
  </si>
  <si>
    <t>Återvinning av processvärme</t>
  </si>
  <si>
    <t>Typ av system</t>
  </si>
  <si>
    <t>El</t>
  </si>
  <si>
    <t>Tillgodogjord energi</t>
  </si>
  <si>
    <t>tappvarmvatten</t>
  </si>
  <si>
    <t>värme</t>
  </si>
  <si>
    <t>fastighetsel</t>
  </si>
  <si>
    <t>komfortkyla</t>
  </si>
  <si>
    <t>Fastighetsenergi (BBR)</t>
  </si>
  <si>
    <t>Typ av rum/lokaler</t>
  </si>
  <si>
    <t>Energibärare</t>
  </si>
  <si>
    <t>TOTALT</t>
  </si>
  <si>
    <t>Biobränsle</t>
  </si>
  <si>
    <t>Gas</t>
  </si>
  <si>
    <t>Olja</t>
  </si>
  <si>
    <t>TOTALT UPPMÄTT</t>
  </si>
  <si>
    <t xml:space="preserve">Levererad energi för uppvärmning per energibärare </t>
  </si>
  <si>
    <t>Bio</t>
  </si>
  <si>
    <t>Korrigering för innetemperatur</t>
  </si>
  <si>
    <t>Korrigering för normalår</t>
  </si>
  <si>
    <t>För sammanställning av uppmätt specifik energianvändning</t>
  </si>
  <si>
    <t>För normalisering av uppmätt energianvändning</t>
  </si>
  <si>
    <t xml:space="preserve">Levererad energi för komfortkyla per energibärare </t>
  </si>
  <si>
    <t xml:space="preserve">Korrigering för tappvarmvatten </t>
  </si>
  <si>
    <t>Årsverkningsgrad</t>
  </si>
  <si>
    <t>% fördelning</t>
  </si>
  <si>
    <t>Korrigering för återvunnen processvärme</t>
  </si>
  <si>
    <t>Normaliserad energianvändning för uppvärmning inkl. VVC och elgolvvärme</t>
  </si>
  <si>
    <r>
      <t>Primärenergital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</si>
  <si>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Mätdata</t>
  </si>
  <si>
    <t>Datum</t>
  </si>
  <si>
    <t>Korr</t>
  </si>
  <si>
    <t>normfaktor</t>
  </si>
  <si>
    <t xml:space="preserve">Innetemperatur enligt BEN för bostäder </t>
  </si>
  <si>
    <t>Ben_Bostad</t>
  </si>
  <si>
    <t>Ben_Lokal</t>
  </si>
  <si>
    <t>Korr vägt</t>
  </si>
  <si>
    <t>Korr fakt</t>
  </si>
  <si>
    <t>Innetemperatur enligt BEN för lokaler</t>
  </si>
  <si>
    <t>bostadsdel</t>
  </si>
  <si>
    <t>lokaldel</t>
  </si>
  <si>
    <t>°C</t>
  </si>
  <si>
    <t>Temp byggnad</t>
  </si>
  <si>
    <t>Övertemp byggnad</t>
  </si>
  <si>
    <t>Mätartyp</t>
  </si>
  <si>
    <t>Hjälptabell som nollar solceller och solfångare vid huvudmätare.</t>
  </si>
  <si>
    <t>% m2</t>
  </si>
  <si>
    <t>använd -&gt;</t>
  </si>
  <si>
    <r>
      <t>Normaliserad energianvändning MWh</t>
    </r>
    <r>
      <rPr>
        <b/>
        <vertAlign val="subscript"/>
        <sz val="11"/>
        <color theme="1"/>
        <rFont val="Calibri"/>
        <family val="2"/>
        <scheme val="minor"/>
      </rPr>
      <t xml:space="preserve"> </t>
    </r>
    <r>
      <rPr>
        <b/>
        <sz val="11"/>
        <color theme="1"/>
        <rFont val="Calibri"/>
        <family val="2"/>
        <scheme val="minor"/>
      </rPr>
      <t>och år</t>
    </r>
  </si>
  <si>
    <t>MWh</t>
  </si>
  <si>
    <t>Projektinformation</t>
  </si>
  <si>
    <t>Fastighetsägare</t>
  </si>
  <si>
    <t>Ansvarig för beräkningar</t>
  </si>
  <si>
    <t>Mätpunkt för mätning</t>
  </si>
  <si>
    <t>Mätpunkt</t>
  </si>
  <si>
    <t>Start av mätperiod</t>
  </si>
  <si>
    <t>Mätvärden</t>
  </si>
  <si>
    <t>Placering av mätare</t>
  </si>
  <si>
    <t>Före andra mätare</t>
  </si>
  <si>
    <t>Efter andra mätare</t>
  </si>
  <si>
    <t>RESULTAT</t>
  </si>
  <si>
    <t xml:space="preserve">Uppmätt energianvändning </t>
  </si>
  <si>
    <t xml:space="preserve">Normaliserad energianvändning </t>
  </si>
  <si>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 xml:space="preserve">temp </t>
    </r>
    <r>
      <rPr>
        <sz val="11"/>
        <color theme="1"/>
        <rFont val="Calibri"/>
        <family val="2"/>
        <scheme val="minor"/>
      </rPr>
      <t>och år</t>
    </r>
  </si>
  <si>
    <r>
      <t>Uppmätt energianvändning MWh</t>
    </r>
    <r>
      <rPr>
        <b/>
        <vertAlign val="subscript"/>
        <sz val="12"/>
        <color theme="1"/>
        <rFont val="Calibri"/>
        <family val="2"/>
        <scheme val="minor"/>
      </rPr>
      <t xml:space="preserve"> </t>
    </r>
    <r>
      <rPr>
        <b/>
        <sz val="12"/>
        <color theme="1"/>
        <rFont val="Calibri"/>
        <family val="2"/>
        <scheme val="minor"/>
      </rPr>
      <t>och år</t>
    </r>
  </si>
  <si>
    <t>A</t>
  </si>
  <si>
    <t>B</t>
  </si>
  <si>
    <t>C</t>
  </si>
  <si>
    <t>D</t>
  </si>
  <si>
    <t>E</t>
  </si>
  <si>
    <t>F</t>
  </si>
  <si>
    <t>G</t>
  </si>
  <si>
    <t>min</t>
  </si>
  <si>
    <t>max</t>
  </si>
  <si>
    <t>Hushållsenergi</t>
  </si>
  <si>
    <t xml:space="preserve">Levererad energi för fastighetseenergi </t>
  </si>
  <si>
    <t xml:space="preserve">TOTALT </t>
  </si>
  <si>
    <t>Levererad energi för verksamhetsenergi</t>
  </si>
  <si>
    <t>Levererad energi för hushållsenergi</t>
  </si>
  <si>
    <t>Värdena kopieras från tabeller i vänster</t>
  </si>
  <si>
    <t>Uppmätt energi flerbostadshus (kWh/m2 Atemp)</t>
  </si>
  <si>
    <t>Norm värde bostäder (kWh/m2 Atemp)</t>
  </si>
  <si>
    <t>Icke försumbar påverkan</t>
  </si>
  <si>
    <t>Avvikelse från norm användning</t>
  </si>
  <si>
    <t>Uppvärmningssäsongens längd</t>
  </si>
  <si>
    <t>Korrigering för interna laster (bara bostäder)</t>
  </si>
  <si>
    <t>Lev energi %</t>
  </si>
  <si>
    <t>Uppvärmningssäsong</t>
  </si>
  <si>
    <t>Uppvärmningssäsong start</t>
  </si>
  <si>
    <t>Uppvärmningssäsong slut</t>
  </si>
  <si>
    <t>Månad nr</t>
  </si>
  <si>
    <t xml:space="preserve">Antal timmar </t>
  </si>
  <si>
    <t>Start</t>
  </si>
  <si>
    <t>Stop</t>
  </si>
  <si>
    <t>Antal timmar i månad</t>
  </si>
  <si>
    <t>Övertemp byggnad avrundad</t>
  </si>
  <si>
    <t>Mätmånad</t>
  </si>
  <si>
    <t>Korrigering (1/0)</t>
  </si>
  <si>
    <t>Levererad energi under uppvärmningssäsongen och % fördelning mellan uppvärmningsmånader</t>
  </si>
  <si>
    <t>Lev energi totalt</t>
  </si>
  <si>
    <t>kontrollberäkning</t>
  </si>
  <si>
    <t>dif</t>
  </si>
  <si>
    <t>Kontrollberäkning</t>
  </si>
  <si>
    <t>Korrigeringsfaktorer</t>
  </si>
  <si>
    <t>Värdena nedan visas bara om mätvärden motsvarar fastighetsenergi och följer inmatningsordning</t>
  </si>
  <si>
    <t>Tillgodogjord</t>
  </si>
  <si>
    <t>Egenproducerad energi el</t>
  </si>
  <si>
    <t>Egenproducerad energi värme</t>
  </si>
  <si>
    <t>Avlopssåtervinning</t>
  </si>
  <si>
    <t>System 4</t>
  </si>
  <si>
    <t>System 5</t>
  </si>
  <si>
    <t>TOTALT LEVERERAD</t>
  </si>
  <si>
    <t>% Fördelning producerad</t>
  </si>
  <si>
    <t>Levererad energi efter avdrag solceller</t>
  </si>
  <si>
    <t>UPPMÄTT ENERGIANVÄNDNING (KÖPT ENERGI)</t>
  </si>
  <si>
    <t>MED Fgeo</t>
  </si>
  <si>
    <t>Energi för tappvarmvatten  (exkl VVC)</t>
  </si>
  <si>
    <t>% fördelning producerad</t>
  </si>
  <si>
    <t>Totalt levererad energi efter avdrag för solel</t>
  </si>
  <si>
    <t>Indata för energiklassning</t>
  </si>
  <si>
    <t>Korrigering av producerad energi för uppvärmning (kWh/år)</t>
  </si>
  <si>
    <t>VISA RÖDA SIFFROR (BEARBETAD DATA I INDATATABELLEN)</t>
  </si>
  <si>
    <t>JA</t>
  </si>
  <si>
    <t>NEJ</t>
  </si>
  <si>
    <t>Så här fungerar det:</t>
  </si>
  <si>
    <t>Värmekälla</t>
  </si>
  <si>
    <t>Energikälla</t>
  </si>
  <si>
    <r>
      <t>A</t>
    </r>
    <r>
      <rPr>
        <b/>
        <vertAlign val="subscript"/>
        <sz val="11"/>
        <rFont val="Calibri"/>
        <family val="2"/>
        <scheme val="minor"/>
      </rPr>
      <t>temp,</t>
    </r>
    <r>
      <rPr>
        <b/>
        <sz val="11"/>
        <rFont val="Calibri"/>
        <family val="2"/>
        <scheme val="minor"/>
      </rPr>
      <t xml:space="preserve"> m</t>
    </r>
    <r>
      <rPr>
        <b/>
        <vertAlign val="superscript"/>
        <sz val="11"/>
        <rFont val="Calibri"/>
        <family val="2"/>
        <scheme val="minor"/>
      </rPr>
      <t>2</t>
    </r>
  </si>
  <si>
    <t>GreenBuilding certifiering</t>
  </si>
  <si>
    <t>Greenbuilding certifiering</t>
  </si>
  <si>
    <t>Ny byggnad</t>
  </si>
  <si>
    <t>Befintlig byggnad</t>
  </si>
  <si>
    <t>övre gräns</t>
  </si>
  <si>
    <t>Sälen</t>
  </si>
  <si>
    <t>Energi för uppvärmning exkl. VVC</t>
  </si>
  <si>
    <t>Energi för uppvärmning inkl. VVC</t>
  </si>
  <si>
    <t>Byggnadens totala energianvändning</t>
  </si>
  <si>
    <r>
      <t>Andel bostäder av</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i %</t>
    </r>
  </si>
  <si>
    <r>
      <t>Andel lokaler av A</t>
    </r>
    <r>
      <rPr>
        <b/>
        <vertAlign val="subscript"/>
        <sz val="11"/>
        <rFont val="Calibri"/>
        <family val="2"/>
        <scheme val="minor"/>
      </rPr>
      <t xml:space="preserve">temp </t>
    </r>
    <r>
      <rPr>
        <b/>
        <sz val="11"/>
        <rFont val="Calibri"/>
        <family val="2"/>
        <scheme val="minor"/>
      </rPr>
      <t>i</t>
    </r>
    <r>
      <rPr>
        <b/>
        <sz val="11"/>
        <color rgb="FFFF0000"/>
        <rFont val="Calibri"/>
        <family val="2"/>
        <scheme val="minor"/>
      </rPr>
      <t xml:space="preserve"> </t>
    </r>
    <r>
      <rPr>
        <b/>
        <sz val="11"/>
        <color theme="1"/>
        <rFont val="Calibri"/>
        <family val="2"/>
        <scheme val="minor"/>
      </rPr>
      <t>%</t>
    </r>
  </si>
  <si>
    <t>Finns ej</t>
  </si>
  <si>
    <t>GreenBuilding kriteriet 1.1 uppfylls (JA/NEJ)</t>
  </si>
  <si>
    <t>Indata om byggnaden</t>
  </si>
  <si>
    <t>Finns det äldreboende i byggnaden?</t>
  </si>
  <si>
    <t>Krav på energiprestanda enligt BBR</t>
  </si>
  <si>
    <t>BBR version</t>
  </si>
  <si>
    <r>
      <t>Geografisk justeringsfaktor F</t>
    </r>
    <r>
      <rPr>
        <b/>
        <vertAlign val="subscript"/>
        <sz val="11"/>
        <rFont val="Calibri"/>
        <family val="2"/>
        <scheme val="minor"/>
      </rPr>
      <t>geo</t>
    </r>
  </si>
  <si>
    <t>Installerad eleffekt för uppvärmning och tappvarmvatten</t>
  </si>
  <si>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xml:space="preserve"> och år</t>
    </r>
  </si>
  <si>
    <t>Grundkrav BBR</t>
  </si>
  <si>
    <t>Luftflödestillägg</t>
  </si>
  <si>
    <t>Beräknat krav BBR</t>
  </si>
  <si>
    <t xml:space="preserve">BBR version </t>
  </si>
  <si>
    <t>Lokaler</t>
  </si>
  <si>
    <t>Flerbostadshus</t>
  </si>
  <si>
    <t>Installerad eleffekt</t>
  </si>
  <si>
    <t>BBR25</t>
  </si>
  <si>
    <r>
      <t>&gt; 10 W/m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</si>
  <si>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t>BBR29</t>
  </si>
  <si>
    <r>
      <t>&lt; 10 W/m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</si>
  <si>
    <r>
      <t>Finns det lägenheter med en boarea om högst 35 m</t>
    </r>
    <r>
      <rPr>
        <b/>
        <vertAlign val="superscript"/>
        <sz val="11"/>
        <color theme="1"/>
        <rFont val="Calibri"/>
        <family val="2"/>
        <scheme val="minor"/>
      </rPr>
      <t>2</t>
    </r>
    <r>
      <rPr>
        <b/>
        <sz val="11"/>
        <color theme="1"/>
        <rFont val="Calibri"/>
        <family val="2"/>
        <scheme val="minor"/>
      </rPr>
      <t xml:space="preserve"> vardera?</t>
    </r>
  </si>
  <si>
    <r>
      <t>Krav på primärenergital (EP</t>
    </r>
    <r>
      <rPr>
        <b/>
        <vertAlign val="subscript"/>
        <sz val="11"/>
        <color theme="1"/>
        <rFont val="Calibri"/>
        <family val="2"/>
        <scheme val="minor"/>
      </rPr>
      <t>pet</t>
    </r>
    <r>
      <rPr>
        <b/>
        <sz val="11"/>
        <color theme="1"/>
        <rFont val="Calibri"/>
        <family val="2"/>
        <scheme val="minor"/>
      </rPr>
      <t>) för hela byggnaden</t>
    </r>
  </si>
  <si>
    <t>Befintlig byggnad Alternativ 1</t>
  </si>
  <si>
    <t>Befintlig byggnad Alternativ 2</t>
  </si>
  <si>
    <t>Certifiering</t>
  </si>
  <si>
    <t>viktat medel BEN temp</t>
  </si>
  <si>
    <t>har justerat korrigeringen till övertemp som är större än 1 grader</t>
  </si>
  <si>
    <t>Avdrag solceller</t>
  </si>
  <si>
    <t>För månadsvis redovsining av uppmätt energianvänding (omberäkning till producerad energi för avdrag för återvunnen energi och solvärme. För avdrag solceller görs omräkning till levererad energi igen)</t>
  </si>
  <si>
    <t xml:space="preserve">Produktion av tappvarmvarmvatten </t>
  </si>
  <si>
    <t>Finns</t>
  </si>
  <si>
    <t>Mätning av VVC förluster</t>
  </si>
  <si>
    <t>Mäts separat</t>
  </si>
  <si>
    <t>Mätdata VVC</t>
  </si>
  <si>
    <t>Inkluderad i energi för uppvärmning</t>
  </si>
  <si>
    <t>Inkluderad i energi för tappvarmvatten</t>
  </si>
  <si>
    <t>Uppmätt energi för tappvarmvatten och VVC-förluster</t>
  </si>
  <si>
    <t xml:space="preserve">Uppmätt energi för uppvärmning </t>
  </si>
  <si>
    <t xml:space="preserve">Levererad energi för tappvarmvatten per energibärare </t>
  </si>
  <si>
    <t xml:space="preserve">Levererad energi för VVC per energibärare vid separat mätning </t>
  </si>
  <si>
    <t>Levererad energi för VVC per energibärare vid separat mätning eller om VVC är inkluderad i TVV</t>
  </si>
  <si>
    <t>Finns det elgolvvärme i badrum?</t>
  </si>
  <si>
    <t xml:space="preserve">Mätning av energi till elgolvvärme </t>
  </si>
  <si>
    <t>Ingår i mätdata hushållsel</t>
  </si>
  <si>
    <t>Antal badrum</t>
  </si>
  <si>
    <t>Elgolvvärme</t>
  </si>
  <si>
    <t>Månadsvikter komfortgolvvärme</t>
  </si>
  <si>
    <t>kWh/golv per månad</t>
  </si>
  <si>
    <t>% per månad</t>
  </si>
  <si>
    <t>Mätdata elgolvvärme</t>
  </si>
  <si>
    <t>Mätdata tvättstogor</t>
  </si>
  <si>
    <t>Mätdata utvändig el</t>
  </si>
  <si>
    <t>Ingår i mätdata fastighetsel</t>
  </si>
  <si>
    <r>
      <t>Uppskattad energianvändning, kWh/m</t>
    </r>
    <r>
      <rPr>
        <b/>
        <vertAlign val="superscript"/>
        <sz val="11"/>
        <color theme="1"/>
        <rFont val="Calibri"/>
        <family val="2"/>
        <scheme val="minor"/>
      </rPr>
      <t xml:space="preserve">2 </t>
    </r>
    <r>
      <rPr>
        <b/>
        <sz val="11"/>
        <color theme="1"/>
        <rFont val="Calibri"/>
        <family val="2"/>
        <scheme val="minor"/>
      </rPr>
      <t>år</t>
    </r>
  </si>
  <si>
    <t>Värdena nedan  följer inmatningsordning</t>
  </si>
  <si>
    <t>Levererad energi för fastighetsenergi (exkl elgolvvärme om det ingår I mätdata fastighetsenergi)</t>
  </si>
  <si>
    <t>Efter avdrag solceller</t>
  </si>
  <si>
    <t xml:space="preserve">Tillgänglig mätdata </t>
  </si>
  <si>
    <t>Separat mätdata finns</t>
  </si>
  <si>
    <t>Mätdata verksamhetsenergi</t>
  </si>
  <si>
    <t>Mätdata ej tillgänglig</t>
  </si>
  <si>
    <t>Verksamhetsenergi</t>
  </si>
  <si>
    <t>Uppmätt verksamhetsrelaterad energianvändning (hushållsenergi eller verksamhetsenergi)</t>
  </si>
  <si>
    <t>Värdena visas bara om mätvärden motsvarar verksamhetsenergi/hushållsenergi och följer systemordning i indatatabellen</t>
  </si>
  <si>
    <t>primärenergifaktor BBR25</t>
  </si>
  <si>
    <t>viktningsfaktor BBR29</t>
  </si>
  <si>
    <t>TOTALT PRODUCERAD MWh/år</t>
  </si>
  <si>
    <t>TOTALT LEVERERAD MWh/år</t>
  </si>
  <si>
    <t>Totalt producerad energi MWh/år</t>
  </si>
  <si>
    <t>Totalt levererad energi MWh/år</t>
  </si>
  <si>
    <t>Normaliserad energianvändning för tappvarmvatten (normvärde fördelas mellan olika energibärare efter % fördelning producerad)</t>
  </si>
  <si>
    <t>kWh/m2 år</t>
  </si>
  <si>
    <t>BIDRAG I PET BBR25 MWh/år</t>
  </si>
  <si>
    <t>BIDRAG I PET BBR29 MWh/år</t>
  </si>
  <si>
    <t>TOTALT LEVERERAD (MWh/år)</t>
  </si>
  <si>
    <t>BBR25 Om byggnaden har en installerad eleffekt för uppvärmning och tappvarmvatten som understiger 10 W/m2 multipliceras elenergi till komfortkyla med 1,875 ut-över multiplikation med primärenergifaktorn PEel för elenergi.</t>
  </si>
  <si>
    <t>&lt; 10 W/m2 Atemp</t>
  </si>
  <si>
    <t>BIDRAG I PET BBR25</t>
  </si>
  <si>
    <t>BIDRAG I PET BBR29</t>
  </si>
  <si>
    <t>Värdena visas om mätvärdena är inmatade</t>
  </si>
  <si>
    <t>per Atemp bostadsdel (om bostadsdel är mindre än 100%)</t>
  </si>
  <si>
    <t>Levererad energi för hushållsenergi exkl elgolvvärme om den är inkluderad i mätvärden</t>
  </si>
  <si>
    <t>Korrigering för återvunnen processvärme för uppvärmning (producerad energi)</t>
  </si>
  <si>
    <t>Korrigering levererad energi</t>
  </si>
  <si>
    <t>Generisk</t>
  </si>
  <si>
    <t>Specifik</t>
  </si>
  <si>
    <t>Uppvärmning</t>
  </si>
  <si>
    <t>Tappvarmvatten</t>
  </si>
  <si>
    <t>Komfortkyla</t>
  </si>
  <si>
    <t>Verksamhet</t>
  </si>
  <si>
    <t>verkningsgrad</t>
  </si>
  <si>
    <t>Levererad efter avdrag solceller</t>
  </si>
  <si>
    <t>För månadsvis redovsining av uppmätt energianvänding</t>
  </si>
  <si>
    <t>kWh/m2</t>
  </si>
  <si>
    <t>BBR version för certifiering</t>
  </si>
  <si>
    <r>
      <t>Beräknat primärenergital (EP</t>
    </r>
    <r>
      <rPr>
        <b/>
        <vertAlign val="subscript"/>
        <sz val="11"/>
        <color theme="1"/>
        <rFont val="Calibri"/>
        <family val="2"/>
        <scheme val="minor"/>
      </rPr>
      <t>pet</t>
    </r>
    <r>
      <rPr>
        <b/>
        <sz val="11"/>
        <color theme="1"/>
        <rFont val="Calibri"/>
        <family val="2"/>
        <scheme val="minor"/>
      </rPr>
      <t>)</t>
    </r>
  </si>
  <si>
    <t xml:space="preserve">Primärenergital </t>
  </si>
  <si>
    <t>Byggnadens energiprestanda och verifiering av GreenBuilding krav</t>
  </si>
  <si>
    <t>Korrigering till normal användning av varmvatten</t>
  </si>
  <si>
    <t>Korrigering på grund av avvikelser i innetemperatur</t>
  </si>
  <si>
    <t>Justering för processvärme</t>
  </si>
  <si>
    <t>Normalårskorrigering</t>
  </si>
  <si>
    <t>Korrigering på grund av avvikelser i internlaster (bara hushållsel)</t>
  </si>
  <si>
    <t>Kommentarer om normalisering av byggnadens energianvändning</t>
  </si>
  <si>
    <t>Uppmätt</t>
  </si>
  <si>
    <t>Normaliserad</t>
  </si>
  <si>
    <t>Återrapportering 1</t>
  </si>
  <si>
    <t>Återrapportering 2</t>
  </si>
  <si>
    <t>Återrapportering 3</t>
  </si>
  <si>
    <t>Återrapportering 4</t>
  </si>
  <si>
    <t>Återrapportering 5</t>
  </si>
  <si>
    <t>Återrapportering 6</t>
  </si>
  <si>
    <t>Återrapportering 7</t>
  </si>
  <si>
    <t>Referensår</t>
  </si>
  <si>
    <t>Avvikelser</t>
  </si>
  <si>
    <t>Rapporteringsår</t>
  </si>
  <si>
    <t>Byggnadens energianvändning totalt (BBR energi)</t>
  </si>
  <si>
    <t>Typ av rapportering</t>
  </si>
  <si>
    <t>STATISTIK</t>
  </si>
  <si>
    <r>
      <t>Byggnadens energianvändning, kWh/m</t>
    </r>
    <r>
      <rPr>
        <b/>
        <vertAlign val="superscript"/>
        <sz val="12"/>
        <color theme="1"/>
        <rFont val="Calibri"/>
        <family val="2"/>
        <scheme val="minor"/>
      </rPr>
      <t>2</t>
    </r>
    <r>
      <rPr>
        <b/>
        <sz val="12"/>
        <color theme="1"/>
        <rFont val="Calibri"/>
        <family val="2"/>
        <scheme val="minor"/>
      </rPr>
      <t xml:space="preserve"> A</t>
    </r>
    <r>
      <rPr>
        <b/>
        <vertAlign val="subscript"/>
        <sz val="12"/>
        <color theme="1"/>
        <rFont val="Calibri"/>
        <family val="2"/>
        <scheme val="minor"/>
      </rPr>
      <t xml:space="preserve">temp </t>
    </r>
    <r>
      <rPr>
        <b/>
        <sz val="12"/>
        <color theme="1"/>
        <rFont val="Calibri"/>
        <family val="2"/>
        <scheme val="minor"/>
      </rPr>
      <t>och år</t>
    </r>
  </si>
  <si>
    <r>
      <t>Verksamhetsrelaterad energianvändning (redovisas per area andel i A</t>
    </r>
    <r>
      <rPr>
        <i/>
        <vertAlign val="subscript"/>
        <sz val="11"/>
        <color theme="1"/>
        <rFont val="Calibri"/>
        <family val="2"/>
        <scheme val="minor"/>
      </rPr>
      <t>temp</t>
    </r>
    <r>
      <rPr>
        <i/>
        <sz val="11"/>
        <color theme="1"/>
        <rFont val="Calibri"/>
        <family val="2"/>
        <scheme val="minor"/>
      </rPr>
      <t>)</t>
    </r>
  </si>
  <si>
    <r>
      <t>Beräknat primärenergital (EP</t>
    </r>
    <r>
      <rPr>
        <vertAlign val="subscript"/>
        <sz val="11"/>
        <color theme="1"/>
        <rFont val="Calibri"/>
        <family val="2"/>
        <scheme val="minor"/>
      </rPr>
      <t>pet</t>
    </r>
    <r>
      <rPr>
        <sz val="11"/>
        <color theme="1"/>
        <rFont val="Calibri"/>
        <family val="2"/>
        <scheme val="minor"/>
      </rPr>
      <t>), 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xml:space="preserve"> och år</t>
    </r>
  </si>
  <si>
    <t>Kriterier uppfylls</t>
  </si>
  <si>
    <t>Rapporteringsperiod</t>
  </si>
  <si>
    <t>Förluster för varmvattencirkulation (VVC-förluster)</t>
  </si>
  <si>
    <t>Uppmätt energi för komfortkyla</t>
  </si>
  <si>
    <t>Uppmätt energi för fastighetsenergi (BBR)</t>
  </si>
  <si>
    <t>Uppmätt tillgodogjord egenproducerad/ återvunnen energi</t>
  </si>
  <si>
    <t>Uppmätt inomhustemperatur under uppvärmningssäsongen</t>
  </si>
  <si>
    <r>
      <t>Areaandel  av totala A</t>
    </r>
    <r>
      <rPr>
        <b/>
        <vertAlign val="subscript"/>
        <sz val="11"/>
        <color theme="1"/>
        <rFont val="Calibri"/>
        <family val="2"/>
        <scheme val="minor"/>
      </rPr>
      <t>temp</t>
    </r>
    <r>
      <rPr>
        <b/>
        <sz val="11"/>
        <color theme="1"/>
        <rFont val="Calibri"/>
        <family val="2"/>
        <scheme val="minor"/>
      </rPr>
      <t xml:space="preserve"> i %</t>
    </r>
  </si>
  <si>
    <t>Uppmätt genomsnittlig inomhustemperatur, °C</t>
  </si>
  <si>
    <t>Genomsnittlig inomhustemperatur, °C</t>
  </si>
  <si>
    <t>Normal inomhustemperatur bostäder, °C</t>
  </si>
  <si>
    <t>Normal inomhustemperatur lokaler, °C</t>
  </si>
  <si>
    <t>Kommentarer om mätdata</t>
  </si>
  <si>
    <t>INDATA OM BYGGNADEN OCH KRAV PÅ ENERGIPRESTANDA ENLIGT BBR</t>
  </si>
  <si>
    <r>
      <t>Byggnadens area A</t>
    </r>
    <r>
      <rPr>
        <b/>
        <vertAlign val="subscript"/>
        <sz val="11"/>
        <rFont val="Calibri"/>
        <family val="2"/>
        <scheme val="minor"/>
      </rPr>
      <t>temp</t>
    </r>
    <r>
      <rPr>
        <b/>
        <sz val="11"/>
        <rFont val="Calibri"/>
        <family val="2"/>
        <scheme val="minor"/>
      </rPr>
      <t xml:space="preserve"> i m</t>
    </r>
    <r>
      <rPr>
        <b/>
        <vertAlign val="superscript"/>
        <sz val="11"/>
        <rFont val="Calibri"/>
        <family val="2"/>
        <scheme val="minor"/>
      </rPr>
      <t>2</t>
    </r>
  </si>
  <si>
    <r>
      <t>Maximalt hygieniskt uteluftsflöde, l/s 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temp</t>
    </r>
  </si>
  <si>
    <t>Ventilationens drifttid, h/ vecka</t>
  </si>
  <si>
    <r>
      <t>Genomsnittligt uteluftsflöde q</t>
    </r>
    <r>
      <rPr>
        <b/>
        <vertAlign val="subscript"/>
        <sz val="11"/>
        <color theme="1"/>
        <rFont val="Calibri"/>
        <family val="2"/>
        <scheme val="minor"/>
      </rPr>
      <t>medel</t>
    </r>
    <r>
      <rPr>
        <b/>
        <sz val="11"/>
        <color theme="1"/>
        <rFont val="Calibri"/>
        <family val="2"/>
        <scheme val="minor"/>
      </rPr>
      <t>, , l/s 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temp</t>
    </r>
  </si>
  <si>
    <r>
      <t>Krav på primärenergital (EP</t>
    </r>
    <r>
      <rPr>
        <b/>
        <vertAlign val="subscript"/>
        <sz val="11"/>
        <color theme="1"/>
        <rFont val="Calibri"/>
        <family val="2"/>
        <scheme val="minor"/>
      </rPr>
      <t>pet</t>
    </r>
    <r>
      <rPr>
        <b/>
        <sz val="11"/>
        <color theme="1"/>
        <rFont val="Calibri"/>
        <family val="2"/>
        <scheme val="minor"/>
      </rPr>
      <t>), kWh/m</t>
    </r>
    <r>
      <rPr>
        <b/>
        <vertAlign val="superscript"/>
        <sz val="11"/>
        <color theme="1"/>
        <rFont val="Calibri"/>
        <family val="2"/>
        <scheme val="minor"/>
      </rPr>
      <t>2</t>
    </r>
    <r>
      <rPr>
        <b/>
        <sz val="11"/>
        <color theme="1"/>
        <rFont val="Calibri"/>
        <family val="2"/>
        <scheme val="minor"/>
      </rPr>
      <t xml:space="preserve"> A</t>
    </r>
    <r>
      <rPr>
        <b/>
        <vertAlign val="subscript"/>
        <sz val="11"/>
        <color theme="1"/>
        <rFont val="Calibri"/>
        <family val="2"/>
        <scheme val="minor"/>
      </rPr>
      <t xml:space="preserve">temp </t>
    </r>
    <r>
      <rPr>
        <b/>
        <sz val="11"/>
        <color theme="1"/>
        <rFont val="Calibri"/>
        <family val="2"/>
        <scheme val="minor"/>
      </rPr>
      <t>och år</t>
    </r>
  </si>
  <si>
    <t>Emissionsfaktorer</t>
  </si>
  <si>
    <t>Energislag</t>
  </si>
  <si>
    <t>Specifik data</t>
  </si>
  <si>
    <t>Underlag för emissionsfaktorer</t>
  </si>
  <si>
    <t>Funktionell enhet</t>
  </si>
  <si>
    <r>
      <t>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BTA </t>
    </r>
  </si>
  <si>
    <t>Generisk data</t>
  </si>
  <si>
    <t>rosa celler visar felmeddelanden om värden blir negativa</t>
  </si>
  <si>
    <t>VV</t>
  </si>
  <si>
    <t>kyla</t>
  </si>
  <si>
    <t xml:space="preserve">För månadsvis redovsining av uppmätt energianvänding </t>
  </si>
  <si>
    <t>kWh/m2 Atemp lokal area</t>
  </si>
  <si>
    <t>per Atemp lokaldel (om lokaldel är mindre än 100%)</t>
  </si>
  <si>
    <t xml:space="preserve"> - </t>
  </si>
  <si>
    <t>TOTALT PRODUCERAD (MWh/år)</t>
  </si>
  <si>
    <t>Producerad energi med avdrag solvärme (MWh/år)</t>
  </si>
  <si>
    <t>Producerad energi med avdrag återvunnen energi (MWh/år)</t>
  </si>
  <si>
    <t>Totalt levererad energi efter avdrag ovan (MWh/år)</t>
  </si>
  <si>
    <t>Levererad energi efter avdrag solceller (MWh/år)</t>
  </si>
  <si>
    <t>Om andel bostäder är 0% ska hushållsenergi vara 0 oavsett vad som har matats in</t>
  </si>
  <si>
    <t>Om andel lokaler är 0% ska hushållsenergi vara 0 oavsett vad som har matats in</t>
  </si>
  <si>
    <t>Levererad energi efter tillägg för elgolvvärme (MWh/år)</t>
  </si>
  <si>
    <t>TOTALT LEVERERAD (inkl VVC och elgolvvärme) (MWh/år)</t>
  </si>
  <si>
    <t>BIDRAG I PET BBR25 (MWh/år)</t>
  </si>
  <si>
    <t>BIDRAG I PET BBR29 (MWh/år)</t>
  </si>
  <si>
    <t>Energi elgolvvärme i bostäder (om finns)</t>
  </si>
  <si>
    <t>Levererad energi för fastighetsenergi (inga avdrag för elgolvvärme)</t>
  </si>
  <si>
    <t>Siffror visar antigen uppmätta värden eller schablonvärden. Värdet är 0 om andel bostäder är 0%</t>
  </si>
  <si>
    <t>Värdet är 0 om andel bostäder är 0</t>
  </si>
  <si>
    <t>För Ny byggnad och befintlig byggnad Alternativ 2</t>
  </si>
  <si>
    <t>För befintlig byggnad Alternativ 1</t>
  </si>
  <si>
    <t>Producerad energi med avdrag avloppsåtervinning (MWh/år)</t>
  </si>
  <si>
    <t>Ingen avdrag för solceller</t>
  </si>
  <si>
    <t>Ingen avdrag för solel</t>
  </si>
  <si>
    <t>För befintlig byggnad Alternativ 1 gäller BBR vid certifieringstillfället, så beräkning ska vara enligt BBR29 eller senare</t>
  </si>
  <si>
    <r>
      <t>Emissionsfaktorer kgCO</t>
    </r>
    <r>
      <rPr>
        <vertAlign val="subscript"/>
        <sz val="11"/>
        <color theme="1"/>
        <rFont val="Calibri"/>
        <family val="2"/>
        <scheme val="minor"/>
      </rPr>
      <t>2</t>
    </r>
    <r>
      <rPr>
        <sz val="11"/>
        <color theme="1"/>
        <rFont val="Calibri"/>
        <family val="2"/>
        <scheme val="minor"/>
      </rPr>
      <t>/kWh</t>
    </r>
  </si>
  <si>
    <t>Beräkning av klimatpåverkan</t>
  </si>
  <si>
    <t>Beräkningsperiod, år</t>
  </si>
  <si>
    <t>Emissionsfaktorer kgCO2/kWh</t>
  </si>
  <si>
    <t>NORMALISERAD ENERGIANVÄNDNING och PRIMÄRENERGITAL</t>
  </si>
  <si>
    <t>NORMALISERAD ENERGIANVÄNDNING OCH PRIMÄRENERGITAL</t>
  </si>
  <si>
    <t>Ingår  I sammanställningen på resultatsida</t>
  </si>
  <si>
    <t>Referensår (gäller för befintlig byggnad Alternativ 1)</t>
  </si>
  <si>
    <t>GreenBuilding kriteriet 1.1 uppfylls</t>
  </si>
  <si>
    <t>Miljöpåverkan</t>
  </si>
  <si>
    <t xml:space="preserve"> Ny byggnad och befintlig byggnad Alternativ 2</t>
  </si>
  <si>
    <t>Normaliserad energianvändning i drift</t>
  </si>
  <si>
    <t>KLIMATPÅVERKAN</t>
  </si>
  <si>
    <t>Klimatpåverkan i kgCO2 e/m2 BTA</t>
  </si>
  <si>
    <t>Byggnadens energianvändning (BBR energi) i drift</t>
  </si>
  <si>
    <t>Korrigeringar för normalisering av byggnadens energianvändning i drift</t>
  </si>
  <si>
    <t>Byggnadens uppmätt energianvändning (BBR energi) i drift</t>
  </si>
  <si>
    <r>
      <t>kWh/m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 xml:space="preserve">temp </t>
    </r>
  </si>
  <si>
    <t xml:space="preserve">UPPMÄTT ENERGIANVÄNDNING </t>
  </si>
  <si>
    <t>För referensår befintlig byggnad Alternativ 1</t>
  </si>
  <si>
    <t>För referensår för certifiering enligt Befinltig byggnad Alternativ 1 ska normaliserad energianvändning och primärenergital vara inkl. Solenergi. Jag antara att begränsningar för Alternativ 1 gäller bara för åtgärder och energiprestanda I drift</t>
  </si>
  <si>
    <t>Primärenergital referensår (inkl. korrigeringar för solenergi)</t>
  </si>
  <si>
    <t>Primärenergital I drift (inga korrigeringar för solenergi)</t>
  </si>
  <si>
    <t>Klimatpåverkan av energianvändningen i drift</t>
  </si>
  <si>
    <t>UPPMÄTT ENERGIANVÄNDNING UNDER REFERENSÅRET</t>
  </si>
  <si>
    <t>Gäller för GreenBuilding certifiering av en befintlig byggnad enligt Alternativ 1</t>
  </si>
  <si>
    <r>
      <t xml:space="preserve">REFERENSÅR </t>
    </r>
    <r>
      <rPr>
        <b/>
        <i/>
        <sz val="12"/>
        <color theme="1"/>
        <rFont val="Calibri"/>
        <family val="2"/>
        <scheme val="minor"/>
      </rPr>
      <t>(Gäller för befintlig byggnad Alternativ 1)</t>
    </r>
  </si>
  <si>
    <t>Energianvändning i drift</t>
  </si>
  <si>
    <t>Energianvändning under referensåret</t>
  </si>
  <si>
    <t>Normaliserad energianvändning referensår</t>
  </si>
  <si>
    <r>
      <t xml:space="preserve">Klimatpåverkan av energianvändningen </t>
    </r>
    <r>
      <rPr>
        <i/>
        <sz val="11"/>
        <color theme="1"/>
        <rFont val="Calibri"/>
        <family val="2"/>
        <scheme val="minor"/>
      </rPr>
      <t>referensår</t>
    </r>
  </si>
  <si>
    <t>SGBCs verktyg för normalisering av mätvärden, normalårskorrigering och beräkning av primärenergital enligt BBR25 alternativt BBR29</t>
  </si>
  <si>
    <r>
      <t>Emissionsfaktorer kgCO</t>
    </r>
    <r>
      <rPr>
        <b/>
        <vertAlign val="subscript"/>
        <sz val="11"/>
        <color theme="1"/>
        <rFont val="Calibri"/>
        <family val="2"/>
        <scheme val="minor"/>
      </rPr>
      <t>2</t>
    </r>
    <r>
      <rPr>
        <b/>
        <sz val="11"/>
        <color theme="1"/>
        <rFont val="Calibri"/>
        <family val="2"/>
        <scheme val="minor"/>
      </rPr>
      <t>/MWh</t>
    </r>
  </si>
  <si>
    <t>Klimatpåverkan av levererad (köpt) energianvändning</t>
  </si>
  <si>
    <r>
      <t>Byggnadens bruttoarea BTA, m</t>
    </r>
    <r>
      <rPr>
        <b/>
        <vertAlign val="superscript"/>
        <sz val="11"/>
        <color theme="1"/>
        <rFont val="Calibri"/>
        <family val="2"/>
        <scheme val="minor"/>
      </rPr>
      <t>2</t>
    </r>
  </si>
  <si>
    <r>
      <t>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BTA,  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2</t>
    </r>
    <r>
      <rPr>
        <sz val="11"/>
        <color theme="1"/>
        <rFont val="Calibri"/>
        <family val="2"/>
        <scheme val="minor"/>
      </rPr>
      <t xml:space="preserve"> A</t>
    </r>
    <r>
      <rPr>
        <vertAlign val="subscript"/>
        <sz val="11"/>
        <color theme="1"/>
        <rFont val="Calibri"/>
        <family val="2"/>
        <scheme val="minor"/>
      </rPr>
      <t>temp</t>
    </r>
    <r>
      <rPr>
        <sz val="11"/>
        <color theme="1"/>
        <rFont val="Calibri"/>
        <family val="2"/>
        <scheme val="minor"/>
      </rPr>
      <t>,  kgCO</t>
    </r>
    <r>
      <rPr>
        <vertAlign val="subscript"/>
        <sz val="11"/>
        <color theme="1"/>
        <rFont val="Calibri"/>
        <family val="2"/>
        <scheme val="minor"/>
      </rPr>
      <t>2</t>
    </r>
    <r>
      <rPr>
        <sz val="11"/>
        <color theme="1"/>
        <rFont val="Calibri"/>
        <family val="2"/>
        <scheme val="minor"/>
      </rPr>
      <t>e/m</t>
    </r>
    <r>
      <rPr>
        <vertAlign val="superscript"/>
        <sz val="11"/>
        <color theme="1"/>
        <rFont val="Calibri"/>
        <family val="2"/>
        <scheme val="minor"/>
      </rPr>
      <t xml:space="preserve">2 </t>
    </r>
    <r>
      <rPr>
        <sz val="11"/>
        <color theme="1"/>
        <rFont val="Calibri"/>
        <family val="2"/>
        <scheme val="minor"/>
      </rPr>
      <t>BTA och år</t>
    </r>
  </si>
  <si>
    <t>Primärenergital MWh/år</t>
  </si>
  <si>
    <t>ska uppdateras</t>
  </si>
  <si>
    <t xml:space="preserve">Levererad energi för uppvärmning per energibärare inkl VVC förluster </t>
  </si>
  <si>
    <t>(om förluster ingår i VV mätning eller mäts separat, annars blir tabellen samma som till vänster)</t>
  </si>
  <si>
    <t>Levererad energi för tappvarmvatten per energibärare exkl. VVC om VVC är inkluderad i energi för tappvarmvatten</t>
  </si>
  <si>
    <t>(om förluster ingår i VV mätning, annars blir tabellen samma som till vänster)</t>
  </si>
  <si>
    <t>Producerad energi för tappvarmvatten per energibärare exkl. VVC</t>
  </si>
  <si>
    <t>Andel bostäder av Atemp (%)</t>
  </si>
  <si>
    <t>Andel lokaler av Atemp %</t>
  </si>
  <si>
    <t>Norm värde lokaler (kWh/m2 Atemp)</t>
  </si>
  <si>
    <t>Norm värde för totalt (kWh/m2 Atemp)</t>
  </si>
  <si>
    <t>Efter justering för TVV armaturer (kWh/m2 Atemp)</t>
  </si>
  <si>
    <t>Efter justering för solvärme och återvinning avlopp (kWh/m2 Atemp)</t>
  </si>
  <si>
    <t>Producerad energi efter påslag av VVC förluster (MWh/år)</t>
  </si>
  <si>
    <t>Levererad efter avdrag återvunnen/ solvärme</t>
  </si>
  <si>
    <t>Levererad El efter avdrag solceller</t>
  </si>
  <si>
    <t>Ingen avdrag solvärme (MWh/år)</t>
  </si>
  <si>
    <t>Ingen avdrag solceller (MWh/år)</t>
  </si>
  <si>
    <t>Leverad energi för uppvärmning per energibärare inkl. VVC förluster exkl elgolvvärme</t>
  </si>
  <si>
    <t>Producerad energi för uppvärmning per energibärare inkl. VVC förluster, exkl. Elgolvvärme</t>
  </si>
  <si>
    <t>Levererad El till uppvärmning  efter avdrag solceller</t>
  </si>
  <si>
    <t>Gas (Naturgas)</t>
  </si>
  <si>
    <t>Källa för specifk data</t>
  </si>
  <si>
    <t>Dold kolumn</t>
  </si>
  <si>
    <r>
      <t>Verksamhetsrelaterad energianvändning i drift (redovisas per andel av A</t>
    </r>
    <r>
      <rPr>
        <b/>
        <vertAlign val="subscript"/>
        <sz val="12"/>
        <color theme="0"/>
        <rFont val="Calibri"/>
        <family val="2"/>
        <scheme val="minor"/>
      </rPr>
      <t>temp</t>
    </r>
    <r>
      <rPr>
        <b/>
        <sz val="12"/>
        <color theme="0"/>
        <rFont val="Calibri"/>
        <family val="2"/>
        <scheme val="minor"/>
      </rPr>
      <t>)</t>
    </r>
  </si>
  <si>
    <t>Klimatpåverkan i kgCO2 e/m2 Atemp</t>
  </si>
  <si>
    <t>Klimatpåverkan i kgCO2 e/m2 BTA,år</t>
  </si>
  <si>
    <r>
      <t>Klimatpåverkan av levererad (köpt) energianvändning, kgCO</t>
    </r>
    <r>
      <rPr>
        <b/>
        <vertAlign val="subscript"/>
        <sz val="12"/>
        <color theme="0"/>
        <rFont val="Calibri"/>
        <family val="2"/>
        <scheme val="minor"/>
      </rPr>
      <t>2</t>
    </r>
    <r>
      <rPr>
        <b/>
        <sz val="12"/>
        <color theme="0"/>
        <rFont val="Calibri"/>
        <family val="2"/>
        <scheme val="minor"/>
      </rPr>
      <t>e/m</t>
    </r>
    <r>
      <rPr>
        <b/>
        <vertAlign val="superscript"/>
        <sz val="12"/>
        <color theme="0"/>
        <rFont val="Calibri"/>
        <family val="2"/>
        <scheme val="minor"/>
      </rPr>
      <t>2</t>
    </r>
    <r>
      <rPr>
        <b/>
        <sz val="12"/>
        <color theme="0"/>
        <rFont val="Calibri"/>
        <family val="2"/>
        <scheme val="minor"/>
      </rPr>
      <t xml:space="preserve"> BTA och år</t>
    </r>
  </si>
  <si>
    <t>kgCO2 e/m2 BTA</t>
  </si>
  <si>
    <t>kgCO2 e/m2 Atemp</t>
  </si>
  <si>
    <t>kgCO2 e/m2 BTA,år</t>
  </si>
  <si>
    <t>kgCO2 e/m2 BTA och år</t>
  </si>
  <si>
    <r>
      <t xml:space="preserve">Byggnadens energianvändning (BBR energi) under </t>
    </r>
    <r>
      <rPr>
        <b/>
        <i/>
        <sz val="12"/>
        <color theme="0"/>
        <rFont val="Calibri"/>
        <family val="2"/>
        <scheme val="minor"/>
      </rPr>
      <t>referensåret</t>
    </r>
  </si>
  <si>
    <r>
      <t xml:space="preserve">Verksamhetsrelaterad energianvändning under </t>
    </r>
    <r>
      <rPr>
        <b/>
        <i/>
        <sz val="12"/>
        <color theme="0"/>
        <rFont val="Calibri"/>
        <family val="2"/>
        <scheme val="minor"/>
      </rPr>
      <t xml:space="preserve">referensår </t>
    </r>
    <r>
      <rPr>
        <b/>
        <sz val="12"/>
        <color theme="0"/>
        <rFont val="Calibri"/>
        <family val="2"/>
        <scheme val="minor"/>
      </rPr>
      <t>(redovisas per andel av A</t>
    </r>
    <r>
      <rPr>
        <b/>
        <vertAlign val="subscript"/>
        <sz val="12"/>
        <color theme="0"/>
        <rFont val="Calibri"/>
        <family val="2"/>
        <scheme val="minor"/>
      </rPr>
      <t>temp</t>
    </r>
    <r>
      <rPr>
        <b/>
        <sz val="12"/>
        <color theme="0"/>
        <rFont val="Calibri"/>
        <family val="2"/>
        <scheme val="minor"/>
      </rPr>
      <t>)</t>
    </r>
  </si>
  <si>
    <r>
      <t xml:space="preserve">Korrigeringar för normalisering av byggnadens energianvändning under </t>
    </r>
    <r>
      <rPr>
        <b/>
        <i/>
        <sz val="12"/>
        <color theme="0"/>
        <rFont val="Calibri"/>
        <family val="2"/>
        <scheme val="minor"/>
      </rPr>
      <t>referensåret</t>
    </r>
  </si>
  <si>
    <r>
      <t xml:space="preserve">Byggnadens uppmätt energianvändning (BBR energi) under </t>
    </r>
    <r>
      <rPr>
        <b/>
        <i/>
        <sz val="12"/>
        <color theme="0"/>
        <rFont val="Calibri"/>
        <family val="2"/>
        <scheme val="minor"/>
      </rPr>
      <t>referensåret</t>
    </r>
  </si>
  <si>
    <t>När kan verktyget användas?</t>
  </si>
  <si>
    <t>Verison 1.2 innehåller klimatdata till och med 2020 och normalåret som används är 1981-2010.
Klimatdata hämtas från Sveby och uppdateras årligen.</t>
  </si>
  <si>
    <t>1.2 (beta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</si>
</sst>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yyyy/mm/dd;@" x16r2:formatCode16="[$-en-SE,1]yyyy/mm/dd;@"/>
  </numFmts>
  <fonts count="52" x14ac:knownFonts="1">
    <font>
      <sz val="11"/>
      <color theme="1"/>
      <name val="Calibri"/>
      <family val="2"/>
      <scheme val="minor"/>
    </font>
    <font>
      <sz val="11"/>
      <color rgb="FFFF0000"/>
      <name val="Calibri"/>
      <family val="2"/>
      <scheme val="minor"/>
    </font>
    <font>
      <b/>
      <sz val="11"/>
      <color theme="1"/>
      <name val="Calibri"/>
      <family val="2"/>
      <scheme val="minor"/>
    </font>
    <font>
      <sz val="24"/>
      <color rgb="FF484848"/>
      <name val="Franklin Gothic Demi Cond"/>
      <family val="2"/>
    </font>
    <font>
      <sz val="12"/>
      <color theme="1"/>
      <name val="Calibri"/>
      <family val="2"/>
      <scheme val="minor"/>
    </font>
    <font>
      <sz val="14"/>
      <color theme="1"/>
      <name val="Calibri"/>
      <family val="2"/>
      <scheme val="minor"/>
    </font>
    <font>
      <b/>
      <sz val="12"/>
      <color theme="1"/>
      <name val="Calibri"/>
      <family val="2"/>
      <scheme val="minor"/>
    </font>
    <font>
      <b/>
      <sz val="14"/>
      <color theme="1"/>
      <name val="Calibri"/>
      <family val="2"/>
      <scheme val="minor"/>
    </font>
    <font>
      <vertAlign val="superscript"/>
      <sz val="11"/>
      <color theme="1"/>
      <name val="Calibri"/>
      <family val="2"/>
      <scheme val="minor"/>
    </font>
    <font>
      <vertAlign val="subscript"/>
      <sz val="11"/>
      <color theme="1"/>
      <name val="Calibri"/>
      <family val="2"/>
      <scheme val="minor"/>
    </font>
    <font>
      <sz val="11"/>
      <name val="Calibri"/>
      <family val="2"/>
      <scheme val="minor"/>
    </font>
    <font>
      <sz val="9"/>
      <color indexed="81"/>
      <name val="Tahoma"/>
      <family val="2"/>
    </font>
    <font>
      <b/>
      <sz val="12"/>
      <name val="Calibri"/>
      <family val="2"/>
      <scheme val="minor"/>
    </font>
    <font>
      <b/>
      <vertAlign val="superscript"/>
      <sz val="11"/>
      <color theme="1"/>
      <name val="Calibri"/>
      <family val="2"/>
      <scheme val="minor"/>
    </font>
    <font>
      <b/>
      <vertAlign val="subscript"/>
      <sz val="11"/>
      <color theme="1"/>
      <name val="Calibri"/>
      <family val="2"/>
      <scheme val="minor"/>
    </font>
    <font>
      <i/>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1"/>
      <name val="Calibri"/>
      <family val="2"/>
      <scheme val="minor"/>
    </font>
    <font>
      <b/>
      <sz val="11"/>
      <color rgb="FFFF0000"/>
      <name val="Calibri"/>
      <family val="2"/>
      <scheme val="minor"/>
    </font>
    <font>
      <b/>
      <vertAlign val="subscript"/>
      <sz val="12"/>
      <color theme="1"/>
      <name val="Calibri"/>
      <family val="2"/>
      <scheme val="minor"/>
    </font>
    <font>
      <sz val="11"/>
      <color rgb="FF000000"/>
      <name val="Calibri"/>
      <family val="2"/>
      <scheme val="minor"/>
    </font>
    <font>
      <b/>
      <i/>
      <sz val="11"/>
      <color theme="1"/>
      <name val="Calibri"/>
      <family val="2"/>
      <scheme val="minor"/>
    </font>
    <font>
      <b/>
      <vertAlign val="subscript"/>
      <sz val="11"/>
      <name val="Calibri"/>
      <family val="2"/>
      <scheme val="minor"/>
    </font>
    <font>
      <b/>
      <vertAlign val="superscript"/>
      <sz val="11"/>
      <name val="Calibri"/>
      <family val="2"/>
      <scheme val="minor"/>
    </font>
    <font>
      <b/>
      <sz val="9"/>
      <color indexed="81"/>
      <name val="Tahoma"/>
      <family val="2"/>
    </font>
    <font>
      <b/>
      <i/>
      <sz val="12"/>
      <color theme="1"/>
      <name val="Calibri"/>
      <family val="2"/>
      <scheme val="minor"/>
    </font>
    <font>
      <sz val="8"/>
      <name val="Calibri"/>
      <family val="2"/>
      <scheme val="minor"/>
    </font>
    <font>
      <b/>
      <vertAlign val="superscript"/>
      <sz val="12"/>
      <color theme="1"/>
      <name val="Calibri"/>
      <family val="2"/>
      <scheme val="minor"/>
    </font>
    <font>
      <i/>
      <vertAlign val="subscript"/>
      <sz val="11"/>
      <color theme="1"/>
      <name val="Calibri"/>
      <family val="2"/>
      <scheme val="minor"/>
    </font>
    <font>
      <b/>
      <i/>
      <sz val="11"/>
      <name val="Calibri"/>
      <family val="2"/>
      <scheme val="minor"/>
    </font>
    <font>
      <i/>
      <sz val="11"/>
      <color rgb="FFFF0000"/>
      <name val="Calibri"/>
      <family val="2"/>
      <scheme val="minor"/>
    </font>
    <font>
      <i/>
      <sz val="11"/>
      <name val="Calibri"/>
      <family val="2"/>
      <scheme val="minor"/>
    </font>
    <font>
      <b/>
      <sz val="12"/>
      <color theme="0"/>
      <name val="Calibri"/>
      <family val="2"/>
      <scheme val="minor"/>
    </font>
    <font>
      <b/>
      <vertAlign val="subscript"/>
      <sz val="12"/>
      <color theme="0"/>
      <name val="Calibri"/>
      <family val="2"/>
      <scheme val="minor"/>
    </font>
    <font>
      <b/>
      <vertAlign val="superscript"/>
      <sz val="12"/>
      <color theme="0"/>
      <name val="Calibri"/>
      <family val="2"/>
      <scheme val="minor"/>
    </font>
    <font>
      <b/>
      <i/>
      <sz val="12"/>
      <color theme="0"/>
      <name val="Calibri"/>
      <family val="2"/>
      <scheme val="minor"/>
    </font>
    <font>
      <sz val="11"/>
      <color rgb="FF0070C0"/>
      <name val="Calibri"/>
      <family val="2"/>
      <scheme val="minor"/>
    </font>
  </fonts>
  <fills count="4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3"/>
        <bgColor indexed="64"/>
      </patternFill>
    </fill>
    <fill>
      <patternFill patternType="solid">
        <fgColor theme="6"/>
        <bgColor indexed="64"/>
      </patternFill>
    </fill>
    <fill>
      <patternFill patternType="solid">
        <fgColor theme="0" tint="-0.249977111117893"/>
        <bgColor indexed="64"/>
      </patternFill>
    </fill>
    <fill>
      <patternFill patternType="solid">
        <fgColor theme="9"/>
        <bgColor indexed="64"/>
      </patternFill>
    </fill>
    <fill>
      <patternFill patternType="solid">
        <fgColor theme="2"/>
        <bgColor indexed="64"/>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top/>
      <bottom style="thin">
        <color indexed="64"/>
      </bottom>
      <diagonal/>
    </border>
    <border>
      <left style="thin">
        <color indexed="64"/>
      </left>
      <right style="thin">
        <color indexed="64"/>
      </right>
      <top/>
      <bottom style="double">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44">
    <xf numFmtId="0" fontId="0" fillId="0" borderId="0"/>
    <xf numFmtId="0" fontId="17" fillId="0" borderId="0" applyNumberFormat="0" applyFill="0" applyBorder="0" applyAlignment="0" applyProtection="0"/>
    <xf numFmtId="0" fontId="18" fillId="0" borderId="13" applyNumberFormat="0" applyFill="0" applyAlignment="0" applyProtection="0"/>
    <xf numFmtId="0" fontId="19" fillId="0" borderId="14" applyNumberFormat="0" applyFill="0" applyAlignment="0" applyProtection="0"/>
    <xf numFmtId="0" fontId="20" fillId="0" borderId="15" applyNumberFormat="0" applyFill="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6" borderId="0" applyNumberFormat="0" applyBorder="0" applyAlignment="0" applyProtection="0"/>
    <xf numFmtId="0" fontId="23" fillId="7" borderId="0" applyNumberFormat="0" applyBorder="0" applyAlignment="0" applyProtection="0"/>
    <xf numFmtId="0" fontId="24" fillId="8" borderId="16" applyNumberFormat="0" applyAlignment="0" applyProtection="0"/>
    <xf numFmtId="0" fontId="25" fillId="9" borderId="17" applyNumberFormat="0" applyAlignment="0" applyProtection="0"/>
    <xf numFmtId="0" fontId="26" fillId="9" borderId="16" applyNumberFormat="0" applyAlignment="0" applyProtection="0"/>
    <xf numFmtId="0" fontId="27" fillId="0" borderId="18" applyNumberFormat="0" applyFill="0" applyAlignment="0" applyProtection="0"/>
    <xf numFmtId="0" fontId="28" fillId="10" borderId="19" applyNumberFormat="0" applyAlignment="0" applyProtection="0"/>
    <xf numFmtId="0" fontId="1" fillId="0" borderId="0" applyNumberFormat="0" applyFill="0" applyBorder="0" applyAlignment="0" applyProtection="0"/>
    <xf numFmtId="0" fontId="16" fillId="11" borderId="20" applyNumberFormat="0" applyFont="0" applyAlignment="0" applyProtection="0"/>
    <xf numFmtId="0" fontId="29" fillId="0" borderId="0" applyNumberFormat="0" applyFill="0" applyBorder="0" applyAlignment="0" applyProtection="0"/>
    <xf numFmtId="0" fontId="2" fillId="0" borderId="21" applyNumberFormat="0" applyFill="0" applyAlignment="0" applyProtection="0"/>
    <xf numFmtId="0" fontId="30"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0"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30"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30"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30"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0"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31" fillId="0" borderId="0" applyNumberFormat="0" applyFill="0" applyBorder="0" applyAlignment="0" applyProtection="0"/>
    <xf numFmtId="9" fontId="16" fillId="0" borderId="0" applyFont="0" applyFill="0" applyBorder="0" applyAlignment="0" applyProtection="0"/>
  </cellStyleXfs>
  <cellXfs count="572">
    <xf numFmtId="0" fontId="0" fillId="0" borderId="0" xfId="0"/>
    <xf numFmtId="0" fontId="0" fillId="0" borderId="0" xfId="0" applyFill="1" applyBorder="1"/>
    <xf numFmtId="2" fontId="0" fillId="0" borderId="0" xfId="0" applyNumberFormat="1"/>
    <xf numFmtId="0" fontId="0" fillId="0" borderId="0" xfId="0"/>
    <xf numFmtId="0" fontId="0" fillId="0" borderId="0" xfId="0" applyFill="1"/>
    <xf numFmtId="0" fontId="0" fillId="0" borderId="0" xfId="0" applyFill="1" applyAlignment="1">
      <alignment wrapText="1"/>
    </xf>
    <xf numFmtId="0" fontId="0" fillId="0" borderId="0" xfId="0" applyFill="1" applyAlignment="1">
      <alignment horizontal="center" vertical="center"/>
    </xf>
    <xf numFmtId="0" fontId="0" fillId="0" borderId="0" xfId="0" applyFill="1" applyAlignment="1">
      <alignment horizontal="left" vertical="center"/>
    </xf>
    <xf numFmtId="0" fontId="0" fillId="0" borderId="0" xfId="0"/>
    <xf numFmtId="0" fontId="0" fillId="0" borderId="0" xfId="0" applyAlignment="1">
      <alignment horizontal="center"/>
    </xf>
    <xf numFmtId="2" fontId="0" fillId="3" borderId="9" xfId="0" applyNumberFormat="1" applyFill="1" applyBorder="1" applyAlignment="1">
      <alignment horizontal="center"/>
    </xf>
    <xf numFmtId="0" fontId="30" fillId="36" borderId="0" xfId="0" applyFont="1" applyFill="1"/>
    <xf numFmtId="164" fontId="0" fillId="0" borderId="0" xfId="0" applyNumberFormat="1"/>
    <xf numFmtId="0" fontId="31" fillId="0" borderId="0" xfId="42" applyAlignment="1">
      <alignment horizontal="center" vertical="center" wrapText="1"/>
    </xf>
    <xf numFmtId="1" fontId="0" fillId="0" borderId="0" xfId="0" applyNumberFormat="1"/>
    <xf numFmtId="0" fontId="0" fillId="0" borderId="0" xfId="0" applyAlignment="1">
      <alignment horizontal="center" vertical="center" wrapText="1"/>
    </xf>
    <xf numFmtId="1" fontId="0" fillId="4" borderId="0" xfId="0" applyNumberFormat="1" applyFill="1"/>
    <xf numFmtId="0" fontId="0" fillId="0" borderId="0" xfId="0"/>
    <xf numFmtId="0" fontId="0" fillId="0" borderId="0" xfId="0" applyFill="1"/>
    <xf numFmtId="0" fontId="0" fillId="0" borderId="0" xfId="0" applyAlignment="1">
      <alignment horizontal="right"/>
    </xf>
    <xf numFmtId="0" fontId="0" fillId="4" borderId="0" xfId="0" applyFill="1"/>
    <xf numFmtId="2" fontId="0" fillId="0" borderId="0" xfId="0" applyNumberFormat="1"/>
    <xf numFmtId="0" fontId="0" fillId="0" borderId="0" xfId="0" applyFill="1" applyAlignment="1">
      <alignment horizontal="left" vertical="center"/>
    </xf>
    <xf numFmtId="0" fontId="0" fillId="0" borderId="0" xfId="0" applyAlignment="1">
      <alignment horizontal="center" vertical="center"/>
    </xf>
    <xf numFmtId="0" fontId="0" fillId="4" borderId="0" xfId="0" applyFill="1" applyAlignment="1">
      <alignment horizontal="left" vertical="center"/>
    </xf>
    <xf numFmtId="0" fontId="0" fillId="0" borderId="0" xfId="0" applyProtection="1"/>
    <xf numFmtId="0" fontId="7" fillId="0" borderId="0" xfId="0" applyFont="1" applyFill="1" applyProtection="1"/>
    <xf numFmtId="0" fontId="0" fillId="0" borderId="0" xfId="0" applyFill="1" applyProtection="1"/>
    <xf numFmtId="0" fontId="0" fillId="0" borderId="0" xfId="0" applyFill="1" applyBorder="1" applyProtection="1"/>
    <xf numFmtId="0" fontId="0" fillId="37" borderId="0" xfId="0" applyFill="1" applyProtection="1"/>
    <xf numFmtId="0" fontId="1" fillId="0" borderId="0" xfId="0" applyFont="1" applyFill="1" applyProtection="1"/>
    <xf numFmtId="0" fontId="0" fillId="37" borderId="0" xfId="0" applyFill="1" applyBorder="1" applyProtection="1"/>
    <xf numFmtId="0" fontId="5" fillId="38" borderId="0" xfId="0" applyFont="1" applyFill="1" applyProtection="1"/>
    <xf numFmtId="0" fontId="5" fillId="37" borderId="0" xfId="0" applyFont="1" applyFill="1" applyProtection="1"/>
    <xf numFmtId="0" fontId="0" fillId="0" borderId="0" xfId="0" applyFill="1" applyAlignment="1" applyProtection="1">
      <alignment horizontal="center"/>
    </xf>
    <xf numFmtId="0" fontId="0" fillId="0" borderId="0" xfId="0" applyAlignment="1" applyProtection="1">
      <alignment horizontal="left"/>
    </xf>
    <xf numFmtId="0" fontId="0" fillId="0" borderId="0" xfId="0" applyAlignment="1" applyProtection="1">
      <alignment horizontal="center"/>
    </xf>
    <xf numFmtId="0" fontId="0" fillId="0" borderId="0" xfId="0" applyFill="1" applyBorder="1" applyAlignment="1" applyProtection="1">
      <alignment horizontal="center"/>
    </xf>
    <xf numFmtId="0" fontId="2" fillId="37" borderId="0" xfId="0" applyFont="1" applyFill="1" applyProtection="1"/>
    <xf numFmtId="0" fontId="0" fillId="37" borderId="0" xfId="0" applyFill="1" applyAlignment="1" applyProtection="1">
      <alignment horizontal="center"/>
    </xf>
    <xf numFmtId="0" fontId="1" fillId="0" borderId="0" xfId="0" applyFont="1" applyFill="1" applyAlignment="1" applyProtection="1">
      <alignment horizontal="center"/>
    </xf>
    <xf numFmtId="0" fontId="0" fillId="37" borderId="0" xfId="0" applyFill="1" applyAlignment="1" applyProtection="1">
      <alignment horizontal="right"/>
    </xf>
    <xf numFmtId="0" fontId="0" fillId="37" borderId="0" xfId="0" applyFill="1" applyAlignment="1" applyProtection="1">
      <alignment horizontal="left"/>
    </xf>
    <xf numFmtId="0" fontId="15" fillId="37" borderId="0" xfId="0" applyFont="1" applyFill="1" applyProtection="1"/>
    <xf numFmtId="164" fontId="0" fillId="37" borderId="0" xfId="0" applyNumberFormat="1" applyFill="1" applyAlignment="1" applyProtection="1">
      <alignment horizontal="center"/>
    </xf>
    <xf numFmtId="2" fontId="0" fillId="37" borderId="0" xfId="0" applyNumberFormat="1" applyFill="1" applyBorder="1" applyAlignment="1" applyProtection="1">
      <alignment horizontal="left"/>
    </xf>
    <xf numFmtId="1" fontId="0" fillId="37" borderId="9" xfId="0" applyNumberFormat="1" applyFill="1" applyBorder="1" applyAlignment="1" applyProtection="1">
      <alignment horizontal="center"/>
    </xf>
    <xf numFmtId="164" fontId="0" fillId="37" borderId="9" xfId="0" applyNumberFormat="1" applyFill="1" applyBorder="1" applyAlignment="1" applyProtection="1">
      <alignment horizontal="center"/>
    </xf>
    <xf numFmtId="0" fontId="12" fillId="0" borderId="0" xfId="0" applyFont="1" applyFill="1" applyBorder="1" applyAlignment="1" applyProtection="1">
      <alignment vertical="center"/>
    </xf>
    <xf numFmtId="0" fontId="0" fillId="37" borderId="0" xfId="0" applyFill="1" applyBorder="1" applyAlignment="1" applyProtection="1">
      <alignment horizontal="center"/>
    </xf>
    <xf numFmtId="0" fontId="0" fillId="37" borderId="0" xfId="0" applyFont="1" applyFill="1" applyProtection="1"/>
    <xf numFmtId="0" fontId="0" fillId="37" borderId="0" xfId="0" applyFont="1" applyFill="1" applyBorder="1" applyAlignment="1" applyProtection="1">
      <alignment horizontal="right"/>
    </xf>
    <xf numFmtId="0" fontId="0" fillId="37" borderId="9" xfId="0" applyFill="1" applyBorder="1" applyAlignment="1" applyProtection="1">
      <alignment horizontal="center"/>
    </xf>
    <xf numFmtId="0" fontId="2" fillId="0" borderId="9" xfId="0" applyFont="1" applyBorder="1" applyAlignment="1" applyProtection="1">
      <alignment horizontal="left"/>
    </xf>
    <xf numFmtId="0" fontId="2" fillId="0" borderId="9" xfId="0" applyFont="1" applyBorder="1" applyProtection="1"/>
    <xf numFmtId="0" fontId="2" fillId="0" borderId="9" xfId="0" applyFont="1" applyFill="1" applyBorder="1" applyAlignment="1" applyProtection="1">
      <alignment horizontal="left"/>
    </xf>
    <xf numFmtId="0" fontId="0" fillId="38" borderId="9" xfId="0" applyFill="1" applyBorder="1" applyAlignment="1" applyProtection="1">
      <alignment horizontal="center"/>
    </xf>
    <xf numFmtId="0" fontId="0" fillId="37" borderId="0" xfId="0" applyFont="1" applyFill="1" applyAlignment="1" applyProtection="1">
      <alignment horizontal="right"/>
    </xf>
    <xf numFmtId="0" fontId="0" fillId="37" borderId="0" xfId="0" applyFont="1" applyFill="1" applyBorder="1" applyAlignment="1" applyProtection="1">
      <alignment horizontal="center"/>
    </xf>
    <xf numFmtId="0" fontId="0" fillId="37" borderId="0" xfId="0" applyFill="1" applyBorder="1" applyAlignment="1" applyProtection="1">
      <alignment horizontal="left"/>
    </xf>
    <xf numFmtId="0" fontId="0" fillId="0" borderId="0" xfId="0" applyBorder="1" applyProtection="1"/>
    <xf numFmtId="0" fontId="0" fillId="2" borderId="0" xfId="0" applyFill="1" applyProtection="1"/>
    <xf numFmtId="0" fontId="0" fillId="2" borderId="0" xfId="0" applyFill="1" applyBorder="1" applyProtection="1"/>
    <xf numFmtId="0" fontId="0" fillId="2" borderId="0" xfId="0" applyFill="1" applyBorder="1" applyAlignment="1" applyProtection="1">
      <alignment horizontal="center"/>
    </xf>
    <xf numFmtId="0" fontId="28" fillId="2" borderId="0"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164" fontId="0" fillId="37" borderId="0" xfId="0" applyNumberFormat="1" applyFill="1" applyBorder="1" applyAlignment="1" applyProtection="1">
      <alignment horizontal="center"/>
    </xf>
    <xf numFmtId="0" fontId="0" fillId="37" borderId="0" xfId="0" applyFont="1" applyFill="1" applyAlignment="1" applyProtection="1">
      <alignment horizontal="left"/>
    </xf>
    <xf numFmtId="0" fontId="0" fillId="2" borderId="0" xfId="0" applyFill="1" applyAlignment="1" applyProtection="1">
      <alignment horizontal="center"/>
    </xf>
    <xf numFmtId="0" fontId="0" fillId="0" borderId="0" xfId="0" applyFont="1" applyFill="1" applyBorder="1" applyAlignment="1" applyProtection="1">
      <alignment horizontal="center"/>
    </xf>
    <xf numFmtId="0" fontId="1" fillId="0" borderId="0" xfId="0" applyFont="1" applyBorder="1" applyAlignment="1" applyProtection="1">
      <alignment horizontal="center"/>
    </xf>
    <xf numFmtId="164" fontId="1" fillId="0" borderId="0" xfId="0" applyNumberFormat="1" applyFont="1" applyBorder="1" applyAlignment="1" applyProtection="1">
      <alignment horizontal="center" vertical="center"/>
    </xf>
    <xf numFmtId="0" fontId="0" fillId="0" borderId="0" xfId="0" applyFont="1" applyFill="1" applyBorder="1" applyAlignment="1" applyProtection="1">
      <alignment horizontal="center" vertical="center"/>
    </xf>
    <xf numFmtId="164" fontId="0" fillId="0" borderId="0" xfId="0" applyNumberFormat="1" applyFill="1" applyBorder="1" applyAlignment="1" applyProtection="1">
      <alignment horizontal="center" vertical="center"/>
    </xf>
    <xf numFmtId="164" fontId="0" fillId="37" borderId="9" xfId="0" applyNumberFormat="1" applyFill="1" applyBorder="1" applyAlignment="1" applyProtection="1">
      <alignment horizontal="center" vertical="center"/>
    </xf>
    <xf numFmtId="1" fontId="0" fillId="37" borderId="0" xfId="0" applyNumberFormat="1" applyFill="1" applyBorder="1" applyAlignment="1" applyProtection="1">
      <alignment horizontal="center"/>
    </xf>
    <xf numFmtId="0" fontId="0" fillId="37" borderId="0" xfId="0" applyFill="1" applyBorder="1" applyAlignment="1" applyProtection="1">
      <alignment horizontal="center" vertical="center"/>
    </xf>
    <xf numFmtId="0" fontId="0" fillId="37" borderId="0" xfId="0" applyFill="1" applyAlignment="1" applyProtection="1">
      <alignment horizontal="center" vertical="center"/>
    </xf>
    <xf numFmtId="2" fontId="0" fillId="37" borderId="0" xfId="0" applyNumberFormat="1" applyFill="1" applyBorder="1" applyAlignment="1" applyProtection="1">
      <alignment horizontal="center" vertical="center"/>
    </xf>
    <xf numFmtId="2" fontId="0" fillId="37" borderId="9" xfId="0" applyNumberFormat="1" applyFill="1" applyBorder="1" applyAlignment="1" applyProtection="1">
      <alignment horizontal="center"/>
    </xf>
    <xf numFmtId="2" fontId="0" fillId="37" borderId="0" xfId="0" applyNumberFormat="1" applyFill="1" applyBorder="1" applyAlignment="1" applyProtection="1">
      <alignment horizontal="center"/>
    </xf>
    <xf numFmtId="164" fontId="0" fillId="37" borderId="26" xfId="0" applyNumberFormat="1" applyFill="1" applyBorder="1" applyAlignment="1" applyProtection="1">
      <alignment horizontal="center" vertical="center"/>
    </xf>
    <xf numFmtId="164" fontId="0" fillId="37" borderId="26" xfId="0" applyNumberFormat="1" applyFill="1" applyBorder="1" applyAlignment="1" applyProtection="1">
      <alignment horizontal="center"/>
    </xf>
    <xf numFmtId="164" fontId="1" fillId="0" borderId="0" xfId="0" applyNumberFormat="1" applyFont="1" applyFill="1" applyBorder="1" applyAlignment="1" applyProtection="1">
      <alignment horizontal="center"/>
    </xf>
    <xf numFmtId="164" fontId="0" fillId="37" borderId="23" xfId="0" applyNumberFormat="1" applyFill="1" applyBorder="1" applyAlignment="1" applyProtection="1">
      <alignment horizontal="center"/>
    </xf>
    <xf numFmtId="164" fontId="0" fillId="37" borderId="25" xfId="0" applyNumberFormat="1" applyFill="1" applyBorder="1" applyAlignment="1" applyProtection="1">
      <alignment horizontal="center"/>
    </xf>
    <xf numFmtId="164" fontId="0" fillId="37" borderId="23" xfId="0" applyNumberFormat="1" applyFill="1" applyBorder="1" applyAlignment="1" applyProtection="1">
      <alignment horizontal="center" vertical="center"/>
    </xf>
    <xf numFmtId="1" fontId="0" fillId="37" borderId="0" xfId="0" applyNumberFormat="1" applyFill="1" applyBorder="1" applyAlignment="1" applyProtection="1">
      <alignment horizontal="center" vertical="center"/>
    </xf>
    <xf numFmtId="164" fontId="0" fillId="37" borderId="28" xfId="0" applyNumberFormat="1" applyFill="1" applyBorder="1" applyAlignment="1" applyProtection="1">
      <alignment horizontal="center"/>
    </xf>
    <xf numFmtId="1" fontId="0" fillId="37" borderId="0" xfId="0" applyNumberFormat="1" applyFill="1" applyBorder="1" applyAlignment="1" applyProtection="1">
      <alignment horizontal="left" vertical="center"/>
    </xf>
    <xf numFmtId="164" fontId="0" fillId="38" borderId="28" xfId="0" applyNumberFormat="1" applyFont="1" applyFill="1" applyBorder="1" applyAlignment="1" applyProtection="1">
      <alignment horizontal="center"/>
    </xf>
    <xf numFmtId="0" fontId="15" fillId="0" borderId="0" xfId="0" applyFont="1" applyFill="1" applyBorder="1" applyProtection="1"/>
    <xf numFmtId="0" fontId="2" fillId="0" borderId="0" xfId="0" applyFont="1" applyBorder="1" applyProtection="1"/>
    <xf numFmtId="164" fontId="0" fillId="37" borderId="10" xfId="0" applyNumberFormat="1" applyFill="1" applyBorder="1" applyAlignment="1" applyProtection="1">
      <alignment horizontal="center"/>
    </xf>
    <xf numFmtId="0" fontId="2" fillId="0" borderId="9" xfId="0" applyFont="1" applyBorder="1" applyAlignment="1" applyProtection="1">
      <alignment wrapText="1"/>
    </xf>
    <xf numFmtId="164" fontId="0" fillId="42" borderId="24" xfId="0" applyNumberFormat="1" applyFill="1" applyBorder="1" applyAlignment="1" applyProtection="1">
      <alignment horizontal="center"/>
    </xf>
    <xf numFmtId="0" fontId="33" fillId="0" borderId="0" xfId="0" applyFont="1" applyFill="1" applyBorder="1" applyAlignment="1" applyProtection="1">
      <alignment horizontal="center" vertical="center"/>
    </xf>
    <xf numFmtId="1" fontId="0" fillId="38" borderId="0" xfId="0" applyNumberFormat="1" applyFill="1" applyBorder="1" applyAlignment="1" applyProtection="1">
      <alignment horizontal="center"/>
    </xf>
    <xf numFmtId="1" fontId="0" fillId="38" borderId="9" xfId="0" applyNumberFormat="1" applyFill="1" applyBorder="1" applyAlignment="1" applyProtection="1">
      <alignment horizontal="center" vertical="center"/>
    </xf>
    <xf numFmtId="1" fontId="0" fillId="38" borderId="9" xfId="0" applyNumberFormat="1" applyFill="1" applyBorder="1" applyAlignment="1" applyProtection="1">
      <alignment horizontal="center"/>
    </xf>
    <xf numFmtId="1" fontId="0" fillId="38" borderId="26" xfId="0" applyNumberFormat="1" applyFill="1" applyBorder="1" applyAlignment="1" applyProtection="1">
      <alignment horizontal="center" vertical="center"/>
    </xf>
    <xf numFmtId="1" fontId="0" fillId="38" borderId="26" xfId="0" applyNumberFormat="1" applyFill="1" applyBorder="1" applyAlignment="1" applyProtection="1">
      <alignment horizontal="center"/>
    </xf>
    <xf numFmtId="0" fontId="2" fillId="37" borderId="0" xfId="0" applyFont="1" applyFill="1" applyAlignment="1" applyProtection="1">
      <alignment horizontal="left"/>
    </xf>
    <xf numFmtId="164" fontId="0" fillId="37" borderId="22" xfId="0" applyNumberFormat="1" applyFill="1" applyBorder="1" applyAlignment="1" applyProtection="1">
      <alignment horizontal="center"/>
    </xf>
    <xf numFmtId="164" fontId="0" fillId="38" borderId="24" xfId="0" applyNumberFormat="1" applyFill="1" applyBorder="1" applyAlignment="1" applyProtection="1">
      <alignment horizontal="center"/>
    </xf>
    <xf numFmtId="0" fontId="1" fillId="0" borderId="0" xfId="0" applyFont="1" applyFill="1" applyBorder="1" applyAlignment="1" applyProtection="1">
      <alignment horizontal="center"/>
    </xf>
    <xf numFmtId="0" fontId="0" fillId="38" borderId="9" xfId="0" applyFont="1" applyFill="1" applyBorder="1" applyAlignment="1" applyProtection="1">
      <alignment horizontal="center"/>
    </xf>
    <xf numFmtId="0" fontId="1" fillId="0" borderId="0" xfId="0" applyFont="1" applyFill="1" applyBorder="1" applyAlignment="1" applyProtection="1">
      <alignment horizontal="center" vertical="center"/>
    </xf>
    <xf numFmtId="164" fontId="1" fillId="0" borderId="0" xfId="0" applyNumberFormat="1" applyFont="1" applyFill="1" applyBorder="1" applyAlignment="1" applyProtection="1">
      <alignment horizontal="center" vertical="center"/>
    </xf>
    <xf numFmtId="0" fontId="0" fillId="37" borderId="9" xfId="0" applyFill="1" applyBorder="1" applyAlignment="1" applyProtection="1">
      <alignment horizontal="center" vertical="center"/>
    </xf>
    <xf numFmtId="0" fontId="0" fillId="37" borderId="26" xfId="0" applyFill="1" applyBorder="1" applyAlignment="1" applyProtection="1">
      <alignment horizontal="center" vertical="center"/>
    </xf>
    <xf numFmtId="0" fontId="0" fillId="37" borderId="26" xfId="0" applyFill="1" applyBorder="1" applyAlignment="1" applyProtection="1">
      <alignment horizontal="center"/>
    </xf>
    <xf numFmtId="0" fontId="0" fillId="37" borderId="23" xfId="0" applyFill="1" applyBorder="1" applyAlignment="1" applyProtection="1">
      <alignment horizontal="center"/>
    </xf>
    <xf numFmtId="0" fontId="0" fillId="38" borderId="26" xfId="0" applyFill="1" applyBorder="1" applyAlignment="1" applyProtection="1">
      <alignment horizontal="center"/>
    </xf>
    <xf numFmtId="164" fontId="1" fillId="0" borderId="0" xfId="0" applyNumberFormat="1" applyFont="1" applyAlignment="1" applyProtection="1">
      <alignment horizontal="center"/>
    </xf>
    <xf numFmtId="0" fontId="0" fillId="38" borderId="23" xfId="0" applyFill="1" applyBorder="1" applyAlignment="1" applyProtection="1">
      <alignment horizontal="center"/>
    </xf>
    <xf numFmtId="0" fontId="0" fillId="38" borderId="0" xfId="0" applyFill="1" applyBorder="1" applyAlignment="1" applyProtection="1">
      <alignment horizontal="center" vertical="center"/>
    </xf>
    <xf numFmtId="0" fontId="0" fillId="38" borderId="25" xfId="0" applyFill="1" applyBorder="1" applyAlignment="1" applyProtection="1">
      <alignment horizontal="center"/>
    </xf>
    <xf numFmtId="164" fontId="0" fillId="38" borderId="28" xfId="0" applyNumberFormat="1" applyFill="1" applyBorder="1" applyAlignment="1" applyProtection="1">
      <alignment horizontal="center"/>
    </xf>
    <xf numFmtId="0" fontId="1" fillId="0" borderId="0" xfId="0" applyFont="1" applyFill="1" applyBorder="1" applyProtection="1"/>
    <xf numFmtId="0" fontId="36" fillId="37" borderId="0" xfId="0" applyFont="1" applyFill="1" applyAlignment="1" applyProtection="1">
      <alignment horizontal="center"/>
    </xf>
    <xf numFmtId="0" fontId="0" fillId="37" borderId="0" xfId="0" applyFill="1" applyBorder="1" applyAlignment="1" applyProtection="1">
      <alignment horizontal="right"/>
    </xf>
    <xf numFmtId="0" fontId="35" fillId="37" borderId="0" xfId="0" applyFont="1" applyFill="1" applyAlignment="1" applyProtection="1">
      <alignment horizontal="left" vertical="center"/>
    </xf>
    <xf numFmtId="0" fontId="15" fillId="37" borderId="0" xfId="0" applyFont="1" applyFill="1" applyBorder="1" applyProtection="1"/>
    <xf numFmtId="0" fontId="15" fillId="38" borderId="0" xfId="0" applyFont="1" applyFill="1" applyBorder="1" applyProtection="1"/>
    <xf numFmtId="0" fontId="0" fillId="38" borderId="0" xfId="0" applyFont="1" applyFill="1" applyBorder="1" applyProtection="1"/>
    <xf numFmtId="0" fontId="0" fillId="38" borderId="0" xfId="0" applyFont="1" applyFill="1" applyBorder="1" applyAlignment="1" applyProtection="1">
      <alignment horizontal="center" vertical="center"/>
    </xf>
    <xf numFmtId="0" fontId="2" fillId="38" borderId="0" xfId="0" applyFont="1" applyFill="1" applyBorder="1" applyProtection="1"/>
    <xf numFmtId="0" fontId="2" fillId="38" borderId="0" xfId="0" applyFont="1" applyFill="1" applyBorder="1" applyAlignment="1" applyProtection="1">
      <alignment horizontal="left"/>
    </xf>
    <xf numFmtId="0" fontId="0" fillId="38" borderId="0" xfId="0" applyFont="1" applyFill="1" applyAlignment="1" applyProtection="1">
      <alignment horizontal="left" vertical="center"/>
    </xf>
    <xf numFmtId="0" fontId="0" fillId="38" borderId="0" xfId="0" applyFont="1" applyFill="1" applyAlignment="1" applyProtection="1">
      <alignment horizontal="center" vertical="center"/>
    </xf>
    <xf numFmtId="0" fontId="0" fillId="38" borderId="0" xfId="0" applyFill="1" applyBorder="1" applyAlignment="1" applyProtection="1">
      <alignment horizontal="left" vertical="center"/>
    </xf>
    <xf numFmtId="0" fontId="0" fillId="39" borderId="0" xfId="0" applyFont="1" applyFill="1" applyBorder="1" applyAlignment="1" applyProtection="1">
      <alignment horizontal="center"/>
    </xf>
    <xf numFmtId="0" fontId="32" fillId="0" borderId="10" xfId="0" applyFont="1" applyBorder="1" applyAlignment="1" applyProtection="1">
      <alignment vertical="center"/>
    </xf>
    <xf numFmtId="0" fontId="2" fillId="37" borderId="0" xfId="0" applyFont="1" applyFill="1" applyBorder="1" applyAlignment="1" applyProtection="1">
      <alignment horizontal="right" vertical="center"/>
    </xf>
    <xf numFmtId="2" fontId="0" fillId="37" borderId="0" xfId="0" applyNumberFormat="1" applyFill="1" applyBorder="1" applyProtection="1"/>
    <xf numFmtId="0" fontId="2" fillId="37" borderId="0" xfId="0" applyFont="1" applyFill="1" applyBorder="1" applyProtection="1"/>
    <xf numFmtId="0" fontId="6" fillId="38" borderId="0" xfId="0" applyFont="1" applyFill="1" applyBorder="1" applyAlignment="1" applyProtection="1">
      <alignment horizontal="left" vertical="center"/>
    </xf>
    <xf numFmtId="0" fontId="2" fillId="38" borderId="0" xfId="0" applyFont="1" applyFill="1" applyBorder="1" applyAlignment="1" applyProtection="1">
      <alignment horizontal="left" vertical="center"/>
    </xf>
    <xf numFmtId="0" fontId="2" fillId="37" borderId="0" xfId="0" applyFont="1" applyFill="1" applyBorder="1" applyAlignment="1" applyProtection="1">
      <alignment horizontal="left" vertical="center"/>
    </xf>
    <xf numFmtId="164" fontId="0" fillId="38" borderId="0" xfId="0" applyNumberFormat="1" applyFont="1" applyFill="1" applyBorder="1" applyAlignment="1" applyProtection="1"/>
    <xf numFmtId="0" fontId="0" fillId="37" borderId="0" xfId="0" applyFont="1" applyFill="1" applyBorder="1" applyAlignment="1" applyProtection="1"/>
    <xf numFmtId="0" fontId="6" fillId="38" borderId="0" xfId="0" applyFont="1" applyFill="1" applyBorder="1" applyAlignment="1" applyProtection="1">
      <alignment horizontal="right"/>
    </xf>
    <xf numFmtId="164" fontId="0" fillId="38" borderId="9" xfId="0" applyNumberFormat="1" applyFont="1" applyFill="1" applyBorder="1" applyAlignment="1" applyProtection="1"/>
    <xf numFmtId="0" fontId="2" fillId="38" borderId="0" xfId="0" applyFont="1" applyFill="1" applyBorder="1" applyAlignment="1" applyProtection="1">
      <alignment horizontal="right"/>
    </xf>
    <xf numFmtId="164" fontId="0" fillId="41" borderId="9" xfId="0" applyNumberFormat="1" applyFill="1" applyBorder="1" applyProtection="1"/>
    <xf numFmtId="164" fontId="15" fillId="38" borderId="0" xfId="0" applyNumberFormat="1" applyFont="1" applyFill="1" applyBorder="1" applyAlignment="1" applyProtection="1"/>
    <xf numFmtId="0" fontId="2" fillId="37" borderId="0" xfId="0" applyFont="1" applyFill="1" applyBorder="1" applyAlignment="1" applyProtection="1">
      <alignment horizontal="right"/>
    </xf>
    <xf numFmtId="164" fontId="0" fillId="37" borderId="9" xfId="0" applyNumberFormat="1" applyFont="1" applyFill="1" applyBorder="1" applyAlignment="1" applyProtection="1">
      <alignment horizontal="center"/>
    </xf>
    <xf numFmtId="164" fontId="0" fillId="41" borderId="9" xfId="0" applyNumberFormat="1" applyFont="1" applyFill="1" applyBorder="1" applyAlignment="1" applyProtection="1">
      <alignment horizontal="center"/>
    </xf>
    <xf numFmtId="0" fontId="15" fillId="38" borderId="0" xfId="0" applyFont="1" applyFill="1" applyBorder="1" applyAlignment="1" applyProtection="1">
      <alignment horizontal="right"/>
    </xf>
    <xf numFmtId="164" fontId="15" fillId="38" borderId="12" xfId="0" applyNumberFormat="1" applyFont="1" applyFill="1" applyBorder="1" applyAlignment="1" applyProtection="1"/>
    <xf numFmtId="164" fontId="15" fillId="38" borderId="12" xfId="0" applyNumberFormat="1" applyFont="1" applyFill="1" applyBorder="1" applyProtection="1"/>
    <xf numFmtId="0" fontId="15" fillId="37" borderId="0" xfId="0" applyFont="1" applyFill="1" applyBorder="1" applyAlignment="1" applyProtection="1">
      <alignment horizontal="right"/>
    </xf>
    <xf numFmtId="164" fontId="15" fillId="37" borderId="12" xfId="0" applyNumberFormat="1" applyFont="1" applyFill="1" applyBorder="1" applyAlignment="1" applyProtection="1">
      <alignment horizontal="center"/>
    </xf>
    <xf numFmtId="0" fontId="15" fillId="37" borderId="12" xfId="0" applyFont="1" applyFill="1" applyBorder="1" applyAlignment="1" applyProtection="1">
      <alignment horizontal="center"/>
    </xf>
    <xf numFmtId="0" fontId="4" fillId="38" borderId="0" xfId="0" applyFont="1" applyFill="1" applyBorder="1" applyAlignment="1" applyProtection="1">
      <alignment horizontal="right"/>
    </xf>
    <xf numFmtId="164" fontId="0" fillId="38" borderId="9" xfId="0" applyNumberFormat="1" applyFill="1" applyBorder="1" applyProtection="1"/>
    <xf numFmtId="0" fontId="0" fillId="38" borderId="0" xfId="0" applyFont="1" applyFill="1" applyBorder="1" applyAlignment="1" applyProtection="1">
      <alignment horizontal="right"/>
    </xf>
    <xf numFmtId="0" fontId="4" fillId="37" borderId="0" xfId="0" applyFont="1" applyFill="1" applyBorder="1" applyAlignment="1" applyProtection="1">
      <alignment horizontal="right"/>
    </xf>
    <xf numFmtId="164" fontId="0" fillId="41" borderId="9" xfId="0" applyNumberFormat="1" applyFill="1" applyBorder="1" applyAlignment="1" applyProtection="1">
      <alignment horizontal="center"/>
    </xf>
    <xf numFmtId="0" fontId="2" fillId="2" borderId="9" xfId="0" applyFont="1" applyFill="1" applyBorder="1"/>
    <xf numFmtId="0" fontId="2" fillId="0" borderId="9" xfId="0" applyFont="1" applyFill="1" applyBorder="1"/>
    <xf numFmtId="0" fontId="32" fillId="0" borderId="9" xfId="0" applyFont="1" applyBorder="1" applyAlignment="1" applyProtection="1">
      <alignment vertical="center"/>
    </xf>
    <xf numFmtId="0" fontId="32" fillId="0" borderId="9" xfId="0" applyFont="1" applyFill="1" applyBorder="1" applyAlignment="1">
      <alignment vertical="center" wrapText="1"/>
    </xf>
    <xf numFmtId="0" fontId="2" fillId="2" borderId="9" xfId="0" applyFont="1" applyFill="1" applyBorder="1" applyAlignment="1">
      <alignment wrapText="1"/>
    </xf>
    <xf numFmtId="0" fontId="2" fillId="0" borderId="0" xfId="0" applyFont="1" applyFill="1" applyBorder="1" applyAlignment="1">
      <alignment horizontal="center"/>
    </xf>
    <xf numFmtId="0" fontId="2" fillId="0" borderId="9" xfId="0" applyFont="1" applyFill="1" applyBorder="1" applyAlignment="1">
      <alignment horizontal="left"/>
    </xf>
    <xf numFmtId="0" fontId="0" fillId="37" borderId="0" xfId="0" applyFill="1"/>
    <xf numFmtId="0" fontId="0" fillId="37" borderId="0" xfId="0" applyFill="1" applyAlignment="1">
      <alignment horizontal="center"/>
    </xf>
    <xf numFmtId="164" fontId="0" fillId="37" borderId="0" xfId="0" applyNumberFormat="1" applyFill="1" applyAlignment="1">
      <alignment horizontal="center"/>
    </xf>
    <xf numFmtId="0" fontId="3" fillId="0" borderId="0" xfId="0" applyFont="1" applyAlignment="1">
      <alignment horizontal="left" vertical="top"/>
    </xf>
    <xf numFmtId="0" fontId="1" fillId="0" borderId="0" xfId="0" applyFont="1" applyProtection="1"/>
    <xf numFmtId="164" fontId="0" fillId="40" borderId="0" xfId="0" applyNumberFormat="1" applyFill="1"/>
    <xf numFmtId="0" fontId="1" fillId="37" borderId="0" xfId="0" applyFont="1" applyFill="1" applyProtection="1"/>
    <xf numFmtId="164" fontId="0" fillId="38" borderId="22" xfId="0" applyNumberFormat="1" applyFill="1" applyBorder="1" applyAlignment="1" applyProtection="1">
      <alignment horizontal="center"/>
    </xf>
    <xf numFmtId="164" fontId="0" fillId="39" borderId="27" xfId="0" applyNumberFormat="1" applyFill="1" applyBorder="1" applyAlignment="1" applyProtection="1">
      <alignment horizontal="center"/>
    </xf>
    <xf numFmtId="0" fontId="0" fillId="37" borderId="0" xfId="0" applyFont="1" applyFill="1" applyBorder="1" applyAlignment="1" applyProtection="1">
      <alignment horizontal="left"/>
    </xf>
    <xf numFmtId="0" fontId="2" fillId="38" borderId="0" xfId="0" applyFont="1" applyFill="1" applyAlignment="1" applyProtection="1">
      <alignment horizontal="left"/>
    </xf>
    <xf numFmtId="0" fontId="2" fillId="38" borderId="0" xfId="0" applyFont="1" applyFill="1" applyAlignment="1" applyProtection="1">
      <alignment horizontal="center" vertical="center"/>
    </xf>
    <xf numFmtId="165" fontId="0" fillId="37" borderId="0" xfId="0" applyNumberFormat="1" applyFill="1" applyBorder="1" applyAlignment="1" applyProtection="1">
      <alignment horizontal="center"/>
    </xf>
    <xf numFmtId="0" fontId="0" fillId="37" borderId="9" xfId="0" applyFont="1" applyFill="1" applyBorder="1" applyAlignment="1" applyProtection="1">
      <alignment horizontal="center"/>
    </xf>
    <xf numFmtId="164" fontId="0" fillId="37" borderId="31" xfId="0" applyNumberFormat="1" applyFill="1" applyBorder="1" applyAlignment="1" applyProtection="1">
      <alignment horizontal="center"/>
    </xf>
    <xf numFmtId="164" fontId="0" fillId="37" borderId="0" xfId="0" applyNumberFormat="1" applyFill="1" applyAlignment="1" applyProtection="1">
      <alignment horizontal="left"/>
    </xf>
    <xf numFmtId="0" fontId="0" fillId="37" borderId="32" xfId="0" applyFill="1" applyBorder="1" applyProtection="1"/>
    <xf numFmtId="164" fontId="15" fillId="37" borderId="0" xfId="0" applyNumberFormat="1" applyFont="1" applyFill="1" applyBorder="1" applyAlignment="1" applyProtection="1">
      <alignment horizontal="center"/>
    </xf>
    <xf numFmtId="0" fontId="1" fillId="38" borderId="0" xfId="0" applyFont="1" applyFill="1" applyBorder="1" applyProtection="1"/>
    <xf numFmtId="166" fontId="0" fillId="38" borderId="0" xfId="0" applyNumberFormat="1" applyFill="1" applyProtection="1"/>
    <xf numFmtId="0" fontId="15" fillId="38" borderId="0" xfId="0" applyFont="1" applyFill="1" applyBorder="1" applyAlignment="1" applyProtection="1">
      <alignment horizontal="center"/>
    </xf>
    <xf numFmtId="164" fontId="15" fillId="38" borderId="0" xfId="0" applyNumberFormat="1" applyFont="1" applyFill="1" applyBorder="1" applyAlignment="1" applyProtection="1">
      <alignment horizontal="center"/>
    </xf>
    <xf numFmtId="164" fontId="0" fillId="39" borderId="9" xfId="0" applyNumberFormat="1" applyFill="1" applyBorder="1" applyAlignment="1" applyProtection="1">
      <alignment horizontal="center"/>
    </xf>
    <xf numFmtId="164" fontId="0" fillId="39" borderId="26" xfId="0" applyNumberFormat="1" applyFill="1" applyBorder="1" applyAlignment="1" applyProtection="1">
      <alignment horizontal="center"/>
    </xf>
    <xf numFmtId="2" fontId="0" fillId="39" borderId="9" xfId="0" applyNumberFormat="1" applyFill="1" applyBorder="1" applyAlignment="1" applyProtection="1">
      <alignment horizontal="center"/>
    </xf>
    <xf numFmtId="0" fontId="0" fillId="42" borderId="0" xfId="0" applyFill="1" applyProtection="1"/>
    <xf numFmtId="0" fontId="0" fillId="42" borderId="0" xfId="0" applyFill="1" applyAlignment="1" applyProtection="1">
      <alignment horizontal="center"/>
    </xf>
    <xf numFmtId="1" fontId="0" fillId="42" borderId="0" xfId="0" applyNumberFormat="1" applyFill="1" applyProtection="1"/>
    <xf numFmtId="0" fontId="0" fillId="42" borderId="0" xfId="0" applyFill="1" applyAlignment="1" applyProtection="1">
      <alignment horizontal="right"/>
    </xf>
    <xf numFmtId="0" fontId="30" fillId="0" borderId="0" xfId="0" applyFont="1" applyFill="1" applyBorder="1" applyAlignment="1" applyProtection="1">
      <alignment horizontal="center"/>
    </xf>
    <xf numFmtId="0" fontId="0" fillId="0" borderId="34" xfId="0" applyFont="1" applyFill="1" applyBorder="1" applyAlignment="1" applyProtection="1">
      <alignment horizontal="center" wrapText="1"/>
    </xf>
    <xf numFmtId="0" fontId="0" fillId="0" borderId="0" xfId="0" applyBorder="1" applyAlignment="1" applyProtection="1"/>
    <xf numFmtId="0" fontId="0" fillId="0" borderId="0" xfId="0" applyFont="1" applyFill="1" applyBorder="1" applyAlignment="1" applyProtection="1">
      <alignment horizontal="center" wrapText="1"/>
    </xf>
    <xf numFmtId="0" fontId="0" fillId="0" borderId="37" xfId="0" applyFont="1" applyFill="1" applyBorder="1" applyAlignment="1" applyProtection="1">
      <alignment horizontal="center" wrapText="1"/>
    </xf>
    <xf numFmtId="0" fontId="15" fillId="0" borderId="25" xfId="0" applyFont="1" applyFill="1" applyBorder="1" applyAlignment="1" applyProtection="1"/>
    <xf numFmtId="0" fontId="15" fillId="0" borderId="30" xfId="0" applyFont="1" applyFill="1" applyBorder="1" applyAlignment="1" applyProtection="1"/>
    <xf numFmtId="0" fontId="15" fillId="0" borderId="32" xfId="0" applyFont="1" applyFill="1" applyBorder="1" applyAlignment="1" applyProtection="1"/>
    <xf numFmtId="0" fontId="15" fillId="0" borderId="10" xfId="0" applyFont="1" applyBorder="1" applyAlignment="1" applyProtection="1"/>
    <xf numFmtId="0" fontId="15" fillId="0" borderId="12" xfId="0" applyFont="1" applyBorder="1" applyAlignment="1" applyProtection="1"/>
    <xf numFmtId="0" fontId="15" fillId="0" borderId="11" xfId="0" applyFont="1" applyBorder="1" applyAlignment="1" applyProtection="1"/>
    <xf numFmtId="0" fontId="6" fillId="0" borderId="0" xfId="0" applyFont="1" applyFill="1" applyBorder="1" applyAlignment="1" applyProtection="1">
      <alignment horizontal="center" vertical="center"/>
    </xf>
    <xf numFmtId="0" fontId="0" fillId="0" borderId="0" xfId="0" applyFill="1" applyBorder="1" applyAlignment="1" applyProtection="1"/>
    <xf numFmtId="0" fontId="2" fillId="0" borderId="0" xfId="0" applyFont="1" applyBorder="1" applyAlignment="1" applyProtection="1"/>
    <xf numFmtId="0" fontId="2" fillId="0" borderId="0" xfId="0" applyFont="1" applyBorder="1" applyAlignment="1" applyProtection="1">
      <alignment horizontal="center"/>
    </xf>
    <xf numFmtId="0" fontId="6" fillId="0" borderId="0" xfId="0" applyFont="1" applyBorder="1" applyProtection="1"/>
    <xf numFmtId="0" fontId="32" fillId="0" borderId="0" xfId="0" applyFont="1" applyFill="1" applyBorder="1" applyProtection="1"/>
    <xf numFmtId="0" fontId="1" fillId="0" borderId="0" xfId="0" applyFont="1" applyBorder="1" applyAlignment="1" applyProtection="1"/>
    <xf numFmtId="0" fontId="0" fillId="0" borderId="0" xfId="0" applyFill="1" applyAlignment="1" applyProtection="1"/>
    <xf numFmtId="0" fontId="44" fillId="0" borderId="0" xfId="0" applyFont="1" applyFill="1" applyBorder="1" applyProtection="1"/>
    <xf numFmtId="0" fontId="0" fillId="0" borderId="0" xfId="0" applyFill="1" applyBorder="1" applyAlignment="1" applyProtection="1">
      <alignment vertical="top"/>
    </xf>
    <xf numFmtId="164" fontId="30" fillId="0" borderId="0" xfId="0" applyNumberFormat="1" applyFont="1" applyAlignment="1" applyProtection="1">
      <alignment horizontal="center"/>
    </xf>
    <xf numFmtId="0" fontId="32" fillId="0" borderId="0" xfId="0" applyFont="1" applyFill="1" applyBorder="1" applyAlignment="1">
      <alignment vertical="center" wrapText="1"/>
    </xf>
    <xf numFmtId="0" fontId="1" fillId="0" borderId="0" xfId="0" applyFont="1" applyFill="1"/>
    <xf numFmtId="0" fontId="0" fillId="0" borderId="9" xfId="0" applyFont="1" applyFill="1" applyBorder="1" applyProtection="1"/>
    <xf numFmtId="0" fontId="2" fillId="0" borderId="0" xfId="0" applyFont="1" applyFill="1" applyAlignment="1" applyProtection="1">
      <alignment horizontal="center"/>
    </xf>
    <xf numFmtId="0" fontId="0" fillId="0" borderId="9" xfId="0" applyFill="1" applyBorder="1" applyAlignment="1" applyProtection="1">
      <alignment horizontal="center"/>
      <protection locked="0"/>
    </xf>
    <xf numFmtId="2" fontId="0" fillId="38" borderId="9" xfId="0" applyNumberFormat="1" applyFill="1" applyBorder="1" applyAlignment="1" applyProtection="1">
      <alignment horizontal="center" vertical="center"/>
    </xf>
    <xf numFmtId="0" fontId="0" fillId="0" borderId="0" xfId="0" applyAlignment="1">
      <alignment horizontal="left"/>
    </xf>
    <xf numFmtId="0" fontId="0" fillId="38" borderId="0" xfId="0" applyFill="1" applyAlignment="1" applyProtection="1"/>
    <xf numFmtId="2" fontId="0" fillId="38" borderId="26" xfId="0" applyNumberFormat="1" applyFill="1" applyBorder="1" applyAlignment="1" applyProtection="1">
      <alignment horizontal="center" vertical="center"/>
    </xf>
    <xf numFmtId="0" fontId="0" fillId="0" borderId="0" xfId="0" applyProtection="1"/>
    <xf numFmtId="0" fontId="7" fillId="0" borderId="0" xfId="0" applyFont="1" applyFill="1" applyProtection="1"/>
    <xf numFmtId="0" fontId="0" fillId="0" borderId="0" xfId="0" applyFill="1" applyProtection="1"/>
    <xf numFmtId="0" fontId="0" fillId="0" borderId="0" xfId="0" applyFill="1" applyBorder="1" applyProtection="1"/>
    <xf numFmtId="0" fontId="0" fillId="38" borderId="0" xfId="0" applyFill="1" applyProtection="1"/>
    <xf numFmtId="0" fontId="0" fillId="37" borderId="0" xfId="0" applyFill="1" applyProtection="1"/>
    <xf numFmtId="0" fontId="1" fillId="0" borderId="0" xfId="0" applyFont="1" applyFill="1" applyProtection="1"/>
    <xf numFmtId="0" fontId="0" fillId="38" borderId="0" xfId="0" applyFill="1" applyAlignment="1" applyProtection="1">
      <alignment horizontal="right"/>
    </xf>
    <xf numFmtId="0" fontId="2" fillId="0" borderId="0" xfId="0" applyFont="1" applyAlignment="1" applyProtection="1">
      <alignment horizontal="right"/>
    </xf>
    <xf numFmtId="0" fontId="2" fillId="0" borderId="0" xfId="0" applyFont="1" applyFill="1" applyBorder="1" applyProtection="1"/>
    <xf numFmtId="0" fontId="2" fillId="0" borderId="0" xfId="0" applyFont="1" applyFill="1" applyProtection="1"/>
    <xf numFmtId="0" fontId="2" fillId="0" borderId="0" xfId="0" applyFont="1" applyProtection="1"/>
    <xf numFmtId="0" fontId="0" fillId="0" borderId="0" xfId="0" applyFill="1" applyAlignment="1" applyProtection="1">
      <alignment horizontal="left"/>
    </xf>
    <xf numFmtId="0" fontId="2" fillId="38" borderId="0" xfId="0" applyFont="1" applyFill="1" applyProtection="1"/>
    <xf numFmtId="2" fontId="0" fillId="38" borderId="0" xfId="0" applyNumberFormat="1" applyFill="1" applyAlignment="1" applyProtection="1">
      <alignment horizontal="left"/>
    </xf>
    <xf numFmtId="0" fontId="15" fillId="38" borderId="0" xfId="0" applyFont="1" applyFill="1" applyProtection="1"/>
    <xf numFmtId="0" fontId="0" fillId="38" borderId="0" xfId="0" applyFont="1" applyFill="1" applyAlignment="1" applyProtection="1">
      <alignment horizontal="right"/>
    </xf>
    <xf numFmtId="0" fontId="0" fillId="0" borderId="0" xfId="0" applyFill="1" applyBorder="1" applyAlignment="1" applyProtection="1">
      <alignment horizontal="center" vertical="center"/>
    </xf>
    <xf numFmtId="0" fontId="0" fillId="38" borderId="0" xfId="0" applyFill="1" applyBorder="1" applyAlignment="1" applyProtection="1">
      <alignment horizontal="center"/>
    </xf>
    <xf numFmtId="164" fontId="0" fillId="38" borderId="9" xfId="0" applyNumberFormat="1" applyFill="1" applyBorder="1" applyAlignment="1" applyProtection="1">
      <alignment horizontal="center"/>
    </xf>
    <xf numFmtId="0" fontId="0" fillId="38" borderId="0" xfId="0" applyFont="1" applyFill="1" applyBorder="1" applyAlignment="1" applyProtection="1">
      <alignment horizontal="center"/>
    </xf>
    <xf numFmtId="0" fontId="0" fillId="0" borderId="0" xfId="0" applyFont="1" applyFill="1" applyBorder="1" applyProtection="1"/>
    <xf numFmtId="0" fontId="0" fillId="0" borderId="0" xfId="0" applyFont="1" applyFill="1" applyBorder="1" applyAlignment="1" applyProtection="1">
      <alignment horizontal="left"/>
    </xf>
    <xf numFmtId="164" fontId="0" fillId="38" borderId="9" xfId="0" applyNumberFormat="1" applyFill="1" applyBorder="1" applyAlignment="1" applyProtection="1">
      <alignment horizontal="center" vertical="center"/>
    </xf>
    <xf numFmtId="0" fontId="0" fillId="38" borderId="0" xfId="0" applyFill="1" applyAlignment="1" applyProtection="1">
      <alignment horizontal="center" vertical="center"/>
    </xf>
    <xf numFmtId="164" fontId="0" fillId="38" borderId="26" xfId="0" applyNumberFormat="1" applyFill="1" applyBorder="1" applyAlignment="1" applyProtection="1">
      <alignment horizontal="center" vertical="center"/>
    </xf>
    <xf numFmtId="164" fontId="0" fillId="38" borderId="26" xfId="0" applyNumberFormat="1" applyFill="1" applyBorder="1" applyAlignment="1" applyProtection="1">
      <alignment horizontal="center"/>
    </xf>
    <xf numFmtId="164" fontId="0" fillId="38" borderId="23" xfId="0" applyNumberFormat="1" applyFill="1" applyBorder="1" applyAlignment="1" applyProtection="1">
      <alignment horizontal="center"/>
    </xf>
    <xf numFmtId="164" fontId="0" fillId="38" borderId="25" xfId="0" applyNumberFormat="1" applyFill="1" applyBorder="1" applyAlignment="1" applyProtection="1">
      <alignment horizontal="center"/>
    </xf>
    <xf numFmtId="164" fontId="0" fillId="38" borderId="0" xfId="0" applyNumberFormat="1" applyFill="1" applyAlignment="1" applyProtection="1">
      <alignment horizontal="center"/>
    </xf>
    <xf numFmtId="164" fontId="0" fillId="38" borderId="9" xfId="0" applyNumberFormat="1" applyFont="1" applyFill="1" applyBorder="1" applyAlignment="1" applyProtection="1">
      <alignment horizontal="center"/>
    </xf>
    <xf numFmtId="164" fontId="0" fillId="39" borderId="24" xfId="0" applyNumberFormat="1" applyFill="1" applyBorder="1" applyAlignment="1" applyProtection="1">
      <alignment horizontal="center"/>
    </xf>
    <xf numFmtId="0" fontId="0" fillId="38" borderId="9" xfId="0" applyFill="1" applyBorder="1" applyAlignment="1" applyProtection="1">
      <alignment horizontal="center" vertical="center"/>
    </xf>
    <xf numFmtId="0" fontId="0" fillId="38" borderId="26" xfId="0" applyFill="1" applyBorder="1" applyAlignment="1" applyProtection="1">
      <alignment horizontal="center" vertical="center"/>
    </xf>
    <xf numFmtId="164" fontId="0" fillId="38" borderId="10" xfId="0" applyNumberFormat="1" applyFill="1" applyBorder="1" applyAlignment="1" applyProtection="1">
      <alignment horizontal="center"/>
    </xf>
    <xf numFmtId="0" fontId="2" fillId="38" borderId="0" xfId="0" applyFont="1" applyFill="1" applyAlignment="1" applyProtection="1">
      <alignment horizontal="center"/>
    </xf>
    <xf numFmtId="164" fontId="0" fillId="38" borderId="0" xfId="0" applyNumberFormat="1" applyFill="1" applyBorder="1" applyAlignment="1" applyProtection="1">
      <alignment horizontal="center" vertical="center"/>
    </xf>
    <xf numFmtId="0" fontId="0" fillId="38" borderId="0" xfId="0" applyFill="1" applyBorder="1" applyProtection="1"/>
    <xf numFmtId="0" fontId="0" fillId="38" borderId="0" xfId="0" applyFont="1" applyFill="1" applyBorder="1" applyAlignment="1" applyProtection="1"/>
    <xf numFmtId="0" fontId="2" fillId="0" borderId="9" xfId="0" applyFont="1" applyFill="1" applyBorder="1" applyProtection="1"/>
    <xf numFmtId="164" fontId="1" fillId="0" borderId="0" xfId="0" applyNumberFormat="1" applyFont="1" applyBorder="1" applyAlignment="1" applyProtection="1">
      <alignment horizontal="center"/>
    </xf>
    <xf numFmtId="0" fontId="0" fillId="39" borderId="0" xfId="0" applyFont="1" applyFill="1" applyBorder="1" applyAlignment="1" applyProtection="1">
      <alignment horizontal="center" vertical="center"/>
    </xf>
    <xf numFmtId="164" fontId="0" fillId="38" borderId="0" xfId="0" applyNumberFormat="1" applyFill="1" applyBorder="1" applyProtection="1"/>
    <xf numFmtId="0" fontId="0" fillId="37" borderId="0" xfId="0" applyFill="1"/>
    <xf numFmtId="0" fontId="15" fillId="38" borderId="0" xfId="0" applyFont="1" applyFill="1" applyAlignment="1" applyProtection="1">
      <alignment horizontal="right"/>
    </xf>
    <xf numFmtId="164" fontId="0" fillId="38" borderId="26" xfId="0" applyNumberFormat="1" applyFont="1" applyFill="1" applyBorder="1" applyAlignment="1" applyProtection="1">
      <alignment horizontal="center"/>
    </xf>
    <xf numFmtId="164" fontId="15" fillId="38" borderId="0" xfId="0" applyNumberFormat="1" applyFont="1" applyFill="1" applyAlignment="1" applyProtection="1">
      <alignment horizontal="center"/>
    </xf>
    <xf numFmtId="0" fontId="1" fillId="38" borderId="0" xfId="0" applyFont="1" applyFill="1" applyProtection="1"/>
    <xf numFmtId="164" fontId="0" fillId="39" borderId="9" xfId="0" applyNumberFormat="1" applyFont="1" applyFill="1" applyBorder="1" applyAlignment="1" applyProtection="1">
      <alignment horizontal="center"/>
    </xf>
    <xf numFmtId="164" fontId="0" fillId="39" borderId="26" xfId="0" applyNumberFormat="1" applyFont="1" applyFill="1" applyBorder="1" applyAlignment="1" applyProtection="1">
      <alignment horizontal="center"/>
    </xf>
    <xf numFmtId="2" fontId="0" fillId="38" borderId="9" xfId="0" applyNumberFormat="1" applyFill="1" applyBorder="1" applyAlignment="1" applyProtection="1">
      <alignment horizontal="center"/>
    </xf>
    <xf numFmtId="2" fontId="0" fillId="38" borderId="26" xfId="0" applyNumberFormat="1" applyFill="1" applyBorder="1" applyAlignment="1" applyProtection="1">
      <alignment horizontal="center"/>
    </xf>
    <xf numFmtId="164" fontId="0" fillId="39" borderId="23" xfId="0" applyNumberFormat="1" applyFill="1" applyBorder="1" applyAlignment="1" applyProtection="1">
      <alignment horizontal="center"/>
    </xf>
    <xf numFmtId="0" fontId="0" fillId="38" borderId="10" xfId="0" applyFill="1" applyBorder="1" applyAlignment="1" applyProtection="1">
      <alignment horizontal="center" vertical="center"/>
    </xf>
    <xf numFmtId="0" fontId="0" fillId="38" borderId="29" xfId="0" applyFill="1" applyBorder="1" applyAlignment="1" applyProtection="1">
      <alignment horizontal="center" vertical="center"/>
    </xf>
    <xf numFmtId="0" fontId="0" fillId="38" borderId="0" xfId="0" applyFill="1" applyBorder="1" applyAlignment="1" applyProtection="1">
      <alignment horizontal="left"/>
    </xf>
    <xf numFmtId="0" fontId="2" fillId="0" borderId="0" xfId="0" applyFont="1" applyFill="1" applyAlignment="1" applyProtection="1">
      <alignment horizontal="center"/>
    </xf>
    <xf numFmtId="0" fontId="0" fillId="0" borderId="9" xfId="0" applyFont="1" applyFill="1" applyBorder="1" applyAlignment="1" applyProtection="1">
      <alignment horizontal="left"/>
    </xf>
    <xf numFmtId="0" fontId="0" fillId="38" borderId="0" xfId="0" applyFill="1" applyAlignment="1" applyProtection="1">
      <alignment horizontal="center"/>
    </xf>
    <xf numFmtId="0" fontId="0" fillId="40" borderId="0" xfId="0" applyFill="1" applyAlignment="1" applyProtection="1">
      <alignment horizontal="center"/>
    </xf>
    <xf numFmtId="164" fontId="0" fillId="0" borderId="0" xfId="0" applyNumberFormat="1" applyFill="1" applyBorder="1" applyProtection="1"/>
    <xf numFmtId="0" fontId="36" fillId="37" borderId="0" xfId="0" applyFont="1" applyFill="1" applyProtection="1"/>
    <xf numFmtId="0" fontId="1" fillId="37" borderId="0" xfId="0" applyFont="1" applyFill="1" applyAlignment="1" applyProtection="1">
      <alignment horizontal="right"/>
    </xf>
    <xf numFmtId="0" fontId="1" fillId="37" borderId="0" xfId="0" applyFont="1" applyFill="1" applyBorder="1" applyAlignment="1" applyProtection="1">
      <alignment horizontal="left" vertical="center"/>
    </xf>
    <xf numFmtId="0" fontId="0" fillId="37" borderId="0" xfId="0" applyFont="1" applyFill="1" applyBorder="1" applyProtection="1"/>
    <xf numFmtId="0" fontId="0" fillId="37" borderId="30" xfId="0" applyFont="1" applyFill="1" applyBorder="1" applyProtection="1"/>
    <xf numFmtId="0" fontId="0" fillId="37" borderId="30" xfId="0" applyFont="1" applyFill="1" applyBorder="1" applyAlignment="1" applyProtection="1">
      <alignment horizontal="center"/>
    </xf>
    <xf numFmtId="0" fontId="0" fillId="37" borderId="30" xfId="0" applyFill="1" applyBorder="1" applyAlignment="1" applyProtection="1">
      <alignment horizontal="center"/>
    </xf>
    <xf numFmtId="0" fontId="0" fillId="0" borderId="9" xfId="0" applyBorder="1" applyProtection="1"/>
    <xf numFmtId="1" fontId="0" fillId="37" borderId="0" xfId="0" applyNumberFormat="1" applyFill="1" applyProtection="1"/>
    <xf numFmtId="0" fontId="0" fillId="37" borderId="22" xfId="0" applyFill="1" applyBorder="1" applyAlignment="1" applyProtection="1">
      <alignment horizontal="center"/>
    </xf>
    <xf numFmtId="0" fontId="0" fillId="0" borderId="30" xfId="0" applyFill="1" applyBorder="1" applyAlignment="1" applyProtection="1">
      <alignment horizontal="center"/>
    </xf>
    <xf numFmtId="0" fontId="0" fillId="0" borderId="30" xfId="0" applyFont="1" applyFill="1" applyBorder="1" applyProtection="1"/>
    <xf numFmtId="0" fontId="0" fillId="0" borderId="30" xfId="0" applyFont="1" applyFill="1" applyBorder="1" applyAlignment="1" applyProtection="1">
      <alignment horizontal="center"/>
    </xf>
    <xf numFmtId="164" fontId="0" fillId="38" borderId="22" xfId="0" applyNumberFormat="1" applyFont="1" applyFill="1" applyBorder="1" applyAlignment="1" applyProtection="1">
      <alignment horizontal="center"/>
    </xf>
    <xf numFmtId="2" fontId="0" fillId="39" borderId="22" xfId="0" applyNumberFormat="1" applyFill="1" applyBorder="1" applyAlignment="1" applyProtection="1">
      <alignment horizontal="center"/>
    </xf>
    <xf numFmtId="2" fontId="0" fillId="38" borderId="25" xfId="0" applyNumberFormat="1" applyFill="1" applyBorder="1" applyAlignment="1" applyProtection="1">
      <alignment horizontal="center"/>
    </xf>
    <xf numFmtId="0" fontId="0" fillId="43" borderId="24" xfId="0" applyFill="1" applyBorder="1" applyAlignment="1" applyProtection="1">
      <alignment horizontal="center"/>
    </xf>
    <xf numFmtId="164" fontId="0" fillId="39" borderId="9" xfId="0" applyNumberFormat="1" applyFill="1" applyBorder="1" applyAlignment="1" applyProtection="1">
      <alignment horizontal="center" vertical="center"/>
    </xf>
    <xf numFmtId="164" fontId="0" fillId="39" borderId="26" xfId="0" applyNumberFormat="1" applyFill="1" applyBorder="1" applyAlignment="1" applyProtection="1">
      <alignment horizontal="center" vertical="center"/>
    </xf>
    <xf numFmtId="0" fontId="30" fillId="0" borderId="0" xfId="0" applyFont="1" applyFill="1" applyAlignment="1" applyProtection="1">
      <alignment horizontal="left"/>
    </xf>
    <xf numFmtId="0" fontId="45" fillId="37" borderId="0" xfId="0" applyFont="1" applyFill="1" applyProtection="1"/>
    <xf numFmtId="0" fontId="0" fillId="3" borderId="0" xfId="0" applyFill="1" applyProtection="1"/>
    <xf numFmtId="0" fontId="3" fillId="0" borderId="0" xfId="0" applyFont="1" applyAlignment="1" applyProtection="1">
      <alignment horizontal="left" vertical="top"/>
    </xf>
    <xf numFmtId="2" fontId="0" fillId="0" borderId="0" xfId="0" applyNumberFormat="1" applyFill="1" applyProtection="1"/>
    <xf numFmtId="164" fontId="0" fillId="3" borderId="0" xfId="0" applyNumberFormat="1" applyFill="1" applyProtection="1"/>
    <xf numFmtId="2" fontId="0" fillId="3" borderId="0" xfId="0" applyNumberFormat="1" applyFill="1" applyAlignment="1" applyProtection="1">
      <alignment horizontal="center" vertical="center"/>
    </xf>
    <xf numFmtId="0" fontId="0" fillId="3" borderId="0" xfId="0" applyFill="1" applyAlignment="1" applyProtection="1">
      <alignment horizontal="center" vertical="center"/>
    </xf>
    <xf numFmtId="0" fontId="0" fillId="3" borderId="0" xfId="0" applyFill="1" applyAlignment="1" applyProtection="1">
      <alignment horizontal="right"/>
    </xf>
    <xf numFmtId="164" fontId="0" fillId="3" borderId="0" xfId="0" applyNumberFormat="1" applyFill="1" applyAlignment="1" applyProtection="1">
      <alignment horizontal="center"/>
    </xf>
    <xf numFmtId="0" fontId="0" fillId="3" borderId="0" xfId="0" applyFill="1" applyBorder="1" applyProtection="1"/>
    <xf numFmtId="0" fontId="0" fillId="3" borderId="0" xfId="0" applyFill="1" applyBorder="1" applyAlignment="1" applyProtection="1">
      <alignment horizontal="right"/>
    </xf>
    <xf numFmtId="0" fontId="2" fillId="0" borderId="9" xfId="0" applyFont="1" applyFill="1" applyBorder="1" applyAlignment="1" applyProtection="1"/>
    <xf numFmtId="166" fontId="30" fillId="0" borderId="0" xfId="0" applyNumberFormat="1" applyFont="1" applyFill="1" applyAlignment="1" applyProtection="1">
      <alignment horizontal="left"/>
    </xf>
    <xf numFmtId="164" fontId="0" fillId="3" borderId="0" xfId="0" applyNumberFormat="1" applyFill="1" applyBorder="1" applyAlignment="1" applyProtection="1">
      <alignment horizontal="center"/>
    </xf>
    <xf numFmtId="0" fontId="6" fillId="0" borderId="0" xfId="0" applyFont="1" applyFill="1" applyBorder="1" applyAlignment="1" applyProtection="1">
      <alignment horizontal="left"/>
    </xf>
    <xf numFmtId="0" fontId="2"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35" xfId="0" applyFont="1" applyFill="1" applyBorder="1" applyAlignment="1" applyProtection="1"/>
    <xf numFmtId="0" fontId="2" fillId="0" borderId="33" xfId="0" applyFont="1" applyFill="1" applyBorder="1" applyAlignment="1" applyProtection="1">
      <alignment horizontal="center" vertical="center" wrapText="1"/>
    </xf>
    <xf numFmtId="0" fontId="2" fillId="0" borderId="36" xfId="0" applyFont="1" applyFill="1" applyBorder="1" applyAlignment="1" applyProtection="1">
      <alignment horizontal="center" vertical="center" wrapText="1"/>
    </xf>
    <xf numFmtId="164" fontId="0" fillId="0" borderId="0" xfId="0" applyNumberFormat="1" applyFont="1" applyFill="1" applyBorder="1" applyAlignment="1" applyProtection="1">
      <alignment horizontal="center" vertical="center"/>
    </xf>
    <xf numFmtId="0" fontId="0" fillId="0" borderId="9" xfId="0" applyFill="1" applyBorder="1" applyProtection="1"/>
    <xf numFmtId="0" fontId="0" fillId="0" borderId="34" xfId="0" applyFont="1" applyFill="1" applyBorder="1" applyAlignment="1" applyProtection="1"/>
    <xf numFmtId="0" fontId="0" fillId="0" borderId="37" xfId="0" applyFont="1" applyFill="1" applyBorder="1" applyAlignment="1" applyProtection="1">
      <alignment horizontal="center" vertical="center" wrapText="1"/>
    </xf>
    <xf numFmtId="0" fontId="15"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0" fillId="0" borderId="9" xfId="0" applyFont="1" applyFill="1" applyBorder="1" applyAlignment="1" applyProtection="1">
      <alignment horizontal="center"/>
    </xf>
    <xf numFmtId="0" fontId="15" fillId="0" borderId="34" xfId="0" applyFont="1" applyFill="1" applyBorder="1" applyAlignment="1" applyProtection="1">
      <alignment horizontal="left"/>
    </xf>
    <xf numFmtId="0" fontId="15" fillId="0" borderId="37" xfId="0" applyFont="1" applyFill="1" applyBorder="1" applyAlignment="1" applyProtection="1">
      <alignment horizontal="left"/>
    </xf>
    <xf numFmtId="0" fontId="0" fillId="0" borderId="9" xfId="0" applyBorder="1" applyAlignment="1" applyProtection="1">
      <alignment horizontal="center"/>
    </xf>
    <xf numFmtId="0" fontId="0" fillId="3" borderId="9" xfId="0" applyFill="1" applyBorder="1" applyProtection="1"/>
    <xf numFmtId="164" fontId="0" fillId="3" borderId="9" xfId="0" applyNumberFormat="1" applyFill="1" applyBorder="1" applyAlignment="1" applyProtection="1">
      <alignment horizontal="center"/>
    </xf>
    <xf numFmtId="164" fontId="0" fillId="3" borderId="0" xfId="0" applyNumberFormat="1" applyFill="1" applyAlignment="1" applyProtection="1">
      <alignment horizontal="left"/>
    </xf>
    <xf numFmtId="0" fontId="46" fillId="3" borderId="0" xfId="0" applyFont="1" applyFill="1" applyProtection="1"/>
    <xf numFmtId="164" fontId="0" fillId="0" borderId="0" xfId="0" applyNumberFormat="1" applyFill="1" applyBorder="1" applyAlignment="1" applyProtection="1">
      <alignment horizontal="center"/>
    </xf>
    <xf numFmtId="49" fontId="0" fillId="0" borderId="0" xfId="0" applyNumberFormat="1" applyFill="1" applyBorder="1" applyAlignment="1" applyProtection="1">
      <alignment horizontal="left" vertical="top"/>
      <protection locked="0"/>
    </xf>
    <xf numFmtId="0" fontId="45" fillId="0" borderId="0" xfId="0" applyFont="1" applyFill="1" applyAlignment="1" applyProtection="1">
      <alignment vertical="top"/>
    </xf>
    <xf numFmtId="0" fontId="2" fillId="0" borderId="9" xfId="0" applyFont="1" applyFill="1" applyBorder="1" applyAlignment="1" applyProtection="1">
      <alignment vertical="center"/>
    </xf>
    <xf numFmtId="0" fontId="30" fillId="0" borderId="0" xfId="0" applyFont="1" applyFill="1" applyBorder="1" applyAlignment="1" applyProtection="1">
      <alignment horizontal="left" vertical="center"/>
    </xf>
    <xf numFmtId="2" fontId="30" fillId="0" borderId="0" xfId="0" applyNumberFormat="1" applyFont="1" applyFill="1" applyBorder="1" applyAlignment="1" applyProtection="1">
      <alignment horizontal="center"/>
    </xf>
    <xf numFmtId="0" fontId="2" fillId="0" borderId="0" xfId="0" applyFont="1" applyBorder="1" applyAlignment="1" applyProtection="1">
      <alignment horizontal="left"/>
    </xf>
    <xf numFmtId="0" fontId="0" fillId="38" borderId="0" xfId="0" applyFont="1" applyFill="1" applyBorder="1" applyAlignment="1" applyProtection="1">
      <alignment wrapText="1"/>
    </xf>
    <xf numFmtId="164" fontId="0" fillId="38" borderId="34" xfId="0" applyNumberFormat="1" applyFill="1" applyBorder="1" applyAlignment="1" applyProtection="1">
      <alignment horizontal="center"/>
    </xf>
    <xf numFmtId="2" fontId="15" fillId="38" borderId="0" xfId="0" applyNumberFormat="1" applyFont="1" applyFill="1" applyBorder="1" applyAlignment="1" applyProtection="1">
      <alignment horizontal="center"/>
    </xf>
    <xf numFmtId="164" fontId="0" fillId="38" borderId="0" xfId="0" applyNumberFormat="1" applyFill="1" applyProtection="1"/>
    <xf numFmtId="0" fontId="0" fillId="0" borderId="30" xfId="0" applyFill="1" applyBorder="1" applyProtection="1"/>
    <xf numFmtId="0" fontId="3" fillId="0" borderId="0" xfId="0" applyFont="1" applyAlignment="1" applyProtection="1">
      <alignment horizontal="left"/>
    </xf>
    <xf numFmtId="0" fontId="2" fillId="2" borderId="0" xfId="0" applyFont="1" applyFill="1" applyProtection="1"/>
    <xf numFmtId="2" fontId="0" fillId="0" borderId="0" xfId="0" applyNumberFormat="1" applyFill="1" applyAlignment="1" applyProtection="1">
      <alignment horizontal="center"/>
    </xf>
    <xf numFmtId="2" fontId="0" fillId="0" borderId="30" xfId="0" applyNumberFormat="1" applyFill="1" applyBorder="1" applyAlignment="1" applyProtection="1">
      <alignment horizontal="center"/>
    </xf>
    <xf numFmtId="1" fontId="0" fillId="0" borderId="0" xfId="0" applyNumberFormat="1" applyFill="1" applyAlignment="1" applyProtection="1">
      <alignment horizontal="center"/>
    </xf>
    <xf numFmtId="1" fontId="1" fillId="38" borderId="0" xfId="0" applyNumberFormat="1" applyFont="1" applyFill="1" applyAlignment="1" applyProtection="1">
      <alignment horizontal="center"/>
    </xf>
    <xf numFmtId="0" fontId="1" fillId="42" borderId="0" xfId="0" applyFont="1" applyFill="1" applyProtection="1"/>
    <xf numFmtId="0" fontId="1" fillId="0" borderId="0" xfId="0" applyFont="1" applyFill="1" applyAlignment="1" applyProtection="1">
      <alignment horizontal="right"/>
    </xf>
    <xf numFmtId="164" fontId="0" fillId="38" borderId="22" xfId="0" applyNumberFormat="1" applyFill="1" applyBorder="1" applyAlignment="1" applyProtection="1">
      <alignment horizontal="center" vertical="center"/>
    </xf>
    <xf numFmtId="0" fontId="32" fillId="2" borderId="9" xfId="0" applyFont="1" applyFill="1" applyBorder="1" applyAlignment="1" applyProtection="1">
      <alignment vertical="center"/>
    </xf>
    <xf numFmtId="0" fontId="1" fillId="42" borderId="0" xfId="0" applyFont="1" applyFill="1"/>
    <xf numFmtId="0" fontId="28" fillId="0" borderId="0" xfId="0" applyFont="1" applyFill="1" applyAlignment="1">
      <alignment horizontal="left"/>
    </xf>
    <xf numFmtId="0" fontId="0" fillId="45" borderId="9" xfId="0" applyFill="1" applyBorder="1" applyAlignment="1" applyProtection="1">
      <alignment horizontal="center"/>
      <protection locked="0"/>
    </xf>
    <xf numFmtId="14" fontId="0" fillId="45" borderId="9" xfId="0" applyNumberFormat="1" applyFill="1" applyBorder="1" applyAlignment="1" applyProtection="1">
      <alignment horizontal="center"/>
      <protection locked="0"/>
    </xf>
    <xf numFmtId="0" fontId="0" fillId="45" borderId="9" xfId="0" applyFill="1" applyBorder="1" applyAlignment="1" applyProtection="1">
      <alignment horizontal="center" wrapText="1"/>
      <protection locked="0"/>
    </xf>
    <xf numFmtId="0" fontId="0" fillId="45" borderId="0" xfId="0" applyFill="1" applyProtection="1">
      <protection locked="0"/>
    </xf>
    <xf numFmtId="0" fontId="0" fillId="45" borderId="9" xfId="0" applyFill="1" applyBorder="1" applyAlignment="1" applyProtection="1">
      <alignment horizontal="center" vertical="center"/>
      <protection locked="0"/>
    </xf>
    <xf numFmtId="0" fontId="0" fillId="45" borderId="11" xfId="0" applyFill="1" applyBorder="1" applyAlignment="1" applyProtection="1">
      <alignment horizontal="center"/>
      <protection locked="0"/>
    </xf>
    <xf numFmtId="1" fontId="0" fillId="45" borderId="9" xfId="0" applyNumberFormat="1" applyFill="1" applyBorder="1" applyAlignment="1" applyProtection="1">
      <alignment horizontal="center"/>
      <protection locked="0"/>
    </xf>
    <xf numFmtId="0" fontId="0" fillId="46" borderId="9" xfId="0" applyFill="1" applyBorder="1" applyAlignment="1" applyProtection="1">
      <alignment horizontal="center"/>
    </xf>
    <xf numFmtId="2" fontId="0" fillId="46" borderId="9" xfId="0" applyNumberFormat="1" applyFont="1" applyFill="1" applyBorder="1" applyAlignment="1">
      <alignment horizontal="center"/>
    </xf>
    <xf numFmtId="164" fontId="0" fillId="46" borderId="9" xfId="0" applyNumberFormat="1" applyFont="1" applyFill="1" applyBorder="1" applyAlignment="1">
      <alignment horizontal="center"/>
    </xf>
    <xf numFmtId="164" fontId="0" fillId="46" borderId="9" xfId="0" applyNumberFormat="1" applyFill="1" applyBorder="1" applyAlignment="1">
      <alignment horizontal="center"/>
    </xf>
    <xf numFmtId="0" fontId="0" fillId="46" borderId="9" xfId="0" applyFont="1" applyFill="1" applyBorder="1" applyAlignment="1">
      <alignment horizontal="center" wrapText="1"/>
    </xf>
    <xf numFmtId="0" fontId="0" fillId="46" borderId="9" xfId="0" applyFill="1" applyBorder="1" applyAlignment="1" applyProtection="1">
      <alignment horizontal="center"/>
      <protection locked="0"/>
    </xf>
    <xf numFmtId="0" fontId="0" fillId="45" borderId="9" xfId="0" applyFill="1" applyBorder="1" applyAlignment="1" applyProtection="1">
      <alignment wrapText="1"/>
      <protection locked="0"/>
    </xf>
    <xf numFmtId="0" fontId="47" fillId="44" borderId="10" xfId="0" applyFont="1" applyFill="1" applyBorder="1" applyAlignment="1" applyProtection="1">
      <alignment horizontal="center" vertical="center"/>
    </xf>
    <xf numFmtId="0" fontId="47" fillId="44" borderId="12" xfId="0" applyFont="1" applyFill="1" applyBorder="1" applyAlignment="1" applyProtection="1">
      <alignment vertical="center"/>
    </xf>
    <xf numFmtId="0" fontId="30" fillId="44" borderId="12" xfId="0" applyFont="1" applyFill="1" applyBorder="1" applyAlignment="1" applyProtection="1">
      <alignment horizontal="center"/>
    </xf>
    <xf numFmtId="0" fontId="30" fillId="44" borderId="12" xfId="0" applyFont="1" applyFill="1" applyBorder="1" applyProtection="1"/>
    <xf numFmtId="0" fontId="30" fillId="44" borderId="11" xfId="0" applyFont="1" applyFill="1" applyBorder="1" applyProtection="1"/>
    <xf numFmtId="0" fontId="0" fillId="46" borderId="9" xfId="0" applyFont="1" applyFill="1" applyBorder="1" applyAlignment="1" applyProtection="1">
      <alignment horizontal="center"/>
    </xf>
    <xf numFmtId="164" fontId="0" fillId="45" borderId="9" xfId="0" applyNumberFormat="1" applyFill="1" applyBorder="1" applyAlignment="1" applyProtection="1">
      <alignment horizontal="center" vertical="center"/>
      <protection locked="0"/>
    </xf>
    <xf numFmtId="0" fontId="0" fillId="46" borderId="9" xfId="0" applyFill="1" applyBorder="1" applyAlignment="1" applyProtection="1">
      <alignment horizontal="center" vertical="center"/>
    </xf>
    <xf numFmtId="0" fontId="0" fillId="46" borderId="0" xfId="0" applyFill="1" applyBorder="1" applyProtection="1"/>
    <xf numFmtId="0" fontId="30" fillId="44" borderId="9" xfId="0" applyFont="1" applyFill="1" applyBorder="1" applyAlignment="1" applyProtection="1">
      <alignment horizontal="center"/>
    </xf>
    <xf numFmtId="0" fontId="0" fillId="45" borderId="9" xfId="0" applyFill="1" applyBorder="1" applyAlignment="1" applyProtection="1">
      <alignment horizontal="left"/>
      <protection locked="0"/>
    </xf>
    <xf numFmtId="164" fontId="0" fillId="46" borderId="9" xfId="0" applyNumberFormat="1" applyFill="1" applyBorder="1" applyAlignment="1" applyProtection="1">
      <alignment horizontal="center" vertical="center"/>
    </xf>
    <xf numFmtId="164" fontId="0" fillId="45" borderId="9" xfId="0" applyNumberFormat="1" applyFont="1" applyFill="1" applyBorder="1" applyAlignment="1" applyProtection="1">
      <alignment horizontal="center" vertical="center"/>
      <protection locked="0"/>
    </xf>
    <xf numFmtId="0" fontId="10" fillId="45" borderId="9" xfId="0" applyFont="1" applyFill="1" applyBorder="1" applyAlignment="1" applyProtection="1">
      <alignment horizontal="center" vertical="center"/>
      <protection locked="0"/>
    </xf>
    <xf numFmtId="0" fontId="0" fillId="47" borderId="9" xfId="0" applyFill="1" applyBorder="1" applyProtection="1"/>
    <xf numFmtId="0" fontId="22" fillId="6" borderId="0" xfId="7" applyProtection="1"/>
    <xf numFmtId="0" fontId="28" fillId="44" borderId="10" xfId="0" applyFont="1" applyFill="1" applyBorder="1" applyAlignment="1" applyProtection="1">
      <alignment horizontal="center"/>
    </xf>
    <xf numFmtId="0" fontId="47" fillId="44" borderId="12" xfId="0" applyFont="1" applyFill="1" applyBorder="1" applyProtection="1"/>
    <xf numFmtId="0" fontId="30" fillId="44" borderId="12" xfId="0" applyFont="1" applyFill="1" applyBorder="1" applyAlignment="1" applyProtection="1">
      <alignment horizontal="left"/>
    </xf>
    <xf numFmtId="0" fontId="47" fillId="44" borderId="10" xfId="0" applyFont="1" applyFill="1" applyBorder="1" applyAlignment="1" applyProtection="1"/>
    <xf numFmtId="167" fontId="0" fillId="46" borderId="9" xfId="0" applyNumberFormat="1" applyFill="1" applyBorder="1" applyAlignment="1" applyProtection="1">
      <alignment horizontal="center"/>
    </xf>
    <xf numFmtId="164" fontId="0" fillId="46" borderId="9" xfId="0" applyNumberFormat="1" applyFill="1" applyBorder="1" applyAlignment="1" applyProtection="1">
      <alignment horizontal="center"/>
    </xf>
    <xf numFmtId="9" fontId="0" fillId="46" borderId="9" xfId="43" applyFont="1" applyFill="1" applyBorder="1" applyAlignment="1" applyProtection="1">
      <alignment horizontal="center"/>
    </xf>
    <xf numFmtId="1" fontId="0" fillId="46" borderId="9" xfId="0" applyNumberFormat="1" applyFill="1" applyBorder="1" applyAlignment="1" applyProtection="1">
      <alignment horizontal="center" vertical="center"/>
    </xf>
    <xf numFmtId="164" fontId="0" fillId="46" borderId="9" xfId="0" applyNumberFormat="1" applyFont="1" applyFill="1" applyBorder="1" applyAlignment="1" applyProtection="1">
      <alignment horizontal="center"/>
    </xf>
    <xf numFmtId="164" fontId="0" fillId="46" borderId="9" xfId="0" applyNumberFormat="1" applyFont="1" applyFill="1" applyBorder="1" applyAlignment="1" applyProtection="1">
      <alignment horizontal="center" vertical="center"/>
    </xf>
    <xf numFmtId="0" fontId="6" fillId="44" borderId="12" xfId="0" applyFont="1" applyFill="1" applyBorder="1" applyAlignment="1" applyProtection="1"/>
    <xf numFmtId="0" fontId="6" fillId="44" borderId="11" xfId="0" applyFont="1" applyFill="1" applyBorder="1" applyAlignment="1" applyProtection="1"/>
    <xf numFmtId="0" fontId="47" fillId="44" borderId="12" xfId="0" applyFont="1" applyFill="1" applyBorder="1" applyAlignment="1" applyProtection="1"/>
    <xf numFmtId="0" fontId="47" fillId="44" borderId="11" xfId="0" applyFont="1" applyFill="1" applyBorder="1" applyAlignment="1" applyProtection="1"/>
    <xf numFmtId="0" fontId="0" fillId="45" borderId="9" xfId="0" applyFont="1" applyFill="1" applyBorder="1" applyAlignment="1" applyProtection="1">
      <alignment horizontal="center"/>
      <protection locked="0"/>
    </xf>
    <xf numFmtId="9" fontId="0" fillId="45" borderId="9" xfId="43" applyFont="1" applyFill="1" applyBorder="1" applyAlignment="1" applyProtection="1">
      <alignment horizontal="center"/>
      <protection locked="0"/>
    </xf>
    <xf numFmtId="164" fontId="0" fillId="45" borderId="9" xfId="0" applyNumberFormat="1" applyFont="1" applyFill="1" applyBorder="1" applyAlignment="1" applyProtection="1">
      <alignment horizontal="center"/>
      <protection locked="0"/>
    </xf>
    <xf numFmtId="164" fontId="0" fillId="45" borderId="22" xfId="0" applyNumberFormat="1" applyFont="1" applyFill="1" applyBorder="1" applyAlignment="1" applyProtection="1">
      <alignment horizontal="center"/>
      <protection locked="0"/>
    </xf>
    <xf numFmtId="164" fontId="0" fillId="45" borderId="9" xfId="0" applyNumberFormat="1" applyFill="1" applyBorder="1" applyAlignment="1" applyProtection="1">
      <alignment horizontal="center"/>
      <protection locked="0"/>
    </xf>
    <xf numFmtId="1" fontId="0" fillId="48" borderId="9" xfId="0" applyNumberFormat="1" applyFill="1" applyBorder="1" applyAlignment="1" applyProtection="1">
      <alignment horizontal="center"/>
    </xf>
    <xf numFmtId="1" fontId="0" fillId="48" borderId="24" xfId="0" applyNumberFormat="1" applyFill="1" applyBorder="1" applyAlignment="1" applyProtection="1">
      <alignment horizontal="center"/>
    </xf>
    <xf numFmtId="2" fontId="0" fillId="48" borderId="9" xfId="0" applyNumberFormat="1" applyFill="1" applyBorder="1" applyAlignment="1" applyProtection="1">
      <alignment horizontal="center"/>
    </xf>
    <xf numFmtId="2" fontId="0" fillId="48" borderId="24" xfId="0" applyNumberFormat="1" applyFill="1" applyBorder="1" applyAlignment="1" applyProtection="1">
      <alignment horizontal="center"/>
    </xf>
    <xf numFmtId="1" fontId="0" fillId="48" borderId="10" xfId="0" applyNumberFormat="1" applyFill="1" applyBorder="1" applyAlignment="1" applyProtection="1">
      <alignment horizontal="center"/>
    </xf>
    <xf numFmtId="164" fontId="0" fillId="48" borderId="9" xfId="0" applyNumberFormat="1" applyFont="1" applyFill="1" applyBorder="1" applyAlignment="1" applyProtection="1">
      <alignment horizontal="center"/>
    </xf>
    <xf numFmtId="0" fontId="0" fillId="37" borderId="35" xfId="0" applyFill="1" applyBorder="1" applyProtection="1"/>
    <xf numFmtId="0" fontId="0" fillId="37" borderId="33" xfId="0" applyFill="1" applyBorder="1" applyProtection="1"/>
    <xf numFmtId="0" fontId="1" fillId="37" borderId="33" xfId="0" applyFont="1" applyFill="1" applyBorder="1" applyProtection="1"/>
    <xf numFmtId="0" fontId="2" fillId="48" borderId="33" xfId="0" applyFont="1" applyFill="1" applyBorder="1" applyProtection="1"/>
    <xf numFmtId="0" fontId="0" fillId="48" borderId="33" xfId="0" applyFill="1" applyBorder="1" applyProtection="1"/>
    <xf numFmtId="0" fontId="0" fillId="37" borderId="36" xfId="0" applyFill="1" applyBorder="1" applyProtection="1"/>
    <xf numFmtId="0" fontId="0" fillId="37" borderId="34" xfId="0" applyFill="1" applyBorder="1" applyProtection="1"/>
    <xf numFmtId="0" fontId="0" fillId="37" borderId="37" xfId="0" applyFill="1" applyBorder="1" applyProtection="1"/>
    <xf numFmtId="0" fontId="36" fillId="37" borderId="0" xfId="0" applyFont="1" applyFill="1" applyBorder="1" applyProtection="1"/>
    <xf numFmtId="0" fontId="0" fillId="37" borderId="25" xfId="0" applyFill="1" applyBorder="1" applyProtection="1"/>
    <xf numFmtId="0" fontId="0" fillId="37" borderId="30" xfId="0" applyFill="1" applyBorder="1" applyProtection="1"/>
    <xf numFmtId="0" fontId="0" fillId="3" borderId="0" xfId="0" applyFill="1" applyAlignment="1" applyProtection="1">
      <alignment wrapText="1"/>
    </xf>
    <xf numFmtId="1" fontId="0" fillId="48" borderId="0" xfId="0" applyNumberFormat="1" applyFill="1" applyAlignment="1" applyProtection="1">
      <alignment horizontal="center"/>
    </xf>
    <xf numFmtId="0" fontId="10" fillId="3" borderId="0" xfId="0" applyFont="1" applyFill="1" applyAlignment="1" applyProtection="1">
      <alignment wrapText="1"/>
    </xf>
    <xf numFmtId="0" fontId="51" fillId="45" borderId="0" xfId="0" applyFont="1" applyFill="1" applyBorder="1" applyAlignment="1" applyProtection="1">
      <alignment horizontal="center"/>
    </xf>
    <xf numFmtId="0" fontId="51" fillId="45" borderId="0" xfId="0" applyFont="1" applyFill="1" applyAlignment="1" applyProtection="1">
      <alignment horizontal="right"/>
    </xf>
    <xf numFmtId="0" fontId="51" fillId="45" borderId="0" xfId="7" applyFont="1" applyFill="1" applyAlignment="1" applyProtection="1">
      <alignment horizontal="right"/>
    </xf>
    <xf numFmtId="0" fontId="2" fillId="0" borderId="0" xfId="0" applyFont="1" applyFill="1" applyBorder="1" applyAlignment="1" applyProtection="1"/>
    <xf numFmtId="1" fontId="0" fillId="46" borderId="9" xfId="0" applyNumberFormat="1" applyFill="1" applyBorder="1" applyAlignment="1">
      <alignment horizontal="center" vertical="center"/>
    </xf>
    <xf numFmtId="0" fontId="30" fillId="44" borderId="9" xfId="0" applyFont="1" applyFill="1" applyBorder="1" applyAlignment="1">
      <alignment horizontal="center"/>
    </xf>
    <xf numFmtId="0" fontId="0" fillId="45" borderId="9" xfId="0" applyFill="1" applyBorder="1" applyAlignment="1">
      <alignment horizontal="center" vertical="center"/>
    </xf>
    <xf numFmtId="0" fontId="1" fillId="0" borderId="0" xfId="0" applyFont="1" applyAlignment="1">
      <alignment horizontal="center"/>
    </xf>
    <xf numFmtId="164" fontId="1" fillId="0" borderId="0" xfId="0" applyNumberFormat="1" applyFont="1" applyAlignment="1">
      <alignment horizontal="center" vertical="center"/>
    </xf>
    <xf numFmtId="0" fontId="0" fillId="45" borderId="9" xfId="0" applyFont="1" applyFill="1" applyBorder="1" applyAlignment="1" applyProtection="1">
      <alignment horizontal="center" vertical="center"/>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2" fillId="0" borderId="9" xfId="0" applyFont="1" applyBorder="1" applyAlignment="1">
      <alignment horizontal="left"/>
    </xf>
    <xf numFmtId="0" fontId="15" fillId="0" borderId="0" xfId="0" applyFont="1" applyAlignment="1">
      <alignment horizontal="left"/>
    </xf>
    <xf numFmtId="0" fontId="15" fillId="0" borderId="37" xfId="0" applyFont="1" applyBorder="1" applyAlignment="1">
      <alignment horizontal="left"/>
    </xf>
    <xf numFmtId="0" fontId="0" fillId="0" borderId="9" xfId="0" applyBorder="1" applyAlignment="1">
      <alignment horizontal="left"/>
    </xf>
    <xf numFmtId="0" fontId="0" fillId="0" borderId="35" xfId="0" applyBorder="1"/>
    <xf numFmtId="0" fontId="2" fillId="0" borderId="33" xfId="0" applyFont="1" applyBorder="1" applyAlignment="1">
      <alignment horizontal="center" vertical="center" wrapText="1"/>
    </xf>
    <xf numFmtId="0" fontId="2" fillId="0" borderId="36" xfId="0" applyFont="1" applyBorder="1" applyAlignment="1">
      <alignment horizontal="center" vertical="center" wrapText="1"/>
    </xf>
    <xf numFmtId="0" fontId="0" fillId="0" borderId="34" xfId="0" applyBorder="1"/>
    <xf numFmtId="0" fontId="0" fillId="0" borderId="37" xfId="0" applyBorder="1" applyAlignment="1">
      <alignment horizontal="center" vertical="center" wrapText="1"/>
    </xf>
    <xf numFmtId="0" fontId="0" fillId="0" borderId="9" xfId="0" applyBorder="1"/>
    <xf numFmtId="0" fontId="6" fillId="0" borderId="0" xfId="0" applyFont="1"/>
    <xf numFmtId="0" fontId="1" fillId="0" borderId="0" xfId="0" applyFont="1" applyAlignment="1">
      <alignment vertical="top"/>
    </xf>
    <xf numFmtId="0" fontId="2" fillId="0" borderId="0" xfId="0" applyFont="1" applyAlignment="1">
      <alignment horizontal="center"/>
    </xf>
    <xf numFmtId="0" fontId="0" fillId="0" borderId="9" xfId="0" applyBorder="1" applyAlignment="1">
      <alignment horizontal="center"/>
    </xf>
    <xf numFmtId="0" fontId="47" fillId="44" borderId="10" xfId="0" applyFont="1" applyFill="1" applyBorder="1" applyAlignment="1">
      <alignment horizontal="left"/>
    </xf>
    <xf numFmtId="0" fontId="47" fillId="44" borderId="12" xfId="0" applyFont="1" applyFill="1" applyBorder="1" applyAlignment="1">
      <alignment horizontal="left"/>
    </xf>
    <xf numFmtId="0" fontId="47" fillId="44" borderId="11" xfId="0" applyFont="1" applyFill="1" applyBorder="1" applyAlignment="1">
      <alignment horizontal="left"/>
    </xf>
    <xf numFmtId="0" fontId="47" fillId="44" borderId="10" xfId="0" applyFont="1" applyFill="1" applyBorder="1"/>
    <xf numFmtId="0" fontId="47" fillId="44" borderId="12" xfId="0" applyFont="1" applyFill="1" applyBorder="1"/>
    <xf numFmtId="0" fontId="47" fillId="44" borderId="11" xfId="0" applyFont="1" applyFill="1" applyBorder="1"/>
    <xf numFmtId="164" fontId="0" fillId="46" borderId="9" xfId="0" applyNumberFormat="1" applyFill="1" applyBorder="1" applyAlignment="1">
      <alignment horizontal="center" vertical="center"/>
    </xf>
    <xf numFmtId="0" fontId="0" fillId="46" borderId="9" xfId="0" applyFill="1" applyBorder="1" applyAlignment="1">
      <alignment horizontal="center"/>
    </xf>
    <xf numFmtId="0" fontId="0" fillId="2" borderId="0" xfId="0" applyFill="1"/>
    <xf numFmtId="0" fontId="3" fillId="0" borderId="0" xfId="0" applyFont="1" applyAlignment="1">
      <alignment vertical="top"/>
    </xf>
    <xf numFmtId="0" fontId="5" fillId="2" borderId="0" xfId="0" applyFont="1" applyFill="1"/>
    <xf numFmtId="0" fontId="0" fillId="2" borderId="4" xfId="0" applyFill="1" applyBorder="1"/>
    <xf numFmtId="0" fontId="0" fillId="2" borderId="5" xfId="0" applyFill="1" applyBorder="1"/>
    <xf numFmtId="0" fontId="0" fillId="2" borderId="0" xfId="0" applyFill="1" applyAlignment="1">
      <alignment vertical="top" wrapText="1"/>
    </xf>
    <xf numFmtId="0" fontId="2" fillId="0" borderId="0" xfId="0" applyFont="1" applyAlignment="1">
      <alignment horizontal="center" vertical="center"/>
    </xf>
    <xf numFmtId="0" fontId="0" fillId="2" borderId="1" xfId="0" applyFill="1" applyBorder="1" applyAlignment="1">
      <alignment wrapText="1"/>
    </xf>
    <xf numFmtId="0" fontId="0" fillId="2" borderId="2" xfId="0" applyFill="1" applyBorder="1" applyAlignment="1">
      <alignment wrapText="1"/>
    </xf>
    <xf numFmtId="0" fontId="0" fillId="2" borderId="3" xfId="0" applyFill="1" applyBorder="1" applyAlignment="1">
      <alignment wrapText="1"/>
    </xf>
    <xf numFmtId="0" fontId="0" fillId="2" borderId="4" xfId="0" applyFill="1" applyBorder="1" applyAlignment="1">
      <alignment wrapText="1"/>
    </xf>
    <xf numFmtId="0" fontId="0" fillId="2" borderId="0" xfId="0" applyFill="1" applyBorder="1" applyAlignment="1">
      <alignment wrapText="1"/>
    </xf>
    <xf numFmtId="0" fontId="0" fillId="2" borderId="5" xfId="0" applyFill="1" applyBorder="1" applyAlignment="1">
      <alignment wrapText="1"/>
    </xf>
    <xf numFmtId="0" fontId="0" fillId="2" borderId="6" xfId="0" applyFill="1" applyBorder="1" applyAlignment="1">
      <alignment wrapText="1"/>
    </xf>
    <xf numFmtId="0" fontId="0" fillId="2" borderId="7" xfId="0" applyFill="1" applyBorder="1" applyAlignment="1">
      <alignment wrapText="1"/>
    </xf>
    <xf numFmtId="0" fontId="0" fillId="2" borderId="8" xfId="0" applyFill="1" applyBorder="1" applyAlignment="1">
      <alignment wrapText="1"/>
    </xf>
    <xf numFmtId="0" fontId="0" fillId="2" borderId="4" xfId="0" applyFill="1" applyBorder="1" applyAlignment="1">
      <alignment horizontal="left" vertical="top" wrapText="1"/>
    </xf>
    <xf numFmtId="0" fontId="0" fillId="2" borderId="0" xfId="0" applyFill="1" applyAlignment="1">
      <alignment horizontal="left" vertical="top" wrapText="1"/>
    </xf>
    <xf numFmtId="0" fontId="0" fillId="2" borderId="5" xfId="0" applyFill="1" applyBorder="1" applyAlignment="1">
      <alignment horizontal="left" vertical="top" wrapText="1"/>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0" xfId="0" applyFont="1" applyFill="1" applyAlignment="1">
      <alignment horizontal="left" vertical="top" wrapText="1"/>
    </xf>
    <xf numFmtId="0" fontId="2" fillId="2" borderId="5" xfId="0" applyFont="1" applyFill="1" applyBorder="1" applyAlignment="1">
      <alignment horizontal="left" vertical="top" wrapText="1"/>
    </xf>
    <xf numFmtId="14" fontId="0" fillId="2" borderId="0" xfId="0" applyNumberFormat="1" applyFill="1" applyAlignment="1">
      <alignment horizontal="left" vertical="top" wrapText="1"/>
    </xf>
    <xf numFmtId="0" fontId="0" fillId="2" borderId="6" xfId="0" applyFill="1" applyBorder="1" applyAlignment="1">
      <alignment horizontal="left" vertical="top" wrapText="1"/>
    </xf>
    <xf numFmtId="0" fontId="0" fillId="2" borderId="7" xfId="0" applyFill="1" applyBorder="1" applyAlignment="1">
      <alignment horizontal="left" vertical="top" wrapText="1"/>
    </xf>
    <xf numFmtId="0" fontId="0" fillId="2" borderId="8" xfId="0" applyFill="1" applyBorder="1" applyAlignment="1">
      <alignment horizontal="left" vertical="top" wrapText="1"/>
    </xf>
    <xf numFmtId="0" fontId="47" fillId="44" borderId="9" xfId="0" applyFont="1" applyFill="1" applyBorder="1" applyAlignment="1" applyProtection="1">
      <alignment horizontal="left"/>
    </xf>
    <xf numFmtId="0" fontId="2" fillId="0" borderId="0" xfId="0" applyFont="1" applyFill="1" applyAlignment="1" applyProtection="1">
      <alignment horizontal="center"/>
    </xf>
    <xf numFmtId="0" fontId="0" fillId="37" borderId="0" xfId="0" applyFill="1" applyAlignment="1">
      <alignment horizontal="center"/>
    </xf>
    <xf numFmtId="0" fontId="0" fillId="38" borderId="0" xfId="0" applyFont="1" applyFill="1" applyBorder="1" applyAlignment="1" applyProtection="1">
      <alignment horizontal="center" wrapText="1"/>
    </xf>
    <xf numFmtId="0" fontId="0" fillId="38" borderId="30" xfId="0" applyFont="1" applyFill="1" applyBorder="1" applyAlignment="1" applyProtection="1">
      <alignment horizontal="center" wrapText="1"/>
    </xf>
    <xf numFmtId="0" fontId="2" fillId="0" borderId="0" xfId="0" applyFont="1" applyBorder="1" applyAlignment="1" applyProtection="1">
      <alignment horizontal="left"/>
    </xf>
    <xf numFmtId="0" fontId="0" fillId="45" borderId="35" xfId="0" applyFill="1" applyBorder="1" applyAlignment="1" applyProtection="1">
      <alignment horizontal="left" vertical="top"/>
      <protection locked="0"/>
    </xf>
    <xf numFmtId="0" fontId="0" fillId="45" borderId="36" xfId="0" applyFill="1" applyBorder="1" applyAlignment="1" applyProtection="1">
      <alignment horizontal="left" vertical="top"/>
      <protection locked="0"/>
    </xf>
    <xf numFmtId="0" fontId="0" fillId="45" borderId="34" xfId="0" applyFill="1" applyBorder="1" applyAlignment="1" applyProtection="1">
      <alignment horizontal="left" vertical="top"/>
      <protection locked="0"/>
    </xf>
    <xf numFmtId="0" fontId="0" fillId="45" borderId="37" xfId="0" applyFill="1" applyBorder="1" applyAlignment="1" applyProtection="1">
      <alignment horizontal="left" vertical="top"/>
      <protection locked="0"/>
    </xf>
    <xf numFmtId="0" fontId="0" fillId="45" borderId="25" xfId="0" applyFill="1" applyBorder="1" applyAlignment="1" applyProtection="1">
      <alignment horizontal="left" vertical="top"/>
      <protection locked="0"/>
    </xf>
    <xf numFmtId="0" fontId="0" fillId="45" borderId="32" xfId="0" applyFill="1" applyBorder="1" applyAlignment="1" applyProtection="1">
      <alignment horizontal="left" vertical="top"/>
      <protection locked="0"/>
    </xf>
    <xf numFmtId="0" fontId="0" fillId="45" borderId="35" xfId="0" applyFont="1" applyFill="1" applyBorder="1" applyAlignment="1" applyProtection="1">
      <alignment horizontal="center" vertical="top"/>
      <protection locked="0"/>
    </xf>
    <xf numFmtId="0" fontId="0" fillId="45" borderId="36" xfId="0" applyFont="1" applyFill="1" applyBorder="1" applyAlignment="1" applyProtection="1">
      <alignment horizontal="center" vertical="top"/>
      <protection locked="0"/>
    </xf>
    <xf numFmtId="0" fontId="0" fillId="45" borderId="34" xfId="0" applyFont="1" applyFill="1" applyBorder="1" applyAlignment="1" applyProtection="1">
      <alignment horizontal="center" vertical="top"/>
      <protection locked="0"/>
    </xf>
    <xf numFmtId="0" fontId="0" fillId="45" borderId="37" xfId="0" applyFont="1" applyFill="1" applyBorder="1" applyAlignment="1" applyProtection="1">
      <alignment horizontal="center" vertical="top"/>
      <protection locked="0"/>
    </xf>
    <xf numFmtId="0" fontId="0" fillId="45" borderId="25" xfId="0" applyFont="1" applyFill="1" applyBorder="1" applyAlignment="1" applyProtection="1">
      <alignment horizontal="center" vertical="top"/>
      <protection locked="0"/>
    </xf>
    <xf numFmtId="0" fontId="0" fillId="45" borderId="32" xfId="0" applyFont="1" applyFill="1" applyBorder="1" applyAlignment="1" applyProtection="1">
      <alignment horizontal="center" vertical="top"/>
      <protection locked="0"/>
    </xf>
    <xf numFmtId="0" fontId="10" fillId="45" borderId="35" xfId="0" applyFont="1" applyFill="1" applyBorder="1" applyAlignment="1" applyProtection="1">
      <alignment horizontal="left" vertical="top"/>
      <protection locked="0"/>
    </xf>
    <xf numFmtId="0" fontId="10" fillId="45" borderId="33" xfId="0" applyFont="1" applyFill="1" applyBorder="1" applyAlignment="1" applyProtection="1">
      <alignment horizontal="left" vertical="top"/>
      <protection locked="0"/>
    </xf>
    <xf numFmtId="0" fontId="10" fillId="45" borderId="36" xfId="0" applyFont="1" applyFill="1" applyBorder="1" applyAlignment="1" applyProtection="1">
      <alignment horizontal="left" vertical="top"/>
      <protection locked="0"/>
    </xf>
    <xf numFmtId="0" fontId="10" fillId="45" borderId="34" xfId="0" applyFont="1" applyFill="1" applyBorder="1" applyAlignment="1" applyProtection="1">
      <alignment horizontal="left" vertical="top"/>
      <protection locked="0"/>
    </xf>
    <xf numFmtId="0" fontId="10" fillId="45" borderId="0" xfId="0" applyFont="1" applyFill="1" applyBorder="1" applyAlignment="1" applyProtection="1">
      <alignment horizontal="left" vertical="top"/>
      <protection locked="0"/>
    </xf>
    <xf numFmtId="0" fontId="10" fillId="45" borderId="37" xfId="0" applyFont="1" applyFill="1" applyBorder="1" applyAlignment="1" applyProtection="1">
      <alignment horizontal="left" vertical="top"/>
      <protection locked="0"/>
    </xf>
    <xf numFmtId="0" fontId="10" fillId="45" borderId="25" xfId="0" applyFont="1" applyFill="1" applyBorder="1" applyAlignment="1" applyProtection="1">
      <alignment horizontal="left" vertical="top"/>
      <protection locked="0"/>
    </xf>
    <xf numFmtId="0" fontId="10" fillId="45" borderId="30" xfId="0" applyFont="1" applyFill="1" applyBorder="1" applyAlignment="1" applyProtection="1">
      <alignment horizontal="left" vertical="top"/>
      <protection locked="0"/>
    </xf>
    <xf numFmtId="0" fontId="10" fillId="45" borderId="32" xfId="0" applyFont="1" applyFill="1" applyBorder="1" applyAlignment="1" applyProtection="1">
      <alignment horizontal="left" vertical="top"/>
      <protection locked="0"/>
    </xf>
    <xf numFmtId="0" fontId="0" fillId="45" borderId="35" xfId="0" applyFont="1" applyFill="1" applyBorder="1" applyAlignment="1" applyProtection="1">
      <alignment horizontal="left" vertical="top"/>
      <protection locked="0"/>
    </xf>
    <xf numFmtId="0" fontId="0" fillId="45" borderId="36" xfId="0" applyFont="1" applyFill="1" applyBorder="1" applyAlignment="1" applyProtection="1">
      <alignment horizontal="left" vertical="top"/>
      <protection locked="0"/>
    </xf>
    <xf numFmtId="0" fontId="0" fillId="45" borderId="34" xfId="0" applyFont="1" applyFill="1" applyBorder="1" applyAlignment="1" applyProtection="1">
      <alignment horizontal="left" vertical="top"/>
      <protection locked="0"/>
    </xf>
    <xf numFmtId="0" fontId="0" fillId="45" borderId="37" xfId="0" applyFont="1" applyFill="1" applyBorder="1" applyAlignment="1" applyProtection="1">
      <alignment horizontal="left" vertical="top"/>
      <protection locked="0"/>
    </xf>
    <xf numFmtId="0" fontId="0" fillId="45" borderId="25" xfId="0" applyFont="1" applyFill="1" applyBorder="1" applyAlignment="1" applyProtection="1">
      <alignment horizontal="left" vertical="top"/>
      <protection locked="0"/>
    </xf>
    <xf numFmtId="0" fontId="0" fillId="45" borderId="32" xfId="0" applyFont="1" applyFill="1" applyBorder="1" applyAlignment="1" applyProtection="1">
      <alignment horizontal="left" vertical="top"/>
      <protection locked="0"/>
    </xf>
    <xf numFmtId="0" fontId="0" fillId="0" borderId="33" xfId="0" applyBorder="1" applyAlignment="1" applyProtection="1">
      <alignment horizontal="center"/>
    </xf>
    <xf numFmtId="0" fontId="0" fillId="0" borderId="33" xfId="0" applyBorder="1" applyAlignment="1">
      <alignment horizontal="center"/>
    </xf>
    <xf numFmtId="0" fontId="47" fillId="44" borderId="10" xfId="0" applyFont="1" applyFill="1" applyBorder="1" applyAlignment="1" applyProtection="1">
      <alignment horizontal="left"/>
    </xf>
    <xf numFmtId="0" fontId="47" fillId="44" borderId="11" xfId="0" applyFont="1" applyFill="1" applyBorder="1" applyAlignment="1" applyProtection="1">
      <alignment horizontal="left"/>
    </xf>
    <xf numFmtId="0" fontId="47" fillId="44" borderId="12" xfId="0" applyFont="1" applyFill="1" applyBorder="1" applyAlignment="1" applyProtection="1">
      <alignment horizontal="left"/>
    </xf>
    <xf numFmtId="0" fontId="47" fillId="44" borderId="10" xfId="0" applyFont="1" applyFill="1" applyBorder="1" applyAlignment="1">
      <alignment horizontal="left"/>
    </xf>
    <xf numFmtId="0" fontId="47" fillId="44" borderId="12" xfId="0" applyFont="1" applyFill="1" applyBorder="1" applyAlignment="1">
      <alignment horizontal="left"/>
    </xf>
    <xf numFmtId="0" fontId="47" fillId="44" borderId="11" xfId="0" applyFont="1" applyFill="1" applyBorder="1" applyAlignment="1">
      <alignment horizontal="left"/>
    </xf>
    <xf numFmtId="49" fontId="0" fillId="45" borderId="35" xfId="0" applyNumberFormat="1" applyFill="1" applyBorder="1" applyAlignment="1" applyProtection="1">
      <alignment horizontal="left" vertical="top"/>
      <protection locked="0"/>
    </xf>
    <xf numFmtId="49" fontId="0" fillId="45" borderId="36" xfId="0" applyNumberFormat="1" applyFill="1" applyBorder="1" applyAlignment="1" applyProtection="1">
      <alignment horizontal="left" vertical="top"/>
      <protection locked="0"/>
    </xf>
    <xf numFmtId="49" fontId="0" fillId="45" borderId="34" xfId="0" applyNumberFormat="1" applyFill="1" applyBorder="1" applyAlignment="1" applyProtection="1">
      <alignment horizontal="left" vertical="top"/>
      <protection locked="0"/>
    </xf>
    <xf numFmtId="49" fontId="0" fillId="45" borderId="37" xfId="0" applyNumberFormat="1" applyFill="1" applyBorder="1" applyAlignment="1" applyProtection="1">
      <alignment horizontal="left" vertical="top"/>
      <protection locked="0"/>
    </xf>
    <xf numFmtId="49" fontId="0" fillId="45" borderId="25" xfId="0" applyNumberFormat="1" applyFill="1" applyBorder="1" applyAlignment="1" applyProtection="1">
      <alignment horizontal="left" vertical="top"/>
      <protection locked="0"/>
    </xf>
    <xf numFmtId="49" fontId="0" fillId="45" borderId="32" xfId="0" applyNumberFormat="1" applyFill="1" applyBorder="1" applyAlignment="1" applyProtection="1">
      <alignment horizontal="left" vertical="top"/>
      <protection locked="0"/>
    </xf>
    <xf numFmtId="0" fontId="36" fillId="0" borderId="0" xfId="0" applyFont="1" applyFill="1" applyBorder="1" applyAlignment="1" applyProtection="1">
      <alignment horizontal="left"/>
    </xf>
    <xf numFmtId="0" fontId="36" fillId="0" borderId="0" xfId="0" applyFont="1" applyAlignment="1">
      <alignment horizontal="left"/>
    </xf>
    <xf numFmtId="49" fontId="0" fillId="45" borderId="35" xfId="0" applyNumberFormat="1" applyFill="1" applyBorder="1" applyAlignment="1">
      <alignment horizontal="left" vertical="top"/>
    </xf>
    <xf numFmtId="49" fontId="0" fillId="45" borderId="36" xfId="0" applyNumberFormat="1" applyFill="1" applyBorder="1" applyAlignment="1">
      <alignment horizontal="left" vertical="top"/>
    </xf>
    <xf numFmtId="49" fontId="0" fillId="45" borderId="34" xfId="0" applyNumberFormat="1" applyFill="1" applyBorder="1" applyAlignment="1">
      <alignment horizontal="left" vertical="top"/>
    </xf>
    <xf numFmtId="49" fontId="0" fillId="45" borderId="37" xfId="0" applyNumberFormat="1" applyFill="1" applyBorder="1" applyAlignment="1">
      <alignment horizontal="left" vertical="top"/>
    </xf>
    <xf numFmtId="49" fontId="0" fillId="45" borderId="25" xfId="0" applyNumberFormat="1" applyFill="1" applyBorder="1" applyAlignment="1">
      <alignment horizontal="left" vertical="top"/>
    </xf>
    <xf numFmtId="49" fontId="0" fillId="45" borderId="32" xfId="0" applyNumberFormat="1" applyFill="1" applyBorder="1" applyAlignment="1">
      <alignment horizontal="left" vertical="top"/>
    </xf>
    <xf numFmtId="0" fontId="0" fillId="46" borderId="9" xfId="0" applyFont="1" applyFill="1" applyBorder="1" applyAlignment="1" applyProtection="1">
      <alignment horizontal="center"/>
    </xf>
    <xf numFmtId="0" fontId="0" fillId="0" borderId="9" xfId="0" applyFill="1" applyBorder="1" applyAlignment="1" applyProtection="1">
      <alignment horizontal="left"/>
    </xf>
    <xf numFmtId="0" fontId="0" fillId="0" borderId="9" xfId="0" applyFill="1" applyBorder="1" applyAlignment="1" applyProtection="1">
      <alignment horizontal="left" vertical="center"/>
    </xf>
    <xf numFmtId="0" fontId="0" fillId="0" borderId="10" xfId="0" applyFont="1" applyFill="1" applyBorder="1" applyAlignment="1" applyProtection="1">
      <alignment horizontal="left" vertical="center"/>
    </xf>
    <xf numFmtId="0" fontId="0" fillId="0" borderId="11" xfId="0" applyFont="1" applyFill="1" applyBorder="1" applyAlignment="1" applyProtection="1">
      <alignment horizontal="left" vertical="center"/>
    </xf>
    <xf numFmtId="0" fontId="0" fillId="0" borderId="9" xfId="0" applyFont="1" applyFill="1" applyBorder="1" applyAlignment="1" applyProtection="1">
      <alignment horizontal="left" vertical="center"/>
    </xf>
    <xf numFmtId="0" fontId="0" fillId="46" borderId="9" xfId="0" applyFill="1" applyBorder="1" applyAlignment="1" applyProtection="1">
      <alignment horizontal="center" vertical="center"/>
    </xf>
    <xf numFmtId="0" fontId="0" fillId="46" borderId="10" xfId="0" applyFill="1" applyBorder="1" applyAlignment="1" applyProtection="1">
      <alignment horizontal="center" vertical="center"/>
    </xf>
    <xf numFmtId="0" fontId="0" fillId="46" borderId="12" xfId="0" applyFill="1" applyBorder="1" applyAlignment="1" applyProtection="1">
      <alignment horizontal="center" vertical="center"/>
    </xf>
    <xf numFmtId="0" fontId="0" fillId="46" borderId="11" xfId="0" applyFill="1" applyBorder="1" applyAlignment="1" applyProtection="1">
      <alignment horizontal="center" vertical="center"/>
    </xf>
    <xf numFmtId="0" fontId="2" fillId="0" borderId="9" xfId="0" applyFont="1" applyBorder="1" applyAlignment="1" applyProtection="1">
      <alignment horizontal="left" vertical="center"/>
    </xf>
    <xf numFmtId="0" fontId="32" fillId="0" borderId="9" xfId="0" applyFont="1" applyBorder="1" applyAlignment="1" applyProtection="1">
      <alignment horizontal="left" vertical="center"/>
    </xf>
    <xf numFmtId="0" fontId="0" fillId="45" borderId="9" xfId="0" applyFont="1" applyFill="1" applyBorder="1" applyAlignment="1" applyProtection="1">
      <alignment horizontal="center"/>
      <protection locked="0"/>
    </xf>
    <xf numFmtId="0" fontId="0" fillId="0" borderId="9" xfId="0" applyFont="1" applyFill="1" applyBorder="1" applyAlignment="1" applyProtection="1">
      <alignment horizontal="left"/>
    </xf>
    <xf numFmtId="0" fontId="0" fillId="0" borderId="9" xfId="0" applyFont="1" applyBorder="1" applyAlignment="1" applyProtection="1">
      <alignment horizontal="left"/>
    </xf>
    <xf numFmtId="0" fontId="0" fillId="0" borderId="10" xfId="0" applyBorder="1" applyAlignment="1" applyProtection="1">
      <alignment horizontal="left"/>
    </xf>
    <xf numFmtId="0" fontId="0" fillId="0" borderId="11" xfId="0" applyBorder="1" applyAlignment="1" applyProtection="1">
      <alignment horizontal="left"/>
    </xf>
  </cellXfs>
  <cellStyles count="44">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42"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ellStyle name="Procent" xfId="43" builtinId="5"/>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190">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val="0"/>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EEF1F9"/>
      </font>
      <fill>
        <patternFill>
          <bgColor rgb="FFEEF1F9"/>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EEF1F9"/>
      </font>
      <fill>
        <patternFill>
          <bgColor rgb="FFEEF1F9"/>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fgColor theme="0" tint="-0.24994659260841701"/>
          <bgColor theme="0" tint="-0.24994659260841701"/>
        </patternFill>
      </fill>
    </dxf>
    <dxf>
      <fill>
        <patternFill>
          <bgColor theme="6"/>
        </patternFill>
      </fill>
    </dxf>
    <dxf>
      <font>
        <color theme="0" tint="-0.24994659260841701"/>
      </font>
      <fill>
        <patternFill>
          <bgColor theme="0" tint="-0.24994659260841701"/>
        </patternFill>
      </fill>
    </dxf>
    <dxf>
      <fill>
        <patternFill>
          <bgColor theme="6"/>
        </patternFill>
      </fill>
    </dxf>
    <dxf>
      <font>
        <color theme="0" tint="-0.24994659260841701"/>
      </font>
      <fill>
        <patternFill>
          <bgColor theme="0" tint="-0.24994659260841701"/>
        </patternFill>
      </fill>
    </dxf>
    <dxf>
      <fill>
        <patternFill>
          <bgColor theme="6"/>
        </patternFill>
      </fill>
    </dxf>
    <dxf>
      <font>
        <color theme="0" tint="-0.24994659260841701"/>
      </font>
      <fill>
        <patternFill>
          <bgColor theme="0" tint="-0.24994659260841701"/>
        </patternFill>
      </fill>
    </dxf>
    <dxf>
      <fill>
        <patternFill>
          <bgColor theme="6"/>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6"/>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s>
  <tableStyles count="0" defaultTableStyle="TableStyleMedium2" defaultPivotStyle="PivotStyleLight16"/>
  <colors>
    <mruColors>
      <color rgb="FF266B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Byggnadens totala energianvändning (BBR</a:t>
            </a:r>
            <a:r>
              <a:rPr lang="sv-SE" baseline="0"/>
              <a:t> energi) i drift</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1508597187021009"/>
          <c:y val="0.14177698981541814"/>
          <c:w val="0.85017541304446775"/>
          <c:h val="0.67038188189179027"/>
        </c:manualLayout>
      </c:layout>
      <c:barChart>
        <c:barDir val="col"/>
        <c:grouping val="stacked"/>
        <c:varyColors val="0"/>
        <c:ser>
          <c:idx val="0"/>
          <c:order val="0"/>
          <c:tx>
            <c:v>Uppvärmning</c:v>
          </c:tx>
          <c:spPr>
            <a:solidFill>
              <a:schemeClr val="accent1"/>
            </a:solidFill>
            <a:ln>
              <a:noFill/>
            </a:ln>
            <a:effectLst/>
          </c:spPr>
          <c:invertIfNegative val="0"/>
          <c:cat>
            <c:strRef>
              <c:f>Resultat!$C$34:$D$34</c:f>
              <c:strCache>
                <c:ptCount val="2"/>
                <c:pt idx="0">
                  <c:v>Uppmätt energianvändning </c:v>
                </c:pt>
                <c:pt idx="1">
                  <c:v>Normaliserad energianvändning </c:v>
                </c:pt>
              </c:strCache>
            </c:strRef>
          </c:cat>
          <c:val>
            <c:numRef>
              <c:f>Resultat!$C$38:$D$38</c:f>
              <c:numCache>
                <c:formatCode>0.0</c:formatCode>
                <c:ptCount val="2"/>
                <c:pt idx="0">
                  <c:v>0</c:v>
                </c:pt>
                <c:pt idx="1">
                  <c:v>0</c:v>
                </c:pt>
              </c:numCache>
            </c:numRef>
          </c:val>
          <c:extLst>
            <c:ext xmlns:c16="http://schemas.microsoft.com/office/drawing/2014/chart" uri="{C3380CC4-5D6E-409C-BE32-E72D297353CC}">
              <c16:uniqueId val="{00000000-D643-4087-AC10-5D05C6817365}"/>
            </c:ext>
          </c:extLst>
        </c:ser>
        <c:ser>
          <c:idx val="1"/>
          <c:order val="1"/>
          <c:tx>
            <c:v>Tappvarmvatten</c:v>
          </c:tx>
          <c:spPr>
            <a:solidFill>
              <a:schemeClr val="accent3"/>
            </a:solidFill>
            <a:ln>
              <a:noFill/>
            </a:ln>
            <a:effectLst/>
          </c:spPr>
          <c:invertIfNegative val="0"/>
          <c:cat>
            <c:strRef>
              <c:f>Resultat!$C$34:$D$34</c:f>
              <c:strCache>
                <c:ptCount val="2"/>
                <c:pt idx="0">
                  <c:v>Uppmätt energianvändning </c:v>
                </c:pt>
                <c:pt idx="1">
                  <c:v>Normaliserad energianvändning </c:v>
                </c:pt>
              </c:strCache>
            </c:strRef>
          </c:cat>
          <c:val>
            <c:numRef>
              <c:f>Resultat!$C$39:$D$39</c:f>
              <c:numCache>
                <c:formatCode>0.0</c:formatCode>
                <c:ptCount val="2"/>
                <c:pt idx="0">
                  <c:v>0</c:v>
                </c:pt>
                <c:pt idx="1">
                  <c:v>0</c:v>
                </c:pt>
              </c:numCache>
            </c:numRef>
          </c:val>
          <c:extLst>
            <c:ext xmlns:c16="http://schemas.microsoft.com/office/drawing/2014/chart" uri="{C3380CC4-5D6E-409C-BE32-E72D297353CC}">
              <c16:uniqueId val="{00000001-D643-4087-AC10-5D05C6817365}"/>
            </c:ext>
          </c:extLst>
        </c:ser>
        <c:ser>
          <c:idx val="2"/>
          <c:order val="2"/>
          <c:tx>
            <c:v>Komfortkyla</c:v>
          </c:tx>
          <c:spPr>
            <a:solidFill>
              <a:schemeClr val="accent5"/>
            </a:solidFill>
            <a:ln>
              <a:noFill/>
            </a:ln>
            <a:effectLst/>
          </c:spPr>
          <c:invertIfNegative val="0"/>
          <c:cat>
            <c:strRef>
              <c:f>Resultat!$C$34:$D$34</c:f>
              <c:strCache>
                <c:ptCount val="2"/>
                <c:pt idx="0">
                  <c:v>Uppmätt energianvändning </c:v>
                </c:pt>
                <c:pt idx="1">
                  <c:v>Normaliserad energianvändning </c:v>
                </c:pt>
              </c:strCache>
            </c:strRef>
          </c:cat>
          <c:val>
            <c:numRef>
              <c:f>Resultat!$C$40:$D$40</c:f>
              <c:numCache>
                <c:formatCode>0.0</c:formatCode>
                <c:ptCount val="2"/>
                <c:pt idx="0">
                  <c:v>0</c:v>
                </c:pt>
                <c:pt idx="1">
                  <c:v>0</c:v>
                </c:pt>
              </c:numCache>
            </c:numRef>
          </c:val>
          <c:extLst>
            <c:ext xmlns:c16="http://schemas.microsoft.com/office/drawing/2014/chart" uri="{C3380CC4-5D6E-409C-BE32-E72D297353CC}">
              <c16:uniqueId val="{00000002-D643-4087-AC10-5D05C6817365}"/>
            </c:ext>
          </c:extLst>
        </c:ser>
        <c:ser>
          <c:idx val="3"/>
          <c:order val="3"/>
          <c:tx>
            <c:v>Fastighetsenergi</c:v>
          </c:tx>
          <c:spPr>
            <a:solidFill>
              <a:schemeClr val="accent1">
                <a:lumMod val="60000"/>
              </a:schemeClr>
            </a:solidFill>
            <a:ln>
              <a:noFill/>
            </a:ln>
            <a:effectLst/>
          </c:spPr>
          <c:invertIfNegative val="0"/>
          <c:cat>
            <c:strRef>
              <c:f>Resultat!$C$34:$D$34</c:f>
              <c:strCache>
                <c:ptCount val="2"/>
                <c:pt idx="0">
                  <c:v>Uppmätt energianvändning </c:v>
                </c:pt>
                <c:pt idx="1">
                  <c:v>Normaliserad energianvändning </c:v>
                </c:pt>
              </c:strCache>
            </c:strRef>
          </c:cat>
          <c:val>
            <c:numRef>
              <c:f>Resultat!$C$41:$D$41</c:f>
              <c:numCache>
                <c:formatCode>0.0</c:formatCode>
                <c:ptCount val="2"/>
                <c:pt idx="0">
                  <c:v>0</c:v>
                </c:pt>
                <c:pt idx="1">
                  <c:v>0</c:v>
                </c:pt>
              </c:numCache>
            </c:numRef>
          </c:val>
          <c:extLst>
            <c:ext xmlns:c16="http://schemas.microsoft.com/office/drawing/2014/chart" uri="{C3380CC4-5D6E-409C-BE32-E72D297353CC}">
              <c16:uniqueId val="{00000003-D643-4087-AC10-5D05C6817365}"/>
            </c:ext>
          </c:extLst>
        </c:ser>
        <c:dLbls>
          <c:showLegendKey val="0"/>
          <c:showVal val="0"/>
          <c:showCatName val="0"/>
          <c:showSerName val="0"/>
          <c:showPercent val="0"/>
          <c:showBubbleSize val="0"/>
        </c:dLbls>
        <c:gapWidth val="150"/>
        <c:overlap val="100"/>
        <c:axId val="481704824"/>
        <c:axId val="481705152"/>
      </c:barChart>
      <c:catAx>
        <c:axId val="48170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481705152"/>
        <c:crosses val="autoZero"/>
        <c:auto val="1"/>
        <c:lblAlgn val="ctr"/>
        <c:lblOffset val="100"/>
        <c:noMultiLvlLbl val="0"/>
      </c:catAx>
      <c:valAx>
        <c:axId val="48170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kWh/m</a:t>
                </a:r>
                <a:r>
                  <a:rPr lang="sv-SE" sz="1050" baseline="30000"/>
                  <a:t>2</a:t>
                </a:r>
                <a:r>
                  <a:rPr lang="sv-SE" sz="1050"/>
                  <a:t> A</a:t>
                </a:r>
                <a:r>
                  <a:rPr lang="sv-SE" sz="1050" baseline="-25000"/>
                  <a:t>temp </a:t>
                </a:r>
                <a:r>
                  <a:rPr lang="sv-SE" sz="1050"/>
                  <a:t>och år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481704824"/>
        <c:crosses val="autoZero"/>
        <c:crossBetween val="between"/>
      </c:valAx>
      <c:spPr>
        <a:noFill/>
        <a:ln>
          <a:noFill/>
        </a:ln>
        <a:effectLst/>
      </c:spPr>
    </c:plotArea>
    <c:legend>
      <c:legendPos val="b"/>
      <c:layout>
        <c:manualLayout>
          <c:xMode val="edge"/>
          <c:yMode val="edge"/>
          <c:x val="7.5136469041243339E-2"/>
          <c:y val="0.90673476882390147"/>
          <c:w val="0.86300578034682085"/>
          <c:h val="8.581418090274925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baseline="0">
                <a:effectLst/>
              </a:rPr>
              <a:t>Byggnadens uppmätt energianvändning (BBR energi) i drift</a:t>
            </a:r>
            <a:endParaRPr lang="sv-SE" sz="1400">
              <a:effectLst/>
            </a:endParaRPr>
          </a:p>
        </c:rich>
      </c:tx>
      <c:layout>
        <c:manualLayout>
          <c:xMode val="edge"/>
          <c:yMode val="edge"/>
          <c:x val="0.14468751885861683"/>
          <c:y val="2.53465565180731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1103848607650817"/>
          <c:y val="0.15935075233630788"/>
          <c:w val="0.83816237289078566"/>
          <c:h val="0.64308442829467083"/>
        </c:manualLayout>
      </c:layout>
      <c:barChart>
        <c:barDir val="col"/>
        <c:grouping val="stacked"/>
        <c:varyColors val="0"/>
        <c:ser>
          <c:idx val="0"/>
          <c:order val="0"/>
          <c:tx>
            <c:strRef>
              <c:f>Resultat!$J$35</c:f>
              <c:strCache>
                <c:ptCount val="1"/>
                <c:pt idx="0">
                  <c:v>Uppvärmning</c:v>
                </c:pt>
              </c:strCache>
            </c:strRef>
          </c:tx>
          <c:spPr>
            <a:solidFill>
              <a:schemeClr val="accent1"/>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Resultat!$J$36:$J$47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EF-459D-A2E5-9CD232EA7D15}"/>
            </c:ext>
          </c:extLst>
        </c:ser>
        <c:ser>
          <c:idx val="1"/>
          <c:order val="1"/>
          <c:tx>
            <c:strRef>
              <c:f>Resultat!$K$35</c:f>
              <c:strCache>
                <c:ptCount val="1"/>
                <c:pt idx="0">
                  <c:v>Tappvarmvatten</c:v>
                </c:pt>
              </c:strCache>
            </c:strRef>
          </c:tx>
          <c:spPr>
            <a:solidFill>
              <a:schemeClr val="accent3"/>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Resultat!$K$36:$K$47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EF-459D-A2E5-9CD232EA7D15}"/>
            </c:ext>
          </c:extLst>
        </c:ser>
        <c:ser>
          <c:idx val="2"/>
          <c:order val="2"/>
          <c:tx>
            <c:strRef>
              <c:f>Resultat!$L$35</c:f>
              <c:strCache>
                <c:ptCount val="1"/>
                <c:pt idx="0">
                  <c:v>Komfortkyla</c:v>
                </c:pt>
              </c:strCache>
            </c:strRef>
          </c:tx>
          <c:spPr>
            <a:solidFill>
              <a:schemeClr val="accent5"/>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Resultat!$L$36:$L$47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2EF-459D-A2E5-9CD232EA7D15}"/>
            </c:ext>
          </c:extLst>
        </c:ser>
        <c:ser>
          <c:idx val="3"/>
          <c:order val="3"/>
          <c:tx>
            <c:strRef>
              <c:f>Resultat!$M$35</c:f>
              <c:strCache>
                <c:ptCount val="1"/>
                <c:pt idx="0">
                  <c:v>Fastighetsenergi</c:v>
                </c:pt>
              </c:strCache>
            </c:strRef>
          </c:tx>
          <c:spPr>
            <a:solidFill>
              <a:schemeClr val="accent1">
                <a:lumMod val="60000"/>
              </a:schemeClr>
            </a:solidFill>
            <a:ln>
              <a:noFill/>
            </a:ln>
            <a:effectLst/>
          </c:spPr>
          <c:invertIfNegative val="0"/>
          <c:cat>
            <c:strRef>
              <c:f>Resultat!$I$36:$I$47</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Resultat!$M$36:$M$47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2EF-459D-A2E5-9CD232EA7D15}"/>
            </c:ext>
          </c:extLst>
        </c:ser>
        <c:dLbls>
          <c:showLegendKey val="0"/>
          <c:showVal val="0"/>
          <c:showCatName val="0"/>
          <c:showSerName val="0"/>
          <c:showPercent val="0"/>
          <c:showBubbleSize val="0"/>
        </c:dLbls>
        <c:gapWidth val="150"/>
        <c:overlap val="100"/>
        <c:axId val="659339528"/>
        <c:axId val="659339856"/>
      </c:barChart>
      <c:catAx>
        <c:axId val="65933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659339856"/>
        <c:crosses val="autoZero"/>
        <c:auto val="1"/>
        <c:lblAlgn val="ctr"/>
        <c:lblOffset val="100"/>
        <c:noMultiLvlLbl val="0"/>
      </c:catAx>
      <c:valAx>
        <c:axId val="65933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sz="1100"/>
                  <a:t>kWh/m</a:t>
                </a:r>
                <a:r>
                  <a:rPr lang="sv-SE" sz="1100" baseline="30000"/>
                  <a:t>2 </a:t>
                </a:r>
                <a:r>
                  <a:rPr lang="sv-SE" sz="1100" baseline="0"/>
                  <a:t>A</a:t>
                </a:r>
                <a:r>
                  <a:rPr lang="sv-SE" sz="1100" baseline="-25000"/>
                  <a:t>temp </a:t>
                </a:r>
                <a:endParaRPr lang="sv-SE" sz="1100"/>
              </a:p>
            </c:rich>
          </c:tx>
          <c:layout>
            <c:manualLayout>
              <c:xMode val="edge"/>
              <c:yMode val="edge"/>
              <c:x val="2.0368019231674809E-2"/>
              <c:y val="0.3490361998066042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659339528"/>
        <c:crosses val="autoZero"/>
        <c:crossBetween val="between"/>
      </c:valAx>
      <c:spPr>
        <a:noFill/>
        <a:ln>
          <a:noFill/>
        </a:ln>
        <a:effectLst/>
      </c:spPr>
    </c:plotArea>
    <c:legend>
      <c:legendPos val="b"/>
      <c:layout>
        <c:manualLayout>
          <c:xMode val="edge"/>
          <c:yMode val="edge"/>
          <c:x val="0.13570879619671886"/>
          <c:y val="0.89341383683152154"/>
          <c:w val="0.78399965236951452"/>
          <c:h val="7.68406893990343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Byggnadens totala energianvändning (BBR</a:t>
            </a:r>
            <a:r>
              <a:rPr lang="sv-SE" baseline="0"/>
              <a:t> energi)  under referensåret och i drift</a:t>
            </a:r>
            <a:endParaRPr lang="sv-SE" i="1"/>
          </a:p>
        </c:rich>
      </c:tx>
      <c:layout>
        <c:manualLayout>
          <c:xMode val="edge"/>
          <c:yMode val="edge"/>
          <c:x val="0.1539182561346186"/>
          <c:y val="2.56592870961061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1508597187021009"/>
          <c:y val="0.17598937261022635"/>
          <c:w val="0.85017541304446775"/>
          <c:h val="0.63616949272397583"/>
        </c:manualLayout>
      </c:layout>
      <c:barChart>
        <c:barDir val="col"/>
        <c:grouping val="clustered"/>
        <c:varyColors val="0"/>
        <c:ser>
          <c:idx val="0"/>
          <c:order val="0"/>
          <c:tx>
            <c:v>Uppmätt energianvändning</c:v>
          </c:tx>
          <c:spPr>
            <a:solidFill>
              <a:schemeClr val="accent1"/>
            </a:solidFill>
            <a:ln>
              <a:noFill/>
            </a:ln>
            <a:effectLst/>
          </c:spPr>
          <c:invertIfNegative val="0"/>
          <c:cat>
            <c:strRef>
              <c:f>(Resultat!$B$45,Resultat!$B$35)</c:f>
              <c:strCache>
                <c:ptCount val="2"/>
                <c:pt idx="0">
                  <c:v>Energianvändning under referensåret</c:v>
                </c:pt>
                <c:pt idx="1">
                  <c:v>Energianvändning i drift</c:v>
                </c:pt>
              </c:strCache>
            </c:strRef>
          </c:cat>
          <c:val>
            <c:numRef>
              <c:f>(Resultat!$C$53,Resultat!$C$36)</c:f>
              <c:numCache>
                <c:formatCode>0.0</c:formatCode>
                <c:ptCount val="2"/>
                <c:pt idx="0">
                  <c:v>0</c:v>
                </c:pt>
                <c:pt idx="1">
                  <c:v>0</c:v>
                </c:pt>
              </c:numCache>
            </c:numRef>
          </c:val>
          <c:extLst>
            <c:ext xmlns:c16="http://schemas.microsoft.com/office/drawing/2014/chart" uri="{C3380CC4-5D6E-409C-BE32-E72D297353CC}">
              <c16:uniqueId val="{00000000-6A3F-4541-AFD2-2B5EEEB8C63E}"/>
            </c:ext>
          </c:extLst>
        </c:ser>
        <c:ser>
          <c:idx val="1"/>
          <c:order val="1"/>
          <c:tx>
            <c:v>Normaliserad energianvändning</c:v>
          </c:tx>
          <c:spPr>
            <a:solidFill>
              <a:schemeClr val="accent3"/>
            </a:solidFill>
            <a:ln>
              <a:noFill/>
            </a:ln>
            <a:effectLst/>
          </c:spPr>
          <c:invertIfNegative val="0"/>
          <c:cat>
            <c:strRef>
              <c:f>(Resultat!$B$45,Resultat!$B$35)</c:f>
              <c:strCache>
                <c:ptCount val="2"/>
                <c:pt idx="0">
                  <c:v>Energianvändning under referensåret</c:v>
                </c:pt>
                <c:pt idx="1">
                  <c:v>Energianvändning i drift</c:v>
                </c:pt>
              </c:strCache>
            </c:strRef>
          </c:cat>
          <c:val>
            <c:numRef>
              <c:f>(Resultat!$D$53,Resultat!$D$36)</c:f>
              <c:numCache>
                <c:formatCode>0.0</c:formatCode>
                <c:ptCount val="2"/>
                <c:pt idx="0">
                  <c:v>0</c:v>
                </c:pt>
                <c:pt idx="1">
                  <c:v>0</c:v>
                </c:pt>
              </c:numCache>
            </c:numRef>
          </c:val>
          <c:extLst>
            <c:ext xmlns:c16="http://schemas.microsoft.com/office/drawing/2014/chart" uri="{C3380CC4-5D6E-409C-BE32-E72D297353CC}">
              <c16:uniqueId val="{00000001-6A3F-4541-AFD2-2B5EEEB8C63E}"/>
            </c:ext>
          </c:extLst>
        </c:ser>
        <c:dLbls>
          <c:showLegendKey val="0"/>
          <c:showVal val="0"/>
          <c:showCatName val="0"/>
          <c:showSerName val="0"/>
          <c:showPercent val="0"/>
          <c:showBubbleSize val="0"/>
        </c:dLbls>
        <c:gapWidth val="150"/>
        <c:axId val="481704824"/>
        <c:axId val="481705152"/>
      </c:barChart>
      <c:catAx>
        <c:axId val="48170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481705152"/>
        <c:crosses val="autoZero"/>
        <c:auto val="1"/>
        <c:lblAlgn val="ctr"/>
        <c:lblOffset val="100"/>
        <c:noMultiLvlLbl val="0"/>
      </c:catAx>
      <c:valAx>
        <c:axId val="48170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kWh/m</a:t>
                </a:r>
                <a:r>
                  <a:rPr lang="sv-SE" sz="1050" baseline="30000"/>
                  <a:t>2</a:t>
                </a:r>
                <a:r>
                  <a:rPr lang="sv-SE" sz="1050"/>
                  <a:t> A</a:t>
                </a:r>
                <a:r>
                  <a:rPr lang="sv-SE" sz="1050" baseline="-25000"/>
                  <a:t>temp </a:t>
                </a:r>
                <a:r>
                  <a:rPr lang="sv-SE" sz="1050"/>
                  <a:t>och år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481704824"/>
        <c:crosses val="autoZero"/>
        <c:crossBetween val="between"/>
      </c:valAx>
      <c:spPr>
        <a:noFill/>
        <a:ln>
          <a:noFill/>
        </a:ln>
        <a:effectLst/>
      </c:spPr>
    </c:plotArea>
    <c:legend>
      <c:legendPos val="b"/>
      <c:layout>
        <c:manualLayout>
          <c:xMode val="edge"/>
          <c:yMode val="edge"/>
          <c:x val="0.19335214198376699"/>
          <c:y val="0.90245834154127458"/>
          <c:w val="0.70665846598267534"/>
          <c:h val="7.73324443501583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baseline="0">
                <a:effectLst/>
              </a:rPr>
              <a:t>Byggnadens uppmätt energianvändning (BBR energi) under </a:t>
            </a:r>
            <a:r>
              <a:rPr lang="sv-SE" sz="1400" b="0" i="1" baseline="0">
                <a:effectLst/>
              </a:rPr>
              <a:t>referensåret</a:t>
            </a:r>
            <a:endParaRPr lang="sv-SE" sz="1400" i="1">
              <a:effectLst/>
            </a:endParaRPr>
          </a:p>
        </c:rich>
      </c:tx>
      <c:layout>
        <c:manualLayout>
          <c:xMode val="edge"/>
          <c:yMode val="edge"/>
          <c:x val="0.16931186807371956"/>
          <c:y val="1.2598496331168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020841922651104"/>
          <c:y val="0.15935075233630788"/>
          <c:w val="0.86950253550491252"/>
          <c:h val="0.61201877212416445"/>
        </c:manualLayout>
      </c:layout>
      <c:barChart>
        <c:barDir val="col"/>
        <c:grouping val="stacked"/>
        <c:varyColors val="0"/>
        <c:ser>
          <c:idx val="0"/>
          <c:order val="0"/>
          <c:tx>
            <c:strRef>
              <c:f>Resultat!$J$35</c:f>
              <c:strCache>
                <c:ptCount val="1"/>
                <c:pt idx="0">
                  <c:v>Uppvärmning</c:v>
                </c:pt>
              </c:strCache>
            </c:strRef>
          </c:tx>
          <c:spPr>
            <a:solidFill>
              <a:schemeClr val="accent1"/>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Resultat!$J$53:$J$64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FA9-4184-9E96-240F3D916D2C}"/>
            </c:ext>
          </c:extLst>
        </c:ser>
        <c:ser>
          <c:idx val="1"/>
          <c:order val="1"/>
          <c:tx>
            <c:strRef>
              <c:f>Resultat!$K$35</c:f>
              <c:strCache>
                <c:ptCount val="1"/>
                <c:pt idx="0">
                  <c:v>Tappvarmvatten</c:v>
                </c:pt>
              </c:strCache>
            </c:strRef>
          </c:tx>
          <c:spPr>
            <a:solidFill>
              <a:schemeClr val="accent3"/>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Resultat!$K$53:$K$64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FA9-4184-9E96-240F3D916D2C}"/>
            </c:ext>
          </c:extLst>
        </c:ser>
        <c:ser>
          <c:idx val="2"/>
          <c:order val="2"/>
          <c:tx>
            <c:strRef>
              <c:f>Resultat!$L$35</c:f>
              <c:strCache>
                <c:ptCount val="1"/>
                <c:pt idx="0">
                  <c:v>Komfortkyla</c:v>
                </c:pt>
              </c:strCache>
            </c:strRef>
          </c:tx>
          <c:spPr>
            <a:solidFill>
              <a:schemeClr val="accent5"/>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Resultat!$L$53:$L$64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BFA9-4184-9E96-240F3D916D2C}"/>
            </c:ext>
          </c:extLst>
        </c:ser>
        <c:ser>
          <c:idx val="3"/>
          <c:order val="3"/>
          <c:tx>
            <c:strRef>
              <c:f>Resultat!$M$35</c:f>
              <c:strCache>
                <c:ptCount val="1"/>
                <c:pt idx="0">
                  <c:v>Fastighetsenergi</c:v>
                </c:pt>
              </c:strCache>
            </c:strRef>
          </c:tx>
          <c:spPr>
            <a:solidFill>
              <a:schemeClr val="accent1">
                <a:lumMod val="60000"/>
              </a:schemeClr>
            </a:solidFill>
            <a:ln>
              <a:noFill/>
            </a:ln>
            <a:effectLst/>
          </c:spPr>
          <c:invertIfNegative val="0"/>
          <c:cat>
            <c:strRef>
              <c:f>Resultat!$I$53:$I$64</c:f>
              <c:strCache>
                <c:ptCount val="12"/>
                <c:pt idx="0">
                  <c:v>jan</c:v>
                </c:pt>
                <c:pt idx="1">
                  <c:v>feb</c:v>
                </c:pt>
                <c:pt idx="2">
                  <c:v>mars</c:v>
                </c:pt>
                <c:pt idx="3">
                  <c:v>apr</c:v>
                </c:pt>
                <c:pt idx="4">
                  <c:v>maj</c:v>
                </c:pt>
                <c:pt idx="5">
                  <c:v>jun </c:v>
                </c:pt>
                <c:pt idx="6">
                  <c:v>jul</c:v>
                </c:pt>
                <c:pt idx="7">
                  <c:v>aug</c:v>
                </c:pt>
                <c:pt idx="8">
                  <c:v>sept</c:v>
                </c:pt>
                <c:pt idx="9">
                  <c:v>okt</c:v>
                </c:pt>
                <c:pt idx="10">
                  <c:v>nov</c:v>
                </c:pt>
                <c:pt idx="11">
                  <c:v>dec</c:v>
                </c:pt>
              </c:strCache>
            </c:strRef>
          </c:cat>
          <c:val>
            <c:numRef>
              <c:f>Resultat!$M$53:$M$64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BFA9-4184-9E96-240F3D916D2C}"/>
            </c:ext>
          </c:extLst>
        </c:ser>
        <c:dLbls>
          <c:showLegendKey val="0"/>
          <c:showVal val="0"/>
          <c:showCatName val="0"/>
          <c:showSerName val="0"/>
          <c:showPercent val="0"/>
          <c:showBubbleSize val="0"/>
        </c:dLbls>
        <c:gapWidth val="150"/>
        <c:overlap val="100"/>
        <c:axId val="659339528"/>
        <c:axId val="659339856"/>
      </c:barChart>
      <c:catAx>
        <c:axId val="65933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659339856"/>
        <c:crosses val="autoZero"/>
        <c:auto val="1"/>
        <c:lblAlgn val="ctr"/>
        <c:lblOffset val="100"/>
        <c:noMultiLvlLbl val="0"/>
      </c:catAx>
      <c:valAx>
        <c:axId val="659339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sz="1100"/>
                  <a:t>kWh/m</a:t>
                </a:r>
                <a:r>
                  <a:rPr lang="sv-SE" sz="1100" baseline="30000"/>
                  <a:t>2 </a:t>
                </a:r>
                <a:r>
                  <a:rPr lang="sv-SE" sz="1100" baseline="0"/>
                  <a:t>A</a:t>
                </a:r>
                <a:r>
                  <a:rPr lang="sv-SE" sz="1100" baseline="-25000"/>
                  <a:t>temp </a:t>
                </a:r>
                <a:endParaRPr lang="sv-SE" sz="1100"/>
              </a:p>
            </c:rich>
          </c:tx>
          <c:layout>
            <c:manualLayout>
              <c:xMode val="edge"/>
              <c:yMode val="edge"/>
              <c:x val="2.0368019231674809E-2"/>
              <c:y val="0.3490361998066042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659339528"/>
        <c:crosses val="autoZero"/>
        <c:crossBetween val="between"/>
      </c:valAx>
      <c:spPr>
        <a:noFill/>
        <a:ln>
          <a:noFill/>
        </a:ln>
        <a:effectLst/>
      </c:spPr>
    </c:plotArea>
    <c:legend>
      <c:legendPos val="b"/>
      <c:layout>
        <c:manualLayout>
          <c:xMode val="edge"/>
          <c:yMode val="edge"/>
          <c:x val="0.13570879619671886"/>
          <c:y val="0.89341383683152154"/>
          <c:w val="0.78399965236951452"/>
          <c:h val="7.68406893990343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Beräknat primärenergital (EP</a:t>
            </a:r>
            <a:r>
              <a:rPr lang="en-US" sz="1400" baseline="-25000"/>
              <a:t>pet</a:t>
            </a:r>
            <a:r>
              <a:rPr lang="en-US" sz="1400"/>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tx>
            <c:strRef>
              <c:f>Statistik!$B$16</c:f>
              <c:strCache>
                <c:ptCount val="1"/>
                <c:pt idx="0">
                  <c:v>Beräknat primärenergital (EPpet), kWh/m2 Atemp och år</c:v>
                </c:pt>
              </c:strCache>
            </c:strRef>
          </c:tx>
          <c:spPr>
            <a:solidFill>
              <a:schemeClr val="accent1"/>
            </a:solidFill>
            <a:ln>
              <a:noFill/>
            </a:ln>
            <a:effectLst/>
          </c:spPr>
          <c:invertIfNegative val="0"/>
          <c:cat>
            <c:strRef>
              <c:f>Statistik!$D$14:$L$14</c:f>
              <c:strCache>
                <c:ptCount val="2"/>
                <c:pt idx="0">
                  <c:v>Referensår</c:v>
                </c:pt>
                <c:pt idx="1">
                  <c:v>Certifiering</c:v>
                </c:pt>
              </c:strCache>
            </c:strRef>
          </c:cat>
          <c:val>
            <c:numRef>
              <c:f>Statistik!$D$16:$L$16</c:f>
              <c:numCache>
                <c:formatCode>General</c:formatCode>
                <c:ptCount val="9"/>
              </c:numCache>
            </c:numRef>
          </c:val>
          <c:extLst>
            <c:ext xmlns:c16="http://schemas.microsoft.com/office/drawing/2014/chart" uri="{C3380CC4-5D6E-409C-BE32-E72D297353CC}">
              <c16:uniqueId val="{00000000-625E-4EEC-8FA0-274D11495EB5}"/>
            </c:ext>
          </c:extLst>
        </c:ser>
        <c:dLbls>
          <c:showLegendKey val="0"/>
          <c:showVal val="0"/>
          <c:showCatName val="0"/>
          <c:showSerName val="0"/>
          <c:showPercent val="0"/>
          <c:showBubbleSize val="0"/>
        </c:dLbls>
        <c:gapWidth val="70"/>
        <c:overlap val="-27"/>
        <c:axId val="387682616"/>
        <c:axId val="387684256"/>
      </c:barChart>
      <c:catAx>
        <c:axId val="387682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22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87684256"/>
        <c:crosses val="autoZero"/>
        <c:auto val="1"/>
        <c:lblAlgn val="ctr"/>
        <c:lblOffset val="100"/>
        <c:noMultiLvlLbl val="0"/>
      </c:catAx>
      <c:valAx>
        <c:axId val="387684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sz="1200"/>
                  <a:t>kWh/m</a:t>
                </a:r>
                <a:r>
                  <a:rPr lang="sv-SE" sz="1200" baseline="-25000"/>
                  <a:t>2</a:t>
                </a:r>
                <a:r>
                  <a:rPr lang="sv-SE" sz="1200"/>
                  <a:t> A</a:t>
                </a:r>
                <a:r>
                  <a:rPr lang="sv-SE" sz="1200" baseline="30000"/>
                  <a:t>temp</a:t>
                </a:r>
                <a:r>
                  <a:rPr lang="sv-SE" sz="1200" baseline="0"/>
                  <a:t> och år</a:t>
                </a:r>
                <a:endParaRPr lang="sv-SE" sz="1200"/>
              </a:p>
            </c:rich>
          </c:tx>
          <c:layout>
            <c:manualLayout>
              <c:xMode val="edge"/>
              <c:yMode val="edge"/>
              <c:x val="9.8473658296405718E-3"/>
              <c:y val="0.2039220618256051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3876826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83814523184598E-2"/>
          <c:y val="0.14666682064758074"/>
          <c:w val="0.73329396325459317"/>
          <c:h val="0.54402261839644972"/>
        </c:manualLayout>
      </c:layout>
      <c:lineChart>
        <c:grouping val="standard"/>
        <c:varyColors val="0"/>
        <c:ser>
          <c:idx val="0"/>
          <c:order val="0"/>
          <c:tx>
            <c:v>2015</c:v>
          </c:tx>
          <c:spPr>
            <a:ln w="28575" cap="rnd">
              <a:solidFill>
                <a:schemeClr val="accent1"/>
              </a:solidFill>
              <a:round/>
            </a:ln>
            <a:effectLst/>
          </c:spPr>
          <c:marker>
            <c:symbol val="none"/>
          </c:marker>
          <c:val>
            <c:numRef>
              <c:f>Normalår!$O$5:$O$16</c:f>
              <c:numCache>
                <c:formatCode>0.00</c:formatCode>
                <c:ptCount val="12"/>
                <c:pt idx="0">
                  <c:v>1.0090794618596328</c:v>
                </c:pt>
                <c:pt idx="1">
                  <c:v>1.1309202926453599</c:v>
                </c:pt>
                <c:pt idx="2">
                  <c:v>1.1435461644464859</c:v>
                </c:pt>
                <c:pt idx="3">
                  <c:v>1.0545559511209468</c:v>
                </c:pt>
                <c:pt idx="4">
                  <c:v>0.97978030821898909</c:v>
                </c:pt>
                <c:pt idx="5">
                  <c:v>0.97978030821898909</c:v>
                </c:pt>
                <c:pt idx="6">
                  <c:v>0.97978030821898909</c:v>
                </c:pt>
                <c:pt idx="7">
                  <c:v>0.97978030821898909</c:v>
                </c:pt>
                <c:pt idx="8">
                  <c:v>0.97978030821898909</c:v>
                </c:pt>
                <c:pt idx="9">
                  <c:v>1.0430180949129393</c:v>
                </c:pt>
                <c:pt idx="10">
                  <c:v>1.2624476500697996</c:v>
                </c:pt>
                <c:pt idx="11">
                  <c:v>1.1946748506967484</c:v>
                </c:pt>
              </c:numCache>
            </c:numRef>
          </c:val>
          <c:smooth val="0"/>
          <c:extLst>
            <c:ext xmlns:c16="http://schemas.microsoft.com/office/drawing/2014/chart" uri="{C3380CC4-5D6E-409C-BE32-E72D297353CC}">
              <c16:uniqueId val="{00000000-8ADD-4D12-9B95-A809BCD7EFFF}"/>
            </c:ext>
          </c:extLst>
        </c:ser>
        <c:ser>
          <c:idx val="1"/>
          <c:order val="1"/>
          <c:tx>
            <c:v>2016</c:v>
          </c:tx>
          <c:spPr>
            <a:ln w="28575" cap="rnd">
              <a:solidFill>
                <a:schemeClr val="accent2"/>
              </a:solidFill>
              <a:round/>
            </a:ln>
            <a:effectLst/>
          </c:spPr>
          <c:marker>
            <c:symbol val="none"/>
          </c:marker>
          <c:val>
            <c:numRef>
              <c:f>Normalår!$O$17:$O$28</c:f>
              <c:numCache>
                <c:formatCode>0.00</c:formatCode>
                <c:ptCount val="12"/>
                <c:pt idx="0">
                  <c:v>0.76910643026721215</c:v>
                </c:pt>
                <c:pt idx="1">
                  <c:v>1.0676764616782795</c:v>
                </c:pt>
                <c:pt idx="2">
                  <c:v>1.0837263295363855</c:v>
                </c:pt>
                <c:pt idx="3">
                  <c:v>1.0310442144873002</c:v>
                </c:pt>
                <c:pt idx="4">
                  <c:v>1</c:v>
                </c:pt>
                <c:pt idx="5">
                  <c:v>1</c:v>
                </c:pt>
                <c:pt idx="6">
                  <c:v>1</c:v>
                </c:pt>
                <c:pt idx="7">
                  <c:v>1</c:v>
                </c:pt>
                <c:pt idx="8">
                  <c:v>1</c:v>
                </c:pt>
                <c:pt idx="9">
                  <c:v>0.92819526027952204</c:v>
                </c:pt>
                <c:pt idx="10">
                  <c:v>0.93313613537868889</c:v>
                </c:pt>
                <c:pt idx="11">
                  <c:v>1.0501640539555233</c:v>
                </c:pt>
              </c:numCache>
            </c:numRef>
          </c:val>
          <c:smooth val="0"/>
          <c:extLst>
            <c:ext xmlns:c16="http://schemas.microsoft.com/office/drawing/2014/chart" uri="{C3380CC4-5D6E-409C-BE32-E72D297353CC}">
              <c16:uniqueId val="{00000001-8ADD-4D12-9B95-A809BCD7EFFF}"/>
            </c:ext>
          </c:extLst>
        </c:ser>
        <c:ser>
          <c:idx val="2"/>
          <c:order val="2"/>
          <c:tx>
            <c:v>2017</c:v>
          </c:tx>
          <c:spPr>
            <a:ln w="28575" cap="rnd">
              <a:solidFill>
                <a:schemeClr val="accent3"/>
              </a:solidFill>
              <a:round/>
            </a:ln>
            <a:effectLst/>
          </c:spPr>
          <c:marker>
            <c:symbol val="none"/>
          </c:marker>
          <c:val>
            <c:numRef>
              <c:f>Normalår!$O$29:$O$40</c:f>
              <c:numCache>
                <c:formatCode>0.00</c:formatCode>
                <c:ptCount val="12"/>
                <c:pt idx="0">
                  <c:v>0.90928635413556269</c:v>
                </c:pt>
                <c:pt idx="1">
                  <c:v>1.0804414469650523</c:v>
                </c:pt>
                <c:pt idx="2">
                  <c:v>1.104072732648385</c:v>
                </c:pt>
                <c:pt idx="3">
                  <c:v>0.96512856639661859</c:v>
                </c:pt>
                <c:pt idx="4">
                  <c:v>1</c:v>
                </c:pt>
                <c:pt idx="5">
                  <c:v>1</c:v>
                </c:pt>
                <c:pt idx="6">
                  <c:v>1</c:v>
                </c:pt>
                <c:pt idx="7">
                  <c:v>1</c:v>
                </c:pt>
                <c:pt idx="8">
                  <c:v>1</c:v>
                </c:pt>
                <c:pt idx="9">
                  <c:v>1.1312021723031349</c:v>
                </c:pt>
                <c:pt idx="10">
                  <c:v>1.0117094272076372</c:v>
                </c:pt>
                <c:pt idx="11">
                  <c:v>0.9943389713496722</c:v>
                </c:pt>
              </c:numCache>
            </c:numRef>
          </c:val>
          <c:smooth val="0"/>
          <c:extLst>
            <c:ext xmlns:c16="http://schemas.microsoft.com/office/drawing/2014/chart" uri="{C3380CC4-5D6E-409C-BE32-E72D297353CC}">
              <c16:uniqueId val="{00000002-8ADD-4D12-9B95-A809BCD7EFFF}"/>
            </c:ext>
          </c:extLst>
        </c:ser>
        <c:ser>
          <c:idx val="4"/>
          <c:order val="3"/>
          <c:tx>
            <c:v>2018</c:v>
          </c:tx>
          <c:spPr>
            <a:ln w="28575" cap="rnd">
              <a:solidFill>
                <a:schemeClr val="accent5"/>
              </a:solidFill>
              <a:round/>
            </a:ln>
            <a:effectLst/>
          </c:spPr>
          <c:marker>
            <c:symbol val="none"/>
          </c:marker>
          <c:val>
            <c:numRef>
              <c:f>Normalår!$O$41:$O$52</c:f>
              <c:numCache>
                <c:formatCode>0.00</c:formatCode>
                <c:ptCount val="12"/>
                <c:pt idx="0">
                  <c:v>0.96087340653792752</c:v>
                </c:pt>
                <c:pt idx="1">
                  <c:v>0.8998161764705882</c:v>
                </c:pt>
                <c:pt idx="2">
                  <c:v>0.81113222916101002</c:v>
                </c:pt>
                <c:pt idx="3">
                  <c:v>1.1195097037793669</c:v>
                </c:pt>
                <c:pt idx="4">
                  <c:v>1</c:v>
                </c:pt>
                <c:pt idx="5">
                  <c:v>1</c:v>
                </c:pt>
                <c:pt idx="6">
                  <c:v>1</c:v>
                </c:pt>
                <c:pt idx="7">
                  <c:v>1</c:v>
                </c:pt>
                <c:pt idx="8">
                  <c:v>1</c:v>
                </c:pt>
                <c:pt idx="9">
                  <c:v>1.1334405144694533</c:v>
                </c:pt>
                <c:pt idx="10">
                  <c:v>1.0998945917457228</c:v>
                </c:pt>
                <c:pt idx="11">
                  <c:v>0.96032804373916514</c:v>
                </c:pt>
              </c:numCache>
            </c:numRef>
          </c:val>
          <c:smooth val="0"/>
          <c:extLst>
            <c:ext xmlns:c16="http://schemas.microsoft.com/office/drawing/2014/chart" uri="{C3380CC4-5D6E-409C-BE32-E72D297353CC}">
              <c16:uniqueId val="{00000003-8ADD-4D12-9B95-A809BCD7EFFF}"/>
            </c:ext>
          </c:extLst>
        </c:ser>
        <c:ser>
          <c:idx val="5"/>
          <c:order val="4"/>
          <c:tx>
            <c:v>2019</c:v>
          </c:tx>
          <c:spPr>
            <a:ln w="28575" cap="rnd">
              <a:solidFill>
                <a:schemeClr val="accent6"/>
              </a:solidFill>
              <a:round/>
            </a:ln>
            <a:effectLst/>
          </c:spPr>
          <c:marker>
            <c:symbol val="none"/>
          </c:marker>
          <c:val>
            <c:numRef>
              <c:f>Normalår!$O$53:$O$64</c:f>
              <c:numCache>
                <c:formatCode>0.00</c:formatCode>
                <c:ptCount val="12"/>
                <c:pt idx="0">
                  <c:v>0.85318838955508236</c:v>
                </c:pt>
                <c:pt idx="1">
                  <c:v>1.2728980063565445</c:v>
                </c:pt>
                <c:pt idx="2">
                  <c:v>1.1400549534422224</c:v>
                </c:pt>
                <c:pt idx="3">
                  <c:v>1.2555848321686336</c:v>
                </c:pt>
                <c:pt idx="4">
                  <c:v>1</c:v>
                </c:pt>
                <c:pt idx="5">
                  <c:v>1</c:v>
                </c:pt>
                <c:pt idx="6">
                  <c:v>1</c:v>
                </c:pt>
                <c:pt idx="7">
                  <c:v>1</c:v>
                </c:pt>
                <c:pt idx="8">
                  <c:v>1</c:v>
                </c:pt>
                <c:pt idx="9">
                  <c:v>0.97479259731971901</c:v>
                </c:pt>
                <c:pt idx="10">
                  <c:v>1.0478949401313247</c:v>
                </c:pt>
                <c:pt idx="11">
                  <c:v>1.07388905457799</c:v>
                </c:pt>
              </c:numCache>
            </c:numRef>
          </c:val>
          <c:smooth val="0"/>
          <c:extLst>
            <c:ext xmlns:c16="http://schemas.microsoft.com/office/drawing/2014/chart" uri="{C3380CC4-5D6E-409C-BE32-E72D297353CC}">
              <c16:uniqueId val="{00000004-8ADD-4D12-9B95-A809BCD7EFFF}"/>
            </c:ext>
          </c:extLst>
        </c:ser>
        <c:ser>
          <c:idx val="6"/>
          <c:order val="5"/>
          <c:tx>
            <c:v>2020</c:v>
          </c:tx>
          <c:spPr>
            <a:ln w="28575" cap="rnd">
              <a:solidFill>
                <a:schemeClr val="accent1">
                  <a:lumMod val="60000"/>
                </a:schemeClr>
              </a:solidFill>
              <a:round/>
            </a:ln>
            <a:effectLst/>
          </c:spPr>
          <c:marker>
            <c:symbol val="none"/>
          </c:marker>
          <c:val>
            <c:numRef>
              <c:f>Normalår!$O$65:$O$76</c:f>
              <c:numCache>
                <c:formatCode>0.00</c:formatCode>
                <c:ptCount val="12"/>
                <c:pt idx="0">
                  <c:v>1.2513149243918475</c:v>
                </c:pt>
                <c:pt idx="1">
                  <c:v>1.29726148409894</c:v>
                </c:pt>
                <c:pt idx="2">
                  <c:v>1.1055436311153874</c:v>
                </c:pt>
                <c:pt idx="3">
                  <c:v>1.1071825436912819</c:v>
                </c:pt>
                <c:pt idx="4">
                  <c:v>1</c:v>
                </c:pt>
                <c:pt idx="5">
                  <c:v>1</c:v>
                </c:pt>
                <c:pt idx="6">
                  <c:v>1</c:v>
                </c:pt>
                <c:pt idx="7">
                  <c:v>1</c:v>
                </c:pt>
                <c:pt idx="8">
                  <c:v>1</c:v>
                </c:pt>
                <c:pt idx="9">
                  <c:v>1.1763573353869847</c:v>
                </c:pt>
                <c:pt idx="10">
                  <c:v>1.3874399099928401</c:v>
                </c:pt>
                <c:pt idx="11">
                  <c:v>1.0930409046065115</c:v>
                </c:pt>
              </c:numCache>
            </c:numRef>
          </c:val>
          <c:smooth val="0"/>
          <c:extLst>
            <c:ext xmlns:c16="http://schemas.microsoft.com/office/drawing/2014/chart" uri="{C3380CC4-5D6E-409C-BE32-E72D297353CC}">
              <c16:uniqueId val="{00000005-8ADD-4D12-9B95-A809BCD7EFFF}"/>
            </c:ext>
          </c:extLst>
        </c:ser>
        <c:dLbls>
          <c:showLegendKey val="0"/>
          <c:showVal val="0"/>
          <c:showCatName val="0"/>
          <c:showSerName val="0"/>
          <c:showPercent val="0"/>
          <c:showBubbleSize val="0"/>
        </c:dLbls>
        <c:smooth val="0"/>
        <c:axId val="500641272"/>
        <c:axId val="500642256"/>
      </c:lineChart>
      <c:catAx>
        <c:axId val="50064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2256"/>
        <c:crosses val="autoZero"/>
        <c:auto val="1"/>
        <c:lblAlgn val="ctr"/>
        <c:lblOffset val="100"/>
        <c:noMultiLvlLbl val="0"/>
      </c:catAx>
      <c:valAx>
        <c:axId val="50064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1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47003499562555"/>
          <c:y val="2.4163968153031578E-2"/>
          <c:w val="0.71297440944881885"/>
          <c:h val="0.96202805004523606"/>
        </c:manualLayout>
      </c:layout>
      <c:lineChart>
        <c:grouping val="standard"/>
        <c:varyColors val="0"/>
        <c:ser>
          <c:idx val="0"/>
          <c:order val="0"/>
          <c:tx>
            <c:v>2015</c:v>
          </c:tx>
          <c:spPr>
            <a:ln w="28575" cap="rnd">
              <a:solidFill>
                <a:schemeClr val="accent1"/>
              </a:solidFill>
              <a:round/>
            </a:ln>
            <a:effectLst/>
          </c:spPr>
          <c:marker>
            <c:symbol val="none"/>
          </c:marker>
          <c:val>
            <c:numRef>
              <c:f>Normalår!$M$5:$M$16</c:f>
              <c:numCache>
                <c:formatCode>0.00</c:formatCode>
                <c:ptCount val="12"/>
                <c:pt idx="0">
                  <c:v>1.0090794618596328</c:v>
                </c:pt>
                <c:pt idx="1">
                  <c:v>1.1309202926453599</c:v>
                </c:pt>
                <c:pt idx="2">
                  <c:v>1.1435461644464859</c:v>
                </c:pt>
                <c:pt idx="3">
                  <c:v>1.0545559511209468</c:v>
                </c:pt>
                <c:pt idx="4">
                  <c:v>0.88860452586206895</c:v>
                </c:pt>
                <c:pt idx="5">
                  <c:v>0.79871731623088293</c:v>
                </c:pt>
                <c:pt idx="6">
                  <c:v>-6.0737527114967237E-2</c:v>
                </c:pt>
                <c:pt idx="7">
                  <c:v>-0.90476190476190821</c:v>
                </c:pt>
                <c:pt idx="8">
                  <c:v>1.2960739030023094</c:v>
                </c:pt>
                <c:pt idx="9">
                  <c:v>1.0430180949129393</c:v>
                </c:pt>
                <c:pt idx="10">
                  <c:v>1.2624476500697996</c:v>
                </c:pt>
                <c:pt idx="11">
                  <c:v>1.1946748506967484</c:v>
                </c:pt>
              </c:numCache>
            </c:numRef>
          </c:val>
          <c:smooth val="0"/>
          <c:extLst>
            <c:ext xmlns:c16="http://schemas.microsoft.com/office/drawing/2014/chart" uri="{C3380CC4-5D6E-409C-BE32-E72D297353CC}">
              <c16:uniqueId val="{00000000-BD05-40A9-B050-1C2B749C08AA}"/>
            </c:ext>
          </c:extLst>
        </c:ser>
        <c:ser>
          <c:idx val="1"/>
          <c:order val="1"/>
          <c:tx>
            <c:v>2016</c:v>
          </c:tx>
          <c:spPr>
            <a:ln w="28575" cap="rnd">
              <a:solidFill>
                <a:schemeClr val="accent2"/>
              </a:solidFill>
              <a:round/>
            </a:ln>
            <a:effectLst/>
          </c:spPr>
          <c:marker>
            <c:symbol val="none"/>
          </c:marker>
          <c:val>
            <c:numRef>
              <c:f>Normalår!$M$17:$M$28</c:f>
              <c:numCache>
                <c:formatCode>0.00</c:formatCode>
                <c:ptCount val="12"/>
                <c:pt idx="0">
                  <c:v>0.76910643026721215</c:v>
                </c:pt>
                <c:pt idx="1">
                  <c:v>1.0676764616782795</c:v>
                </c:pt>
                <c:pt idx="2">
                  <c:v>1.0837263295363855</c:v>
                </c:pt>
                <c:pt idx="3">
                  <c:v>1.0310442144873002</c:v>
                </c:pt>
                <c:pt idx="4">
                  <c:v>1.5823938594387141</c:v>
                </c:pt>
                <c:pt idx="5">
                  <c:v>4.199740596627751</c:v>
                </c:pt>
                <c:pt idx="6">
                  <c:v>-0.24852071005916979</c:v>
                </c:pt>
                <c:pt idx="7">
                  <c:v>7.4551569506725937E-2</c:v>
                </c:pt>
                <c:pt idx="8">
                  <c:v>2.7618110236220472</c:v>
                </c:pt>
                <c:pt idx="9">
                  <c:v>0.92819526027952204</c:v>
                </c:pt>
                <c:pt idx="10">
                  <c:v>0.93313613537868889</c:v>
                </c:pt>
                <c:pt idx="11">
                  <c:v>1.0501640539555233</c:v>
                </c:pt>
              </c:numCache>
            </c:numRef>
          </c:val>
          <c:smooth val="0"/>
          <c:extLst>
            <c:ext xmlns:c16="http://schemas.microsoft.com/office/drawing/2014/chart" uri="{C3380CC4-5D6E-409C-BE32-E72D297353CC}">
              <c16:uniqueId val="{00000001-BD05-40A9-B050-1C2B749C08AA}"/>
            </c:ext>
          </c:extLst>
        </c:ser>
        <c:ser>
          <c:idx val="2"/>
          <c:order val="2"/>
          <c:tx>
            <c:v>2017</c:v>
          </c:tx>
          <c:spPr>
            <a:ln w="28575" cap="rnd">
              <a:solidFill>
                <a:schemeClr val="accent3"/>
              </a:solidFill>
              <a:round/>
            </a:ln>
            <a:effectLst/>
          </c:spPr>
          <c:marker>
            <c:symbol val="none"/>
          </c:marker>
          <c:val>
            <c:numRef>
              <c:f>Normalår!$M$29:$M$40</c:f>
              <c:numCache>
                <c:formatCode>0.00</c:formatCode>
                <c:ptCount val="12"/>
                <c:pt idx="0">
                  <c:v>0.90928635413556269</c:v>
                </c:pt>
                <c:pt idx="1">
                  <c:v>1.0804414469650523</c:v>
                </c:pt>
                <c:pt idx="2">
                  <c:v>1.104072732648385</c:v>
                </c:pt>
                <c:pt idx="3">
                  <c:v>0.96512856639661859</c:v>
                </c:pt>
                <c:pt idx="4">
                  <c:v>1.2774980635166537</c:v>
                </c:pt>
                <c:pt idx="5">
                  <c:v>1.8684362377380257</c:v>
                </c:pt>
                <c:pt idx="6">
                  <c:v>-0.11413043478260809</c:v>
                </c:pt>
                <c:pt idx="7">
                  <c:v>9.2682926829267653E-2</c:v>
                </c:pt>
                <c:pt idx="8">
                  <c:v>1.2777777777777779</c:v>
                </c:pt>
                <c:pt idx="9">
                  <c:v>1.1312021723031349</c:v>
                </c:pt>
                <c:pt idx="10">
                  <c:v>1.0117094272076372</c:v>
                </c:pt>
                <c:pt idx="11">
                  <c:v>0.9943389713496722</c:v>
                </c:pt>
              </c:numCache>
            </c:numRef>
          </c:val>
          <c:smooth val="0"/>
          <c:extLst>
            <c:ext xmlns:c16="http://schemas.microsoft.com/office/drawing/2014/chart" uri="{C3380CC4-5D6E-409C-BE32-E72D297353CC}">
              <c16:uniqueId val="{00000002-BD05-40A9-B050-1C2B749C08AA}"/>
            </c:ext>
          </c:extLst>
        </c:ser>
        <c:ser>
          <c:idx val="4"/>
          <c:order val="3"/>
          <c:tx>
            <c:v>2018</c:v>
          </c:tx>
          <c:spPr>
            <a:ln w="28575" cap="rnd">
              <a:solidFill>
                <a:schemeClr val="accent5"/>
              </a:solidFill>
              <a:round/>
            </a:ln>
            <a:effectLst/>
          </c:spPr>
          <c:marker>
            <c:symbol val="none"/>
          </c:marker>
          <c:val>
            <c:numRef>
              <c:f>Normalår!$M$41:$M$52</c:f>
              <c:numCache>
                <c:formatCode>0.00</c:formatCode>
                <c:ptCount val="12"/>
                <c:pt idx="0">
                  <c:v>0.96087340653792752</c:v>
                </c:pt>
                <c:pt idx="1">
                  <c:v>0.8998161764705882</c:v>
                </c:pt>
                <c:pt idx="2">
                  <c:v>0.81113222916101002</c:v>
                </c:pt>
                <c:pt idx="3">
                  <c:v>1.1195097037793669</c:v>
                </c:pt>
                <c:pt idx="4">
                  <c:v>6.8433609958506318</c:v>
                </c:pt>
                <c:pt idx="5">
                  <c:v>83.025641025637867</c:v>
                </c:pt>
                <c:pt idx="6">
                  <c:v>2.6837060702875289E-2</c:v>
                </c:pt>
                <c:pt idx="7">
                  <c:v>1.2314814814814672</c:v>
                </c:pt>
                <c:pt idx="8">
                  <c:v>1.5627958785853526</c:v>
                </c:pt>
                <c:pt idx="9">
                  <c:v>1.1334405144694533</c:v>
                </c:pt>
                <c:pt idx="10">
                  <c:v>1.0998945917457228</c:v>
                </c:pt>
                <c:pt idx="11">
                  <c:v>0.96032804373916514</c:v>
                </c:pt>
              </c:numCache>
            </c:numRef>
          </c:val>
          <c:smooth val="0"/>
          <c:extLst>
            <c:ext xmlns:c16="http://schemas.microsoft.com/office/drawing/2014/chart" uri="{C3380CC4-5D6E-409C-BE32-E72D297353CC}">
              <c16:uniqueId val="{00000003-BD05-40A9-B050-1C2B749C08AA}"/>
            </c:ext>
          </c:extLst>
        </c:ser>
        <c:ser>
          <c:idx val="5"/>
          <c:order val="4"/>
          <c:tx>
            <c:v>2019</c:v>
          </c:tx>
          <c:spPr>
            <a:ln w="28575" cap="rnd">
              <a:solidFill>
                <a:schemeClr val="accent6"/>
              </a:solidFill>
              <a:round/>
            </a:ln>
            <a:effectLst/>
          </c:spPr>
          <c:marker>
            <c:symbol val="none"/>
          </c:marker>
          <c:val>
            <c:numRef>
              <c:f>Normalår!$M$53:$M$64</c:f>
              <c:numCache>
                <c:formatCode>0.00</c:formatCode>
                <c:ptCount val="12"/>
                <c:pt idx="0">
                  <c:v>0.85318838955508236</c:v>
                </c:pt>
                <c:pt idx="1">
                  <c:v>1.2728980063565445</c:v>
                </c:pt>
                <c:pt idx="2">
                  <c:v>1.1400549534422224</c:v>
                </c:pt>
                <c:pt idx="3">
                  <c:v>1.2555848321686336</c:v>
                </c:pt>
                <c:pt idx="4">
                  <c:v>0.94648493543758949</c:v>
                </c:pt>
                <c:pt idx="5">
                  <c:v>6.8456659619450457</c:v>
                </c:pt>
                <c:pt idx="6">
                  <c:v>0.17647058823529368</c:v>
                </c:pt>
                <c:pt idx="7">
                  <c:v>0.59641255605381049</c:v>
                </c:pt>
                <c:pt idx="8">
                  <c:v>1.317989666510099</c:v>
                </c:pt>
                <c:pt idx="9">
                  <c:v>0.97479259731971901</c:v>
                </c:pt>
                <c:pt idx="10">
                  <c:v>1.0478949401313247</c:v>
                </c:pt>
                <c:pt idx="11">
                  <c:v>1.07388905457799</c:v>
                </c:pt>
              </c:numCache>
            </c:numRef>
          </c:val>
          <c:smooth val="0"/>
          <c:extLst>
            <c:ext xmlns:c16="http://schemas.microsoft.com/office/drawing/2014/chart" uri="{C3380CC4-5D6E-409C-BE32-E72D297353CC}">
              <c16:uniqueId val="{00000004-BD05-40A9-B050-1C2B749C08AA}"/>
            </c:ext>
          </c:extLst>
        </c:ser>
        <c:ser>
          <c:idx val="6"/>
          <c:order val="5"/>
          <c:tx>
            <c:v>2020</c:v>
          </c:tx>
          <c:spPr>
            <a:ln w="28575" cap="rnd">
              <a:solidFill>
                <a:schemeClr val="accent1">
                  <a:lumMod val="60000"/>
                </a:schemeClr>
              </a:solidFill>
              <a:round/>
            </a:ln>
            <a:effectLst/>
          </c:spPr>
          <c:marker>
            <c:symbol val="none"/>
          </c:marker>
          <c:val>
            <c:numRef>
              <c:f>Normalår!$M$65:$M$76</c:f>
              <c:numCache>
                <c:formatCode>0.00</c:formatCode>
                <c:ptCount val="12"/>
                <c:pt idx="0">
                  <c:v>1.2513149243918475</c:v>
                </c:pt>
                <c:pt idx="1">
                  <c:v>1.29726148409894</c:v>
                </c:pt>
                <c:pt idx="2">
                  <c:v>1.1055436311153874</c:v>
                </c:pt>
                <c:pt idx="3">
                  <c:v>1.1071825436912819</c:v>
                </c:pt>
                <c:pt idx="4">
                  <c:v>0.92810917276308369</c:v>
                </c:pt>
                <c:pt idx="5">
                  <c:v>-4.0424469413233535</c:v>
                </c:pt>
                <c:pt idx="6">
                  <c:v>-4.3076923076922902E-2</c:v>
                </c:pt>
                <c:pt idx="7">
                  <c:v>-0.31220657276995217</c:v>
                </c:pt>
                <c:pt idx="8">
                  <c:v>1.6098680436029831</c:v>
                </c:pt>
                <c:pt idx="9">
                  <c:v>1.1763573353869847</c:v>
                </c:pt>
                <c:pt idx="10">
                  <c:v>1.3874399099928401</c:v>
                </c:pt>
                <c:pt idx="11">
                  <c:v>1.0930409046065115</c:v>
                </c:pt>
              </c:numCache>
            </c:numRef>
          </c:val>
          <c:smooth val="0"/>
          <c:extLst>
            <c:ext xmlns:c16="http://schemas.microsoft.com/office/drawing/2014/chart" uri="{C3380CC4-5D6E-409C-BE32-E72D297353CC}">
              <c16:uniqueId val="{00000005-BD05-40A9-B050-1C2B749C08AA}"/>
            </c:ext>
          </c:extLst>
        </c:ser>
        <c:dLbls>
          <c:showLegendKey val="0"/>
          <c:showVal val="0"/>
          <c:showCatName val="0"/>
          <c:showSerName val="0"/>
          <c:showPercent val="0"/>
          <c:showBubbleSize val="0"/>
        </c:dLbls>
        <c:smooth val="0"/>
        <c:axId val="500641272"/>
        <c:axId val="500642256"/>
      </c:lineChart>
      <c:catAx>
        <c:axId val="50064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2256"/>
        <c:crosses val="autoZero"/>
        <c:auto val="1"/>
        <c:lblAlgn val="ctr"/>
        <c:lblOffset val="100"/>
        <c:noMultiLvlLbl val="0"/>
      </c:catAx>
      <c:valAx>
        <c:axId val="50064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00641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2</xdr:col>
      <xdr:colOff>366395</xdr:colOff>
      <xdr:row>1</xdr:row>
      <xdr:rowOff>1539240</xdr:rowOff>
    </xdr:to>
    <xdr:pic>
      <xdr:nvPicPr>
        <xdr:cNvPr id="2" name="Bildobjekt 2">
          <a:extLst>
            <a:ext uri="{FF2B5EF4-FFF2-40B4-BE49-F238E27FC236}">
              <a16:creationId xmlns:a16="http://schemas.microsoft.com/office/drawing/2014/main" id="{95E676FA-7E5A-4981-B89B-2DB3EB46B3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66700"/>
          <a:ext cx="1461770" cy="1463040"/>
        </a:xfrm>
        <a:prstGeom prst="rect">
          <a:avLst/>
        </a:prstGeom>
      </xdr:spPr>
    </xdr:pic>
    <xdr:clientData/>
  </xdr:twoCellAnchor>
  <xdr:twoCellAnchor>
    <xdr:from>
      <xdr:col>6</xdr:col>
      <xdr:colOff>571500</xdr:colOff>
      <xdr:row>2</xdr:row>
      <xdr:rowOff>9523</xdr:rowOff>
    </xdr:from>
    <xdr:to>
      <xdr:col>16</xdr:col>
      <xdr:colOff>592667</xdr:colOff>
      <xdr:row>56</xdr:row>
      <xdr:rowOff>10583</xdr:rowOff>
    </xdr:to>
    <xdr:sp macro="" textlink="">
      <xdr:nvSpPr>
        <xdr:cNvPr id="3" name="Rektangel 15">
          <a:extLst>
            <a:ext uri="{FF2B5EF4-FFF2-40B4-BE49-F238E27FC236}">
              <a16:creationId xmlns:a16="http://schemas.microsoft.com/office/drawing/2014/main" id="{AE493DB9-A988-4C11-A7B2-E7EBF521C05F}"/>
            </a:ext>
          </a:extLst>
        </xdr:cNvPr>
        <xdr:cNvSpPr/>
      </xdr:nvSpPr>
      <xdr:spPr>
        <a:xfrm>
          <a:off x="4275667" y="1999190"/>
          <a:ext cx="6159500" cy="10436226"/>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Om</a:t>
          </a:r>
          <a:r>
            <a:rPr lang="sv-SE" sz="1200" b="1" baseline="0">
              <a:solidFill>
                <a:sysClr val="windowText" lastClr="000000"/>
              </a:solidFill>
            </a:rPr>
            <a:t> verktyget:</a:t>
          </a:r>
          <a:endParaRPr lang="sv-SE" sz="1200" b="1">
            <a:solidFill>
              <a:sysClr val="windowText" lastClr="000000"/>
            </a:solidFill>
          </a:endParaRPr>
        </a:p>
        <a:p>
          <a:pPr algn="l"/>
          <a:r>
            <a:rPr lang="sv-SE" sz="1200" b="0" baseline="0">
              <a:solidFill>
                <a:sysClr val="windowText" lastClr="000000"/>
              </a:solidFill>
            </a:rPr>
            <a:t>Vid certifiering enligt GreenBuilding 8.0 ska uppfyllandet av energikravet, kriterie 1.1, ske via beräknad energiprestanda, baserad på uppmätt energianvändning. Detta Excelverktyg är till för att underlätta verifieringen av en byggnads specifika energianvändning utifrån uppmätta värden och beräknar primärenergital enligt Boverkets byggregler BBR29.. Verktyget är anpassat för att användas på flerbostadshus och lokalbyggnader. Verktyget kan även användas för normalisering av uppmätta värden och beräkning av primärenergital enligt BBR29 samt BBR 25 för återapportering enligt tidigare versioner av GreenBuilding. Syftet med verktyget är att harmonisera de beräkningar som görs för certifieringen samt underlätta granskningen av inkomna ansökningar/återapporteringar. Ifylld excellfil laddas upp i GBO.</a:t>
          </a:r>
        </a:p>
        <a:p>
          <a:pPr algn="l"/>
          <a:endParaRPr lang="sv-SE" sz="1200" b="0" baseline="0">
            <a:solidFill>
              <a:sysClr val="windowText" lastClr="000000"/>
            </a:solidFill>
          </a:endParaRPr>
        </a:p>
        <a:p>
          <a:pPr algn="l"/>
          <a:r>
            <a:rPr lang="sv-SE" sz="1200" b="0" baseline="0">
              <a:solidFill>
                <a:sysClr val="windowText" lastClr="000000"/>
              </a:solidFill>
            </a:rPr>
            <a:t>Beräkning av primärenergital för att fastställa byggnadens energiprestanda baseras på levererad (köpt) energi till byggnaden vid normalt brukande under ett normalår enligt Boverkets föreskrifter BEN (2016:12). Verktyget har funktioner för normalisering av energi till tappvarmvatten, normalisering av energianvändningen på grund av avvikelser i innetemperatur och avvikelser i internlaster (i flerbostadshus) samt normalårskorrigering av den klimatberoende energianvändningen. Korrigering pga. avvikelser i internlaster i lokaler görs med dynamisk energiberäkning. </a:t>
          </a:r>
        </a:p>
        <a:p>
          <a:pPr algn="l"/>
          <a:endParaRPr lang="sv-SE" sz="1200" b="0" baseline="0">
            <a:solidFill>
              <a:sysClr val="windowText" lastClr="000000"/>
            </a:solidFill>
          </a:endParaRPr>
        </a:p>
        <a:p>
          <a:pPr algn="l"/>
          <a:r>
            <a:rPr lang="sv-SE" sz="1200" b="0" baseline="0">
              <a:solidFill>
                <a:sysClr val="windowText" lastClr="000000"/>
              </a:solidFill>
            </a:rPr>
            <a:t>Normalårskorrigering baseras på månadsvisa värden enligt graddagsmetoden med klimatfiler från Sveby. Korrigering av energi för uppvärmning på grund av avvikelser i innetemperatur hanteras genom att en graddagsbaserad kvot tas fram för uppvärmning till normal innetemperatur respektive uppmätt innetemperatur.</a:t>
          </a:r>
        </a:p>
        <a:p>
          <a:pPr algn="l"/>
          <a:r>
            <a:rPr lang="sv-SE" sz="1200" b="0" baseline="0">
              <a:solidFill>
                <a:sysClr val="windowText" lastClr="000000"/>
              </a:solidFill>
            </a:rPr>
            <a:t>Mätdata som behövs för att normalisera och beräkna en byggnadens energiprestanda baseras på mätanvisningar som finns i GreenBuilding mall för Mätplan, vilken grundas på Sveby-s ”Mätanvisningar version 2.0”. Tänk på att mätuppgifter vid behov bearbetas före normalisering av mätvärden. Mer information om hantering av mätdata finns i Svebys "Verifieringsanvisningar version 2.0" och i manualen GreenBuilding 8.0 Ny Byggnad eller i GreenBuilding 8.0 Befintlig Byggnad.</a:t>
          </a:r>
        </a:p>
        <a:p>
          <a:pPr algn="l"/>
          <a:endParaRPr lang="sv-SE" sz="1200" b="0" baseline="0">
            <a:solidFill>
              <a:sysClr val="windowText" lastClr="000000"/>
            </a:solidFill>
          </a:endParaRPr>
        </a:p>
        <a:p>
          <a:pPr algn="l"/>
          <a:r>
            <a:rPr lang="sv-SE" sz="1200" b="0" i="1" baseline="0">
              <a:solidFill>
                <a:sysClr val="windowText" lastClr="000000"/>
              </a:solidFill>
            </a:rPr>
            <a:t>Programmet har utvecklats av CIT Energy Management på uppdrag av SGBC.  SGBC tar inte ansvar för mätdata som matas in i programmet, resultat eller användning av resultat.</a:t>
          </a:r>
        </a:p>
        <a:p>
          <a:pPr algn="l"/>
          <a:endParaRPr lang="sv-SE" sz="1200" b="1" i="0" baseline="0">
            <a:solidFill>
              <a:sysClr val="windowText" lastClr="000000"/>
            </a:solidFill>
          </a:endParaRPr>
        </a:p>
        <a:p>
          <a:pPr algn="l"/>
          <a:r>
            <a:rPr lang="sv-SE" sz="1200" b="1" i="0" baseline="0">
              <a:solidFill>
                <a:sysClr val="windowText" lastClr="000000"/>
              </a:solidFill>
            </a:rPr>
            <a:t>Så här använder du verktyget:</a:t>
          </a:r>
        </a:p>
        <a:p>
          <a:pPr algn="l"/>
          <a:r>
            <a:rPr lang="sv-SE" sz="1200" b="0" i="0" baseline="0">
              <a:solidFill>
                <a:sysClr val="windowText" lastClr="000000"/>
              </a:solidFill>
            </a:rPr>
            <a:t>I fliken "Indata byggnad och BBR krav" specificeras all relevant information om byggnaden som behövs för normalisering av mätvärden och fastställning av energikrav enligt BBR. </a:t>
          </a:r>
        </a:p>
        <a:p>
          <a:pPr algn="l"/>
          <a:endParaRPr lang="sv-SE" sz="1200" b="0" i="0" baseline="0">
            <a:solidFill>
              <a:sysClr val="windowText" lastClr="000000"/>
            </a:solidFill>
          </a:endParaRPr>
        </a:p>
        <a:p>
          <a:pPr algn="l"/>
          <a:r>
            <a:rPr lang="sv-SE" sz="1200" b="0" i="0" baseline="0">
              <a:solidFill>
                <a:sysClr val="windowText" lastClr="000000"/>
              </a:solidFill>
            </a:rPr>
            <a:t>I fliken "Mätvärden" anges uppmätt energi för uppvärmning, tappvarmvatten, komfortkyla, fastighetsenergi och verksamhetsenergi/hushållsenergi för en sammanhängande 12-månadersperiod. Energianvändningen anges separat för varje energibärare. Även uppmätta representativa innetemperaturer under uppvärmningssäsongen skrivs in i fliken "Mätvärden". </a:t>
          </a:r>
        </a:p>
        <a:p>
          <a:pPr algn="l"/>
          <a:endParaRPr lang="sv-SE" sz="1200" b="0" i="0" baseline="0">
            <a:solidFill>
              <a:sysClr val="windowText" lastClr="000000"/>
            </a:solidFill>
          </a:endParaRPr>
        </a:p>
        <a:p>
          <a:pPr algn="l"/>
          <a:r>
            <a:rPr lang="sv-SE" sz="1200" b="0" i="0" baseline="0">
              <a:solidFill>
                <a:sysClr val="windowText" lastClr="000000"/>
              </a:solidFill>
            </a:rPr>
            <a:t>Fliken "Mätvärden referensår" ska bara användas vid certifiering av en befintlig byggnad enligt Alternativ 1. I fliken anges uppmätt energi för uppvärmning, tappvarmvatten, komfortkyla, fastighetsenergi och verksamhetsenergi/hushållsenergi under referensåret. Energianvändningen anges separat för varje energibärare. </a:t>
          </a:r>
        </a:p>
        <a:p>
          <a:pPr algn="l"/>
          <a:endParaRPr lang="sv-SE" sz="1200" b="0" i="0" baseline="0">
            <a:solidFill>
              <a:sysClr val="windowText" lastClr="000000"/>
            </a:solidFill>
          </a:endParaRPr>
        </a:p>
        <a:p>
          <a:pPr algn="l"/>
          <a:r>
            <a:rPr lang="sv-SE" sz="1200" b="0" i="0" baseline="0">
              <a:solidFill>
                <a:sysClr val="windowText" lastClr="000000"/>
              </a:solidFill>
            </a:rPr>
            <a:t>Under fliken "Resultat" visas beräknad uppmätt energianvändning (BBR energi), normaliserad energianvändning och beräknat primärenergital enligt BBR25 eller BBR29. Resultatet används för bedömning av om byggnaden uppfyller kriterium 1.1 i GreenBuildings certifiering 8.0 för nya byggnader eller för befintliga byggnader. Även byggnadens klimatpåverkan av energianvändningen redovisas för information. </a:t>
          </a:r>
        </a:p>
        <a:p>
          <a:pPr algn="l"/>
          <a:endParaRPr lang="sv-SE" sz="1200" b="0" i="1" baseline="0">
            <a:solidFill>
              <a:sysClr val="windowText" lastClr="000000"/>
            </a:solidFill>
          </a:endParaRPr>
        </a:p>
        <a:p>
          <a:pPr algn="l"/>
          <a:r>
            <a:rPr lang="sv-SE" sz="1200" b="0" baseline="0">
              <a:solidFill>
                <a:sysClr val="windowText" lastClr="000000"/>
              </a:solidFill>
            </a:rPr>
            <a:t> </a:t>
          </a:r>
          <a:endParaRPr lang="sv-SE" sz="1200" b="0" baseline="0">
            <a:solidFill>
              <a:schemeClr val="tx1"/>
            </a:solidFill>
            <a:latin typeface="+mn-lt"/>
            <a:ea typeface="+mn-ea"/>
            <a:cs typeface="+mn-cs"/>
          </a:endParaRPr>
        </a:p>
      </xdr:txBody>
    </xdr:sp>
    <xdr:clientData/>
  </xdr:twoCellAnchor>
  <xdr:twoCellAnchor editAs="oneCell">
    <xdr:from>
      <xdr:col>17</xdr:col>
      <xdr:colOff>613833</xdr:colOff>
      <xdr:row>2</xdr:row>
      <xdr:rowOff>42334</xdr:rowOff>
    </xdr:from>
    <xdr:to>
      <xdr:col>30</xdr:col>
      <xdr:colOff>431459</xdr:colOff>
      <xdr:row>26</xdr:row>
      <xdr:rowOff>46977</xdr:rowOff>
    </xdr:to>
    <xdr:pic>
      <xdr:nvPicPr>
        <xdr:cNvPr id="6" name="Bildobjekt 5">
          <a:extLst>
            <a:ext uri="{FF2B5EF4-FFF2-40B4-BE49-F238E27FC236}">
              <a16:creationId xmlns:a16="http://schemas.microsoft.com/office/drawing/2014/main" id="{ED5BEA68-45FE-412F-A4E4-F482B744681F}"/>
            </a:ext>
          </a:extLst>
        </xdr:cNvPr>
        <xdr:cNvPicPr>
          <a:picLocks noChangeAspect="1"/>
        </xdr:cNvPicPr>
      </xdr:nvPicPr>
      <xdr:blipFill>
        <a:blip xmlns:r="http://schemas.openxmlformats.org/officeDocument/2006/relationships" r:embed="rId2"/>
        <a:stretch>
          <a:fillRect/>
        </a:stretch>
      </xdr:blipFill>
      <xdr:spPr>
        <a:xfrm>
          <a:off x="11070166" y="2032001"/>
          <a:ext cx="7797460" cy="4724809"/>
        </a:xfrm>
        <a:prstGeom prst="rect">
          <a:avLst/>
        </a:prstGeom>
      </xdr:spPr>
    </xdr:pic>
    <xdr:clientData/>
  </xdr:twoCellAnchor>
  <xdr:twoCellAnchor editAs="oneCell">
    <xdr:from>
      <xdr:col>18</xdr:col>
      <xdr:colOff>42333</xdr:colOff>
      <xdr:row>26</xdr:row>
      <xdr:rowOff>148166</xdr:rowOff>
    </xdr:from>
    <xdr:to>
      <xdr:col>31</xdr:col>
      <xdr:colOff>378165</xdr:colOff>
      <xdr:row>56</xdr:row>
      <xdr:rowOff>72455</xdr:rowOff>
    </xdr:to>
    <xdr:pic>
      <xdr:nvPicPr>
        <xdr:cNvPr id="7" name="Bildobjekt 6">
          <a:extLst>
            <a:ext uri="{FF2B5EF4-FFF2-40B4-BE49-F238E27FC236}">
              <a16:creationId xmlns:a16="http://schemas.microsoft.com/office/drawing/2014/main" id="{940B8D80-94BC-41CB-8E7F-F96DC239290C}"/>
            </a:ext>
          </a:extLst>
        </xdr:cNvPr>
        <xdr:cNvPicPr>
          <a:picLocks noChangeAspect="1"/>
        </xdr:cNvPicPr>
      </xdr:nvPicPr>
      <xdr:blipFill>
        <a:blip xmlns:r="http://schemas.openxmlformats.org/officeDocument/2006/relationships" r:embed="rId3"/>
        <a:stretch>
          <a:fillRect/>
        </a:stretch>
      </xdr:blipFill>
      <xdr:spPr>
        <a:xfrm>
          <a:off x="11112500" y="6836833"/>
          <a:ext cx="8315665" cy="56392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558798</xdr:colOff>
      <xdr:row>0</xdr:row>
      <xdr:rowOff>243417</xdr:rowOff>
    </xdr:from>
    <xdr:to>
      <xdr:col>1</xdr:col>
      <xdr:colOff>2033003</xdr:colOff>
      <xdr:row>2</xdr:row>
      <xdr:rowOff>902124</xdr:rowOff>
    </xdr:to>
    <xdr:pic>
      <xdr:nvPicPr>
        <xdr:cNvPr id="9" name="Bildobjekt 2">
          <a:extLst>
            <a:ext uri="{FF2B5EF4-FFF2-40B4-BE49-F238E27FC236}">
              <a16:creationId xmlns:a16="http://schemas.microsoft.com/office/drawing/2014/main" id="{573CA64E-36EC-4100-87C7-2E36364227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3881" y="243417"/>
          <a:ext cx="1474205" cy="1420707"/>
        </a:xfrm>
        <a:prstGeom prst="rect">
          <a:avLst/>
        </a:prstGeom>
      </xdr:spPr>
    </xdr:pic>
    <xdr:clientData/>
  </xdr:twoCellAnchor>
  <xdr:twoCellAnchor>
    <xdr:from>
      <xdr:col>3</xdr:col>
      <xdr:colOff>314322</xdr:colOff>
      <xdr:row>0</xdr:row>
      <xdr:rowOff>244214</xdr:rowOff>
    </xdr:from>
    <xdr:to>
      <xdr:col>5</xdr:col>
      <xdr:colOff>3968751</xdr:colOff>
      <xdr:row>3</xdr:row>
      <xdr:rowOff>222250</xdr:rowOff>
    </xdr:to>
    <xdr:sp macro="" textlink="">
      <xdr:nvSpPr>
        <xdr:cNvPr id="11" name="Rektangel 15">
          <a:extLst>
            <a:ext uri="{FF2B5EF4-FFF2-40B4-BE49-F238E27FC236}">
              <a16:creationId xmlns:a16="http://schemas.microsoft.com/office/drawing/2014/main" id="{FE963842-6CFB-48AB-85D3-B088001B9FC8}"/>
            </a:ext>
          </a:extLst>
        </xdr:cNvPr>
        <xdr:cNvSpPr/>
      </xdr:nvSpPr>
      <xdr:spPr>
        <a:xfrm>
          <a:off x="6198655" y="244214"/>
          <a:ext cx="7993596" cy="165020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chemeClr val="tx1"/>
              </a:solidFill>
              <a:latin typeface="+mn-lt"/>
              <a:ea typeface="+mn-ea"/>
              <a:cs typeface="+mn-cs"/>
            </a:rPr>
            <a:t>I denna flik specificeras allmänn information om byggnaden, BBR version som gäller för projektet och krav på  energiprestanda som ska gälla för den specifika byggnaden inkl. luftflödestillägg </a:t>
          </a:r>
          <a:r>
            <a:rPr lang="sv-SE" sz="1200" b="0" baseline="0">
              <a:solidFill>
                <a:schemeClr val="tx1"/>
              </a:solidFill>
              <a:effectLst/>
              <a:latin typeface="+mn-lt"/>
              <a:ea typeface="+mn-ea"/>
              <a:cs typeface="+mn-cs"/>
            </a:rPr>
            <a:t>(</a:t>
          </a:r>
          <a:r>
            <a:rPr lang="sv-SE" sz="1200" b="0" i="1" baseline="0">
              <a:solidFill>
                <a:schemeClr val="tx1"/>
              </a:solidFill>
              <a:effectLst/>
              <a:latin typeface="+mn-lt"/>
              <a:ea typeface="+mn-ea"/>
              <a:cs typeface="+mn-cs"/>
            </a:rPr>
            <a:t>energiprestandakrav ska redovisas bara för ny byggnad och befintlig byggnad för Alternativ 2</a:t>
          </a:r>
          <a:r>
            <a:rPr lang="sv-SE" sz="1200" b="0" baseline="0">
              <a:solidFill>
                <a:schemeClr val="tx1"/>
              </a:solidFill>
              <a:effectLst/>
              <a:latin typeface="+mn-lt"/>
              <a:ea typeface="+mn-ea"/>
              <a:cs typeface="+mn-cs"/>
            </a:rPr>
            <a:t>). </a:t>
          </a:r>
          <a:r>
            <a:rPr lang="sv-SE" sz="1200" b="0" baseline="0">
              <a:solidFill>
                <a:schemeClr val="tx1"/>
              </a:solidFill>
              <a:latin typeface="+mn-lt"/>
              <a:ea typeface="+mn-ea"/>
              <a:cs typeface="+mn-cs"/>
            </a:rPr>
            <a:t>. Beräkningsunderlag, där det tydligt framgår hur ventilationstillägget har beräknats, ska redovsas i separat dokument som ska bifogas i ansökan. </a:t>
          </a:r>
          <a:r>
            <a:rPr lang="sv-SE" sz="1200" b="0" baseline="0">
              <a:solidFill>
                <a:schemeClr val="tx1"/>
              </a:solidFill>
              <a:effectLst/>
              <a:latin typeface="+mn-lt"/>
              <a:ea typeface="+mn-ea"/>
              <a:cs typeface="+mn-cs"/>
            </a:rPr>
            <a:t>Indata för beräkning av miljöpåverkan av energianvändningen ska också specificeras i denna flik.</a:t>
          </a:r>
          <a:endParaRPr lang="sv-SE" sz="1200" b="0" baseline="0">
            <a:solidFill>
              <a:schemeClr val="tx1"/>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r>
            <a:rPr lang="sv-SE" sz="1200" b="0" baseline="0">
              <a:solidFill>
                <a:srgbClr val="FF0000"/>
              </a:solidFill>
              <a:latin typeface="+mn-lt"/>
              <a:ea typeface="+mn-ea"/>
              <a:cs typeface="+mn-cs"/>
            </a:rPr>
            <a:t>OBS! Endast gröna celler fylls i. Gråa celler beräknas eller länkas automatiskt. Hjälptexter finns i kommentarsrutor vid vita rutor där indata matas in. </a:t>
          </a:r>
        </a:p>
        <a:p>
          <a:pPr marL="0" indent="0" algn="l"/>
          <a:endParaRPr lang="sv-SE" sz="11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a:solidFill>
              <a:schemeClr val="tx1"/>
            </a:solidFill>
            <a:effectLst/>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ysClr val="windowText" lastClr="000000"/>
            </a:solidFill>
            <a:latin typeface="+mn-lt"/>
            <a:ea typeface="+mn-ea"/>
            <a:cs typeface="+mn-cs"/>
          </a:endParaRPr>
        </a:p>
        <a:p>
          <a:pPr marL="0" indent="0" algn="l"/>
          <a:endParaRPr lang="sv-SE" sz="1100" b="0" baseline="0">
            <a:solidFill>
              <a:schemeClr val="tx1"/>
            </a:solidFill>
            <a:effectLst/>
            <a:latin typeface="+mn-lt"/>
            <a:ea typeface="+mn-ea"/>
            <a:cs typeface="+mn-cs"/>
          </a:endParaRPr>
        </a:p>
        <a:p>
          <a:pPr marL="0" indent="0" algn="l"/>
          <a:endParaRPr lang="sv-SE" sz="1100" b="0" baseline="0">
            <a:solidFill>
              <a:schemeClr val="tx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xdr:colOff>
      <xdr:row>19</xdr:row>
      <xdr:rowOff>152401</xdr:rowOff>
    </xdr:from>
    <xdr:to>
      <xdr:col>4</xdr:col>
      <xdr:colOff>2</xdr:colOff>
      <xdr:row>32</xdr:row>
      <xdr:rowOff>31750</xdr:rowOff>
    </xdr:to>
    <xdr:sp macro="" textlink="">
      <xdr:nvSpPr>
        <xdr:cNvPr id="8" name="Rektangel 15">
          <a:extLst>
            <a:ext uri="{FF2B5EF4-FFF2-40B4-BE49-F238E27FC236}">
              <a16:creationId xmlns:a16="http://schemas.microsoft.com/office/drawing/2014/main" id="{EFF0E5F2-F207-4131-8354-43B67E01E928}"/>
            </a:ext>
          </a:extLst>
        </xdr:cNvPr>
        <xdr:cNvSpPr/>
      </xdr:nvSpPr>
      <xdr:spPr>
        <a:xfrm>
          <a:off x="455084" y="4597401"/>
          <a:ext cx="6688668" cy="2631016"/>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uppvärmning</a:t>
          </a:r>
        </a:p>
        <a:p>
          <a:pPr algn="l"/>
          <a:r>
            <a:rPr lang="sv-SE" sz="1100" b="0">
              <a:solidFill>
                <a:sysClr val="windowText" lastClr="000000"/>
              </a:solidFill>
            </a:rPr>
            <a:t>Ange uppmätt energianvändning för uppvärmning separat för </a:t>
          </a:r>
          <a:r>
            <a:rPr lang="sv-SE" sz="1100" b="0" baseline="0">
              <a:solidFill>
                <a:sysClr val="windowText" lastClr="000000"/>
              </a:solidFill>
            </a:rPr>
            <a:t>respektive energibärare (värmekälla). Värden kan anges för upp till 3 olika värmekällor (värmeproduktionssystem). Antal och typ av värmekällor väljs i rullgardinsmenyer ovan. Mätvärdena skall bara motsvara den energi som används för uppvärmning av byggnaden, dvs. exklusive tappvattenvärmning.  Inmatade mätvärden för uppvärmning ska också exkludera elgolvvärme i badrum och återvunnen processenergi i byggnaden. Dessa energiposter ska mätas separat och redovisas i separata tabeller nedan.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levereras till byggnaden så kallad köpt energi eller hur mycket energi som produceras av energiproduktionssystemet. Detta ska anges under "Mätpunkt för mätning" genom val i rullgardinsmenyn. Även årsverkningsgrad för produktion av energi ska anges för vissa energiposter. Informationen används för beräkning av levererad energi om mätdata anges som producerad energi och för normalisering av energianvändningen. Om det inte går att få fram uppgifter om årsverkningsgraden kan schablonvärden användas som baseras på tabell 3:2 i Boverkets föreskrifter BFS 2017:6 BEN 2. </a:t>
          </a:r>
        </a:p>
        <a:p>
          <a:pPr algn="l"/>
          <a:endParaRPr lang="sv-SE" sz="1200" b="1">
            <a:solidFill>
              <a:sysClr val="windowText" lastClr="000000"/>
            </a:solidFill>
          </a:endParaRPr>
        </a:p>
      </xdr:txBody>
    </xdr:sp>
    <xdr:clientData/>
  </xdr:twoCellAnchor>
  <xdr:twoCellAnchor>
    <xdr:from>
      <xdr:col>2</xdr:col>
      <xdr:colOff>23813</xdr:colOff>
      <xdr:row>47</xdr:row>
      <xdr:rowOff>132290</xdr:rowOff>
    </xdr:from>
    <xdr:to>
      <xdr:col>4</xdr:col>
      <xdr:colOff>1</xdr:colOff>
      <xdr:row>65</xdr:row>
      <xdr:rowOff>35718</xdr:rowOff>
    </xdr:to>
    <xdr:sp macro="" textlink="">
      <xdr:nvSpPr>
        <xdr:cNvPr id="9" name="Rektangel 15">
          <a:extLst>
            <a:ext uri="{FF2B5EF4-FFF2-40B4-BE49-F238E27FC236}">
              <a16:creationId xmlns:a16="http://schemas.microsoft.com/office/drawing/2014/main" id="{692FD48A-7400-487B-A285-F6B5EEB387DE}"/>
            </a:ext>
          </a:extLst>
        </xdr:cNvPr>
        <xdr:cNvSpPr/>
      </xdr:nvSpPr>
      <xdr:spPr>
        <a:xfrm>
          <a:off x="488157" y="12479071"/>
          <a:ext cx="6667500" cy="3808678"/>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tappvarmvatten</a:t>
          </a:r>
        </a:p>
        <a:p>
          <a:pPr algn="l"/>
          <a:r>
            <a:rPr lang="sv-SE" sz="1100" b="0">
              <a:solidFill>
                <a:sysClr val="windowText" lastClr="000000"/>
              </a:solidFill>
            </a:rPr>
            <a:t>Ange uppmätt energianvändning för tappvarmvatten separat för respektive energibärare (värmekälla). Värden kan anges för upp till 3 olika värmekällor (värmeproduktionssystem). Antal och typ av värmekällor väljs i rullgardinsmenyer ovan. </a:t>
          </a:r>
        </a:p>
        <a:p>
          <a:pPr algn="l"/>
          <a:endParaRPr lang="sv-SE" sz="1100" b="0">
            <a:solidFill>
              <a:sysClr val="windowText" lastClr="000000"/>
            </a:solidFill>
          </a:endParaRPr>
        </a:p>
        <a:p>
          <a:pPr algn="l"/>
          <a:r>
            <a:rPr lang="sv-SE" sz="1100" b="0">
              <a:solidFill>
                <a:sysClr val="windowText" lastClr="000000"/>
              </a:solidFill>
            </a:rPr>
            <a:t>Beroende på mätarnas placering mäter de antigen hur mycket energi som produceras, eller levereras till värmekällan (så kallad köpt energi). Detta ska anges under "Mätpunkt för mätning" genom val i rullgardinsmenyn. Även årsverkningsgrad för produktion av tappvarmvatten ska specificeras. Informationen används för automatisk beräkning levererad energi från producerad energi och för normalisering av energianvändningen. Om det inte går att få fram uppgifter om årsverkningsgraden kan värden enligt tabell 3:2 i Boverkets föreskrifter BFS 2017:6 BEN 2 användas</a:t>
          </a:r>
        </a:p>
        <a:p>
          <a:pPr algn="l"/>
          <a:endParaRPr lang="sv-SE" sz="1100" b="0">
            <a:solidFill>
              <a:sysClr val="windowText" lastClr="000000"/>
            </a:solidFill>
          </a:endParaRPr>
        </a:p>
        <a:p>
          <a:pPr algn="l"/>
          <a:r>
            <a:rPr lang="sv-SE" sz="1100" b="0">
              <a:solidFill>
                <a:sysClr val="windowText" lastClr="000000"/>
              </a:solidFill>
            </a:rPr>
            <a:t>Förluster för varmvattencirkulation (VVC) ska kunna mätas separat. Dock är det inte ovanligt att de inkluderas i energin för tappvarmvatten eller energin för uppvärmning. Detta skall i så fall specificeras under "Mätning av VVC förluster" ovan. Om VVC-förluster mäts separat ska tabeller för förluster för varmvattencirkulation (VVC-förluster) fyllas i för att detta ska kunna tas hänsyn till vid normalårskorrigering.</a:t>
          </a:r>
        </a:p>
        <a:p>
          <a:pPr algn="l"/>
          <a:endParaRPr lang="sv-SE" sz="11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OBS!</a:t>
          </a:r>
          <a:r>
            <a:rPr lang="sv-SE" sz="1100" b="0" baseline="0">
              <a:solidFill>
                <a:sysClr val="windowText" lastClr="000000"/>
              </a:solidFill>
            </a:rPr>
            <a:t> I</a:t>
          </a:r>
          <a:r>
            <a:rPr lang="sv-SE" sz="1100" b="0">
              <a:solidFill>
                <a:sysClr val="windowText" lastClr="000000"/>
              </a:solidFill>
            </a:rPr>
            <a:t> befintliga</a:t>
          </a:r>
          <a:r>
            <a:rPr lang="sv-SE" sz="1100" b="0" baseline="0">
              <a:solidFill>
                <a:sysClr val="windowText" lastClr="000000"/>
              </a:solidFill>
            </a:rPr>
            <a:t> byggnader kan energi för tappvattenvärmning </a:t>
          </a:r>
          <a:r>
            <a:rPr lang="sv-SE" sz="1100" b="0">
              <a:solidFill>
                <a:sysClr val="windowText" lastClr="000000"/>
              </a:solidFill>
            </a:rPr>
            <a:t>baseras på uppmätt tappvarmvattenvolym alternativt kallvattenvolym, om det inte går att installera energimätare för tappvarmvatten. Energianvändningen ska</a:t>
          </a:r>
          <a:r>
            <a:rPr lang="sv-SE" sz="1100" b="0" baseline="0">
              <a:solidFill>
                <a:sysClr val="windowText" lastClr="000000"/>
              </a:solidFill>
            </a:rPr>
            <a:t> beräknas med hjälp av ekvationen enligt Boverkets föreskrifter BFS 2017:6 BEN 2. Resultatet matas in i tabellen. </a:t>
          </a:r>
          <a:endParaRPr lang="sv-SE" sz="1200" b="1">
            <a:solidFill>
              <a:sysClr val="windowText" lastClr="000000"/>
            </a:solidFill>
          </a:endParaRPr>
        </a:p>
      </xdr:txBody>
    </xdr:sp>
    <xdr:clientData/>
  </xdr:twoCellAnchor>
  <xdr:twoCellAnchor>
    <xdr:from>
      <xdr:col>1</xdr:col>
      <xdr:colOff>211932</xdr:colOff>
      <xdr:row>86</xdr:row>
      <xdr:rowOff>11904</xdr:rowOff>
    </xdr:from>
    <xdr:to>
      <xdr:col>4</xdr:col>
      <xdr:colOff>11907</xdr:colOff>
      <xdr:row>93</xdr:row>
      <xdr:rowOff>171979</xdr:rowOff>
    </xdr:to>
    <xdr:sp macro="" textlink="">
      <xdr:nvSpPr>
        <xdr:cNvPr id="11" name="Rektangel 15">
          <a:extLst>
            <a:ext uri="{FF2B5EF4-FFF2-40B4-BE49-F238E27FC236}">
              <a16:creationId xmlns:a16="http://schemas.microsoft.com/office/drawing/2014/main" id="{E65E8F2B-5776-4996-B299-803ECA279B02}"/>
            </a:ext>
          </a:extLst>
        </xdr:cNvPr>
        <xdr:cNvSpPr/>
      </xdr:nvSpPr>
      <xdr:spPr>
        <a:xfrm>
          <a:off x="461963" y="20764498"/>
          <a:ext cx="6705600" cy="1660262"/>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komfortkyla</a:t>
          </a:r>
        </a:p>
        <a:p>
          <a:pPr algn="l"/>
          <a:r>
            <a:rPr lang="sv-SE" sz="1100" b="0">
              <a:solidFill>
                <a:sysClr val="windowText" lastClr="000000"/>
              </a:solidFill>
            </a:rPr>
            <a:t>Ange uppmätt energianvändning för komfortkyla exkl processkyla/verksamhetskyla. Mätvärden</a:t>
          </a:r>
          <a:r>
            <a:rPr lang="sv-SE" sz="1100" b="0" baseline="0">
              <a:solidFill>
                <a:sysClr val="windowText" lastClr="000000"/>
              </a:solidFill>
            </a:rPr>
            <a:t> </a:t>
          </a:r>
          <a:r>
            <a:rPr lang="sv-SE" sz="1100" b="0">
              <a:solidFill>
                <a:sysClr val="windowText" lastClr="000000"/>
              </a:solidFill>
            </a:rPr>
            <a:t>fördelas separat för respektive energibärare som levererar kyla till byggnaden. Antal och typ av kylproduktionssystem väljs</a:t>
          </a:r>
          <a:r>
            <a:rPr lang="sv-SE" sz="1100" b="0" baseline="0">
              <a:solidFill>
                <a:sysClr val="windowText" lastClr="000000"/>
              </a:solidFill>
            </a:rPr>
            <a:t> i rullgardinsmenyer ovan.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produceras, eller hur mycket som levereras (så kallad köpt energi). Detta ska anges med hjälp av rullgardinsmenyn under "Mätpunkt för mätning" . Även årsverkningsgraden för produktion av komfortkyla ska anges om mätvärdena avser producerad energi.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200" b="1">
            <a:solidFill>
              <a:sysClr val="windowText" lastClr="000000"/>
            </a:solidFill>
          </a:endParaRPr>
        </a:p>
      </xdr:txBody>
    </xdr:sp>
    <xdr:clientData/>
  </xdr:twoCellAnchor>
  <xdr:twoCellAnchor>
    <xdr:from>
      <xdr:col>1</xdr:col>
      <xdr:colOff>137848</xdr:colOff>
      <xdr:row>114</xdr:row>
      <xdr:rowOff>72760</xdr:rowOff>
    </xdr:from>
    <xdr:to>
      <xdr:col>4</xdr:col>
      <xdr:colOff>10584</xdr:colOff>
      <xdr:row>124</xdr:row>
      <xdr:rowOff>104511</xdr:rowOff>
    </xdr:to>
    <xdr:sp macro="" textlink="">
      <xdr:nvSpPr>
        <xdr:cNvPr id="6" name="Rektangel 15">
          <a:extLst>
            <a:ext uri="{FF2B5EF4-FFF2-40B4-BE49-F238E27FC236}">
              <a16:creationId xmlns:a16="http://schemas.microsoft.com/office/drawing/2014/main" id="{DB7712FB-F474-4B9A-90DA-2C3E3E0F8F5A}"/>
            </a:ext>
          </a:extLst>
        </xdr:cNvPr>
        <xdr:cNvSpPr/>
      </xdr:nvSpPr>
      <xdr:spPr>
        <a:xfrm>
          <a:off x="381265" y="24668427"/>
          <a:ext cx="6773069" cy="2148417"/>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fastighetsenergi</a:t>
          </a:r>
        </a:p>
        <a:p>
          <a:pPr algn="l"/>
          <a:r>
            <a:rPr lang="sv-SE" sz="1100" b="0">
              <a:solidFill>
                <a:sysClr val="windowText" lastClr="000000"/>
              </a:solidFill>
            </a:rPr>
            <a:t>Ange </a:t>
          </a:r>
          <a:r>
            <a:rPr lang="sv-SE" sz="1100" b="0" baseline="0">
              <a:solidFill>
                <a:sysClr val="windowText" lastClr="000000"/>
              </a:solidFill>
            </a:rPr>
            <a:t>uppmätt </a:t>
          </a:r>
          <a:r>
            <a:rPr lang="sv-SE" sz="1100" b="0">
              <a:solidFill>
                <a:sysClr val="windowText" lastClr="000000"/>
              </a:solidFill>
            </a:rPr>
            <a:t>fastighetsenergi enligt BBR. </a:t>
          </a:r>
          <a:r>
            <a:rPr lang="sv-SE" sz="1100" b="0" baseline="0">
              <a:solidFill>
                <a:sysClr val="windowText" lastClr="000000"/>
              </a:solidFill>
            </a:rPr>
            <a:t>Fastighetsenergi är </a:t>
          </a:r>
          <a:r>
            <a:rPr lang="sv-SE" sz="1100" b="0">
              <a:solidFill>
                <a:sysClr val="windowText" lastClr="000000"/>
              </a:solidFill>
            </a:rPr>
            <a:t>oftast el men om apparater knutna till fastighetsens drift</a:t>
          </a:r>
          <a:r>
            <a:rPr lang="sv-SE" sz="1100" b="0" baseline="0">
              <a:solidFill>
                <a:sysClr val="windowText" lastClr="000000"/>
              </a:solidFill>
            </a:rPr>
            <a:t> </a:t>
          </a:r>
          <a:r>
            <a:rPr lang="sv-SE" sz="1100" b="0">
              <a:solidFill>
                <a:sysClr val="windowText" lastClr="000000"/>
              </a:solidFill>
            </a:rPr>
            <a:t>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faktiskt</a:t>
          </a:r>
          <a:r>
            <a:rPr lang="sv-SE" sz="1100" b="0" baseline="0">
              <a:solidFill>
                <a:sysClr val="windowText" lastClr="000000"/>
              </a:solidFill>
            </a:rPr>
            <a:t> </a:t>
          </a:r>
          <a:r>
            <a:rPr lang="sv-SE" sz="1100" b="0">
              <a:solidFill>
                <a:sysClr val="windowText" lastClr="000000"/>
              </a:solidFill>
            </a:rPr>
            <a:t>ingår i fastighetsenergi enligt BBR och vad som bör tas bort, så som utvändig elanvändning på tomtmark. Förtydliganden om gränsdragning finns i Boverkets gränsdragningslista (länken finns i </a:t>
          </a:r>
          <a:r>
            <a:rPr lang="sv-SE" sz="1100" b="0" i="1">
              <a:solidFill>
                <a:sysClr val="windowText" lastClr="000000"/>
              </a:solidFill>
            </a:rPr>
            <a:t>Referenser och källor </a:t>
          </a:r>
          <a:r>
            <a:rPr lang="sv-SE" sz="1100" b="0">
              <a:solidFill>
                <a:sysClr val="windowText" lastClr="000000"/>
              </a:solidFill>
            </a:rPr>
            <a:t>i manualerna </a:t>
          </a:r>
          <a:r>
            <a:rPr lang="sv-SE" sz="1100" b="0" i="1">
              <a:solidFill>
                <a:sysClr val="windowText" lastClr="000000"/>
              </a:solidFill>
            </a:rPr>
            <a:t>GreenBuilding 8.0 Ny Byggnad </a:t>
          </a:r>
          <a:r>
            <a:rPr lang="sv-SE" sz="1100" b="0">
              <a:solidFill>
                <a:sysClr val="windowText" lastClr="000000"/>
              </a:solidFill>
            </a:rPr>
            <a:t>eller </a:t>
          </a:r>
          <a:r>
            <a:rPr lang="sv-SE" sz="1100" b="0" i="1">
              <a:solidFill>
                <a:sysClr val="windowText" lastClr="000000"/>
              </a:solidFill>
            </a:rPr>
            <a:t>GreenBuilding 8.0  Befintlig Byggnad</a:t>
          </a:r>
          <a:r>
            <a:rPr lang="sv-SE" sz="1100" b="0">
              <a:solidFill>
                <a:sysClr val="windowText" lastClr="000000"/>
              </a:solidFill>
            </a:rPr>
            <a:t>).</a:t>
          </a:r>
        </a:p>
        <a:p>
          <a:pPr algn="l"/>
          <a:endParaRPr lang="sv-SE" sz="1100" b="0">
            <a:solidFill>
              <a:sysClr val="windowText" lastClr="000000"/>
            </a:solidFill>
          </a:endParaRPr>
        </a:p>
        <a:p>
          <a:pPr algn="l"/>
          <a:r>
            <a:rPr lang="sv-SE" sz="1100" b="0">
              <a:solidFill>
                <a:sysClr val="windowText" lastClr="000000"/>
              </a:solidFill>
            </a:rPr>
            <a:t>Energi för elvärmda badrumsgolv </a:t>
          </a:r>
          <a:r>
            <a:rPr lang="sv-SE" sz="1100" b="0" baseline="0">
              <a:solidFill>
                <a:sysClr val="windowText" lastClr="000000"/>
              </a:solidFill>
            </a:rPr>
            <a:t>ska kunna mätas och anges separat, men i fall separat mätning inte finns kan schablonvärden användas. Energi för de elvärmda badrumsgolvens ska därefter automatiskt adderas till energi för uppvärmning vid normalisering av energianvändningen. </a:t>
          </a:r>
          <a:endParaRPr lang="sv-SE" sz="1100" b="0">
            <a:solidFill>
              <a:sysClr val="windowText" lastClr="000000"/>
            </a:solidFill>
          </a:endParaRPr>
        </a:p>
      </xdr:txBody>
    </xdr:sp>
    <xdr:clientData/>
  </xdr:twoCellAnchor>
  <xdr:twoCellAnchor>
    <xdr:from>
      <xdr:col>2</xdr:col>
      <xdr:colOff>2646</xdr:colOff>
      <xdr:row>133</xdr:row>
      <xdr:rowOff>119063</xdr:rowOff>
    </xdr:from>
    <xdr:to>
      <xdr:col>4</xdr:col>
      <xdr:colOff>23812</xdr:colOff>
      <xdr:row>146</xdr:row>
      <xdr:rowOff>169333</xdr:rowOff>
    </xdr:to>
    <xdr:sp macro="" textlink="">
      <xdr:nvSpPr>
        <xdr:cNvPr id="7" name="Rektangel 15">
          <a:extLst>
            <a:ext uri="{FF2B5EF4-FFF2-40B4-BE49-F238E27FC236}">
              <a16:creationId xmlns:a16="http://schemas.microsoft.com/office/drawing/2014/main" id="{A8A72598-354F-4EC0-8A16-4361A53A99C8}"/>
            </a:ext>
          </a:extLst>
        </xdr:cNvPr>
        <xdr:cNvSpPr/>
      </xdr:nvSpPr>
      <xdr:spPr>
        <a:xfrm>
          <a:off x="457729" y="28736396"/>
          <a:ext cx="6709833" cy="2801937"/>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tillgodogjord egenproducerad</a:t>
          </a:r>
          <a:r>
            <a:rPr lang="sv-SE" sz="1200" b="1" baseline="0">
              <a:solidFill>
                <a:sysClr val="windowText" lastClr="000000"/>
              </a:solidFill>
            </a:rPr>
            <a:t> och/eller återvunnen energi</a:t>
          </a:r>
          <a:endParaRPr lang="sv-SE" sz="1200" b="1">
            <a:solidFill>
              <a:sysClr val="windowText" lastClr="000000"/>
            </a:solidFill>
          </a:endParaRPr>
        </a:p>
        <a:p>
          <a:pPr algn="l"/>
          <a:r>
            <a:rPr lang="sv-SE" sz="1100" b="0">
              <a:solidFill>
                <a:sysClr val="windowText" lastClr="000000"/>
              </a:solidFill>
            </a:rPr>
            <a:t>Ange mätvärden för uppmätt tillgodogjord</a:t>
          </a:r>
          <a:r>
            <a:rPr lang="sv-SE" sz="1100" b="0" baseline="0">
              <a:solidFill>
                <a:sysClr val="windowText" lastClr="000000"/>
              </a:solidFill>
            </a:rPr>
            <a:t> energi från </a:t>
          </a:r>
          <a:r>
            <a:rPr lang="sv-SE" sz="1100" b="0">
              <a:solidFill>
                <a:sysClr val="windowText" lastClr="000000"/>
              </a:solidFill>
            </a:rPr>
            <a:t>solfångare, solceller, avloppsvärmeväxlare eller processvärme för byggnadens energianvändning</a:t>
          </a:r>
          <a:r>
            <a:rPr lang="sv-SE" sz="1100" b="0" baseline="0">
              <a:solidFill>
                <a:sysClr val="windowText" lastClr="000000"/>
              </a:solidFill>
            </a:rPr>
            <a:t> enligt BBR. Mätvärden ska redovisas separat för uppvärmning, tappvarmvatten, komfortkyla och fastighetsenergi. Även återvunnen avloppsenergi och processvärme redovisas separat. Antal och typ av energiproduktionssystem och återvinning väljs i rullgardinsmenyer.</a:t>
          </a:r>
        </a:p>
        <a:p>
          <a:pPr algn="l"/>
          <a:endParaRPr lang="sv-SE" sz="1100" b="0" baseline="0">
            <a:solidFill>
              <a:sysClr val="windowText" lastClr="000000"/>
            </a:solidFill>
          </a:endParaRPr>
        </a:p>
        <a:p>
          <a:pPr algn="l"/>
          <a:r>
            <a:rPr lang="sv-SE" sz="1100" b="0" baseline="0">
              <a:solidFill>
                <a:sysClr val="windowText" lastClr="000000"/>
              </a:solidFill>
            </a:rPr>
            <a:t>Information om vilken energi som kan tillgodoräknas byggnadens energianvändning enligt BBR har sammanställts i Svebys </a:t>
          </a:r>
          <a:r>
            <a:rPr lang="sv-SE" sz="1100" b="0" i="1" baseline="0">
              <a:solidFill>
                <a:sysClr val="windowText" lastClr="000000"/>
              </a:solidFill>
            </a:rPr>
            <a:t>Mätföreskrifter 2.0 </a:t>
          </a:r>
          <a:r>
            <a:rPr lang="sv-SE" sz="1100" b="0" i="0" baseline="0">
              <a:solidFill>
                <a:sysClr val="windowText" lastClr="000000"/>
              </a:solidFill>
            </a:rPr>
            <a:t>samt i </a:t>
          </a:r>
          <a:r>
            <a:rPr lang="sv-SE" sz="1100" b="0" i="1" baseline="0">
              <a:solidFill>
                <a:sysClr val="windowText" lastClr="000000"/>
              </a:solidFill>
            </a:rPr>
            <a:t>GreenBuildings mall för Mätplan </a:t>
          </a:r>
          <a:r>
            <a:rPr lang="sv-SE" sz="1100" b="0" baseline="0">
              <a:solidFill>
                <a:sysClr val="windowText" lastClr="000000"/>
              </a:solidFill>
            </a:rPr>
            <a:t>och i </a:t>
          </a:r>
          <a:r>
            <a:rPr lang="sv-SE" sz="1100" b="0" i="1" baseline="0">
              <a:solidFill>
                <a:sysClr val="windowText" lastClr="000000"/>
              </a:solidFill>
            </a:rPr>
            <a:t>GreenBuilding 8.0 NyByggnad </a:t>
          </a:r>
          <a:r>
            <a:rPr lang="sv-SE" sz="1100" b="0" baseline="0">
              <a:solidFill>
                <a:sysClr val="windowText" lastClr="000000"/>
              </a:solidFill>
            </a:rPr>
            <a:t>eller </a:t>
          </a:r>
          <a:r>
            <a:rPr lang="sv-SE" sz="1100" b="0" i="1" baseline="0">
              <a:solidFill>
                <a:sysClr val="windowText" lastClr="000000"/>
              </a:solidFill>
            </a:rPr>
            <a:t>Befintlig byggnad</a:t>
          </a:r>
          <a:r>
            <a:rPr lang="sv-SE" sz="1100" b="0" i="0" baseline="0">
              <a:solidFill>
                <a:sysClr val="windowText" lastClr="000000"/>
              </a:solidFill>
            </a:rPr>
            <a:t> manual</a:t>
          </a:r>
          <a:r>
            <a:rPr lang="sv-SE" sz="1100" b="0" baseline="0">
              <a:solidFill>
                <a:sysClr val="windowText" lastClr="000000"/>
              </a:solidFill>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Det ska</a:t>
          </a:r>
          <a:r>
            <a:rPr lang="sv-SE" sz="1100" b="0" baseline="0">
              <a:solidFill>
                <a:sysClr val="windowText" lastClr="000000"/>
              </a:solidFill>
            </a:rPr>
            <a:t> </a:t>
          </a:r>
          <a:r>
            <a:rPr lang="sv-SE" sz="1100" b="0">
              <a:solidFill>
                <a:sysClr val="windowText" lastClr="000000"/>
              </a:solidFill>
            </a:rPr>
            <a:t>noteras var energimätare för tillgodogjord egenproducerad</a:t>
          </a:r>
          <a:r>
            <a:rPr lang="sv-SE" sz="1100" b="0" baseline="0">
              <a:solidFill>
                <a:sysClr val="windowText" lastClr="000000"/>
              </a:solidFill>
            </a:rPr>
            <a:t> eller återvunnen energi installerats i förhållande till övriga energimätare </a:t>
          </a:r>
          <a:r>
            <a:rPr lang="sv-SE" sz="1100" b="0">
              <a:solidFill>
                <a:sysClr val="windowText" lastClr="000000"/>
              </a:solidFill>
            </a:rPr>
            <a:t>för mätning</a:t>
          </a:r>
          <a:r>
            <a:rPr lang="sv-SE" sz="1100" b="0" baseline="0">
              <a:solidFill>
                <a:sysClr val="windowText" lastClr="000000"/>
              </a:solidFill>
            </a:rPr>
            <a:t> av uppvärmning, tappvarmvatten, komfortkyla, fastighetsenergi.  Om sådan mätare installerats efter mätare för en specifik energipost (exempelvis om debiteringsmätare används) har den specifika energiposten redan tagit hänsyn till tillgodogjord energi och ska därmed inte dras av ytterligare från uppmätt energi. Valet görs från rullgardingsmenyn under "Placering av mätare".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ndParaRPr>
        </a:p>
      </xdr:txBody>
    </xdr:sp>
    <xdr:clientData/>
  </xdr:twoCellAnchor>
  <xdr:twoCellAnchor>
    <xdr:from>
      <xdr:col>5</xdr:col>
      <xdr:colOff>39424</xdr:colOff>
      <xdr:row>181</xdr:row>
      <xdr:rowOff>98690</xdr:rowOff>
    </xdr:from>
    <xdr:to>
      <xdr:col>12</xdr:col>
      <xdr:colOff>35717</xdr:colOff>
      <xdr:row>197</xdr:row>
      <xdr:rowOff>10584</xdr:rowOff>
    </xdr:to>
    <xdr:sp macro="" textlink="">
      <xdr:nvSpPr>
        <xdr:cNvPr id="12" name="Rektangel 15">
          <a:extLst>
            <a:ext uri="{FF2B5EF4-FFF2-40B4-BE49-F238E27FC236}">
              <a16:creationId xmlns:a16="http://schemas.microsoft.com/office/drawing/2014/main" id="{6FE6EF13-7CCC-488A-833B-8D442DBE94D3}"/>
            </a:ext>
          </a:extLst>
        </xdr:cNvPr>
        <xdr:cNvSpPr/>
      </xdr:nvSpPr>
      <xdr:spPr>
        <a:xfrm>
          <a:off x="7384257" y="38780773"/>
          <a:ext cx="7722127" cy="3245644"/>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Uppmätta inomhustemperatur under uppvärmningssäsongen</a:t>
          </a:r>
        </a:p>
        <a:p>
          <a:pPr algn="l"/>
          <a:r>
            <a:rPr lang="sv-SE" sz="1100" b="0">
              <a:solidFill>
                <a:sysClr val="windowText" lastClr="000000"/>
              </a:solidFill>
            </a:rPr>
            <a:t>För normalisering av mätvärden enligt Boverkets föreskrifter</a:t>
          </a:r>
          <a:r>
            <a:rPr lang="sv-SE" sz="1100" b="0" baseline="0">
              <a:solidFill>
                <a:sysClr val="windowText" lastClr="000000"/>
              </a:solidFill>
            </a:rPr>
            <a:t> </a:t>
          </a:r>
          <a:r>
            <a:rPr lang="sv-SE" sz="1100" b="0">
              <a:solidFill>
                <a:sysClr val="windowText" lastClr="000000"/>
              </a:solidFill>
            </a:rPr>
            <a:t>BEN behöver även representativa inomhustemperaturer mätas under uppvärmningssäsongen. Temperaturmätningar i verksamhetsutrymmen eller lägenheter ska representera minst 20 % av den tempererade</a:t>
          </a:r>
          <a:r>
            <a:rPr lang="sv-SE" sz="1100" b="0" baseline="0">
              <a:solidFill>
                <a:sysClr val="windowText" lastClr="000000"/>
              </a:solidFill>
            </a:rPr>
            <a:t> golvarean (Atemp) </a:t>
          </a:r>
          <a:r>
            <a:rPr lang="sv-SE" sz="1100" b="0">
              <a:solidFill>
                <a:sysClr val="windowText" lastClr="000000"/>
              </a:solidFill>
            </a:rPr>
            <a:t>och mätas med minst en givare per våningsplan. För lokalbyggnader finns alternativet</a:t>
          </a:r>
          <a:r>
            <a:rPr lang="sv-SE" sz="1100" b="0" baseline="0">
              <a:solidFill>
                <a:sysClr val="windowText" lastClr="000000"/>
              </a:solidFill>
            </a:rPr>
            <a:t> att</a:t>
          </a:r>
          <a:r>
            <a:rPr lang="sv-SE" sz="1100" b="0">
              <a:solidFill>
                <a:sysClr val="windowText" lastClr="000000"/>
              </a:solidFill>
            </a:rPr>
            <a:t> temperaturmätning istället utgörs</a:t>
          </a:r>
          <a:r>
            <a:rPr lang="sv-SE" sz="1100" b="0" baseline="0">
              <a:solidFill>
                <a:sysClr val="windowText" lastClr="000000"/>
              </a:solidFill>
            </a:rPr>
            <a:t> av en </a:t>
          </a:r>
          <a:r>
            <a:rPr lang="sv-SE" sz="1100" b="0">
              <a:solidFill>
                <a:sysClr val="windowText" lastClr="000000"/>
              </a:solidFill>
            </a:rPr>
            <a:t>kombination av temperaturmätning i frånluft under drifttid och några representativa temperaturgivare i verksamhetsutrymmen under övrig tid. </a:t>
          </a:r>
        </a:p>
        <a:p>
          <a:pPr algn="l"/>
          <a:endParaRPr lang="sv-SE" sz="1100" b="0">
            <a:solidFill>
              <a:sysClr val="windowText" lastClr="000000"/>
            </a:solidFill>
          </a:endParaRPr>
        </a:p>
        <a:p>
          <a:pPr algn="l"/>
          <a:r>
            <a:rPr lang="sv-SE" sz="1100" b="0">
              <a:solidFill>
                <a:sysClr val="windowText" lastClr="000000"/>
              </a:solidFill>
            </a:rPr>
            <a:t>Mätvärdena i tabellen till vänster</a:t>
          </a:r>
          <a:r>
            <a:rPr lang="sv-SE" sz="1100" b="0" baseline="0">
              <a:solidFill>
                <a:sysClr val="windowText" lastClr="000000"/>
              </a:solidFill>
            </a:rPr>
            <a:t> </a:t>
          </a:r>
          <a:r>
            <a:rPr lang="sv-SE" sz="1100" b="0">
              <a:solidFill>
                <a:sysClr val="windowText" lastClr="000000"/>
              </a:solidFill>
            </a:rPr>
            <a:t>ska anges som genomsnittliga</a:t>
          </a:r>
          <a:r>
            <a:rPr lang="sv-SE" sz="1100" b="0" baseline="0">
              <a:solidFill>
                <a:sysClr val="windowText" lastClr="000000"/>
              </a:solidFill>
            </a:rPr>
            <a:t> medelvärden under uppvärmningssäsong för respektive areaandel.  Upp till tre olika areaandelar kan specificeras. </a:t>
          </a:r>
        </a:p>
        <a:p>
          <a:pPr algn="l"/>
          <a:endParaRPr lang="sv-SE" sz="1100" b="0" baseline="0">
            <a:solidFill>
              <a:sysClr val="windowText" lastClr="000000"/>
            </a:solidFill>
          </a:endParaRPr>
        </a:p>
        <a:p>
          <a:pPr algn="l"/>
          <a:r>
            <a:rPr lang="sv-SE" sz="1100" b="0" baseline="0">
              <a:solidFill>
                <a:sysClr val="windowText" lastClr="000000"/>
              </a:solidFill>
            </a:rPr>
            <a:t>En officiell definition av uppvärmningssäsongens längd saknas för närvarande. För schablonmetoden enligt BEN, kan mätvärden från månader utan betydande soltillskott, t.ex. perioden november till och med februari, användas. Användaren kan också specifiera en annan uppvärmningssäsong. Uppvärmningssäsongens start och slut ska anges separat. </a:t>
          </a:r>
        </a:p>
        <a:p>
          <a:pPr algn="l"/>
          <a:endParaRPr lang="sv-SE" sz="1100" b="0" baseline="0">
            <a:solidFill>
              <a:sysClr val="windowText" lastClr="000000"/>
            </a:solidFill>
          </a:endParaRPr>
        </a:p>
        <a:p>
          <a:pPr algn="l"/>
          <a:r>
            <a:rPr lang="sv-SE" sz="1100" b="0" baseline="0">
              <a:solidFill>
                <a:sysClr val="windowText" lastClr="000000"/>
              </a:solidFill>
            </a:rPr>
            <a:t>OBS! Om inomhustemperaturen avviker på grund av ”installationstekniska brister”, ska normalisering med avseende på inomhustemperatur inte utföras. I sådana fall ska indatatabellen lämnas tom. Dock ska uppvärmningssäsongens start och slut anges för normalisering av energianvändning på grund av avvikelser i internlaster. </a:t>
          </a:r>
        </a:p>
        <a:p>
          <a:pPr algn="l"/>
          <a:endParaRPr lang="sv-SE" sz="1100" b="0" baseline="0">
            <a:solidFill>
              <a:sysClr val="windowText" lastClr="000000"/>
            </a:solidFill>
          </a:endParaRPr>
        </a:p>
        <a:p>
          <a:pPr algn="l"/>
          <a:endParaRPr lang="sv-SE" sz="1100" b="0">
            <a:solidFill>
              <a:sysClr val="windowText" lastClr="000000"/>
            </a:solidFill>
          </a:endParaRPr>
        </a:p>
      </xdr:txBody>
    </xdr:sp>
    <xdr:clientData/>
  </xdr:twoCellAnchor>
  <xdr:twoCellAnchor>
    <xdr:from>
      <xdr:col>1</xdr:col>
      <xdr:colOff>198701</xdr:colOff>
      <xdr:row>160</xdr:row>
      <xdr:rowOff>166686</xdr:rowOff>
    </xdr:from>
    <xdr:to>
      <xdr:col>3</xdr:col>
      <xdr:colOff>3417093</xdr:colOff>
      <xdr:row>171</xdr:row>
      <xdr:rowOff>148165</xdr:rowOff>
    </xdr:to>
    <xdr:sp macro="" textlink="">
      <xdr:nvSpPr>
        <xdr:cNvPr id="14" name="Rektangel 15">
          <a:extLst>
            <a:ext uri="{FF2B5EF4-FFF2-40B4-BE49-F238E27FC236}">
              <a16:creationId xmlns:a16="http://schemas.microsoft.com/office/drawing/2014/main" id="{B5750DA8-901A-42F8-A499-370BF44E9860}"/>
            </a:ext>
          </a:extLst>
        </xdr:cNvPr>
        <xdr:cNvSpPr/>
      </xdr:nvSpPr>
      <xdr:spPr>
        <a:xfrm>
          <a:off x="442118" y="34499019"/>
          <a:ext cx="6689725" cy="230981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verksamhetsenergi</a:t>
          </a:r>
          <a:r>
            <a:rPr lang="sv-SE" sz="1200" b="1" baseline="0">
              <a:solidFill>
                <a:sysClr val="windowText" lastClr="000000"/>
              </a:solidFill>
            </a:rPr>
            <a:t> eller hushållsenergi</a:t>
          </a:r>
          <a:endParaRPr lang="sv-SE" sz="1200" b="1">
            <a:solidFill>
              <a:sysClr val="windowText" lastClr="000000"/>
            </a:solidFill>
          </a:endParaRPr>
        </a:p>
        <a:p>
          <a:pPr algn="l"/>
          <a:r>
            <a:rPr lang="sv-SE" sz="1100" b="0">
              <a:solidFill>
                <a:sysClr val="windowText" lastClr="000000"/>
              </a:solidFill>
            </a:rPr>
            <a:t>Ange uppmätt verksamhetsenergi eller hushållsenergi.</a:t>
          </a:r>
          <a:r>
            <a:rPr lang="sv-SE" sz="1100" b="0" baseline="0">
              <a:solidFill>
                <a:sysClr val="windowText" lastClr="000000"/>
              </a:solidFill>
            </a:rPr>
            <a:t> </a:t>
          </a:r>
          <a:r>
            <a:rPr lang="sv-SE" sz="1100" b="0">
              <a:solidFill>
                <a:sysClr val="windowText" lastClr="000000"/>
              </a:solidFill>
            </a:rPr>
            <a:t>Verksamhetsenergi eller hushållsenergi är oftast el men om verksamhets- eller hushållsapparater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ska ingå i hushållsenergi  (t.ex.</a:t>
          </a:r>
          <a:r>
            <a:rPr lang="sv-SE" sz="1100" b="0" baseline="0">
              <a:solidFill>
                <a:sysClr val="windowText" lastClr="000000"/>
              </a:solidFill>
            </a:rPr>
            <a:t> tvättstugor) </a:t>
          </a:r>
          <a:r>
            <a:rPr lang="sv-SE" sz="1100" b="0">
              <a:solidFill>
                <a:sysClr val="windowText" lastClr="000000"/>
              </a:solidFill>
            </a:rPr>
            <a:t>och vad som bör tas bort (t.ex. elgolvvärme). Förtydliganden gällande gränsdragning finns i Boverkets gränsdragningslista (länken</a:t>
          </a:r>
          <a:r>
            <a:rPr lang="sv-SE" sz="1100" b="0" baseline="0">
              <a:solidFill>
                <a:sysClr val="windowText" lastClr="000000"/>
              </a:solidFill>
            </a:rPr>
            <a:t> finns i </a:t>
          </a:r>
          <a:r>
            <a:rPr lang="sv-SE" sz="1100" b="0" i="1">
              <a:solidFill>
                <a:sysClr val="windowText" lastClr="000000"/>
              </a:solidFill>
            </a:rPr>
            <a:t>Referenser och källor</a:t>
          </a:r>
          <a:r>
            <a:rPr lang="sv-SE" sz="1100" b="0" i="1" baseline="0">
              <a:solidFill>
                <a:sysClr val="windowText" lastClr="000000"/>
              </a:solidFill>
            </a:rPr>
            <a:t> </a:t>
          </a:r>
          <a:r>
            <a:rPr lang="sv-SE" sz="1100" b="0" baseline="0">
              <a:solidFill>
                <a:sysClr val="windowText" lastClr="000000"/>
              </a:solidFill>
            </a:rPr>
            <a:t>i manualerna </a:t>
          </a:r>
          <a:r>
            <a:rPr lang="sv-SE" sz="1100" b="0" i="1" baseline="0">
              <a:solidFill>
                <a:sysClr val="windowText" lastClr="000000"/>
              </a:solidFill>
            </a:rPr>
            <a:t>GreenBuilding 8.0 Ny Byggnad </a:t>
          </a:r>
          <a:r>
            <a:rPr lang="sv-SE" sz="1100" b="0" baseline="0">
              <a:solidFill>
                <a:sysClr val="windowText" lastClr="000000"/>
              </a:solidFill>
            </a:rPr>
            <a:t>eller </a:t>
          </a:r>
          <a:r>
            <a:rPr lang="sv-SE" sz="1100" b="0" i="1" baseline="0">
              <a:solidFill>
                <a:sysClr val="windowText" lastClr="000000"/>
              </a:solidFill>
            </a:rPr>
            <a:t>GreenBuilding 8.0  Befintlig Byggnad).</a:t>
          </a:r>
        </a:p>
        <a:p>
          <a:pPr algn="l"/>
          <a:r>
            <a:rPr lang="sv-SE" sz="1100" b="0" baseline="0">
              <a:solidFill>
                <a:sysClr val="windowText" lastClr="000000"/>
              </a:solidFill>
            </a:rPr>
            <a:t> </a:t>
          </a:r>
          <a:endParaRPr lang="sv-SE" sz="1100" b="0">
            <a:solidFill>
              <a:sysClr val="windowText" lastClr="000000"/>
            </a:solidFill>
          </a:endParaRPr>
        </a:p>
        <a:p>
          <a:pPr algn="l"/>
          <a:r>
            <a:rPr lang="sv-SE" sz="1100" b="0">
              <a:solidFill>
                <a:sysClr val="windowText" lastClr="000000"/>
              </a:solidFill>
            </a:rPr>
            <a:t>Detta </a:t>
          </a:r>
          <a:r>
            <a:rPr lang="sv-SE" sz="1100" b="0" baseline="0">
              <a:solidFill>
                <a:sysClr val="windowText" lastClr="000000"/>
              </a:solidFill>
            </a:rPr>
            <a:t>verktyget kan användas för normalisering av energianvändningen orsakad av avvikelser i internlaster i bostäder. Motsvarande korrigering för lokaler behöver göras med så kallad dynamisk energiberäkning. </a:t>
          </a:r>
        </a:p>
      </xdr:txBody>
    </xdr:sp>
    <xdr:clientData/>
  </xdr:twoCellAnchor>
  <xdr:twoCellAnchor>
    <xdr:from>
      <xdr:col>3</xdr:col>
      <xdr:colOff>3397250</xdr:colOff>
      <xdr:row>0</xdr:row>
      <xdr:rowOff>156104</xdr:rowOff>
    </xdr:from>
    <xdr:to>
      <xdr:col>12</xdr:col>
      <xdr:colOff>190501</xdr:colOff>
      <xdr:row>9</xdr:row>
      <xdr:rowOff>31749</xdr:rowOff>
    </xdr:to>
    <xdr:sp macro="" textlink="">
      <xdr:nvSpPr>
        <xdr:cNvPr id="16" name="Rektangel 15">
          <a:extLst>
            <a:ext uri="{FF2B5EF4-FFF2-40B4-BE49-F238E27FC236}">
              <a16:creationId xmlns:a16="http://schemas.microsoft.com/office/drawing/2014/main" id="{7BA25CAA-A68B-4884-9BAC-CBC03F4F25E8}"/>
            </a:ext>
          </a:extLst>
        </xdr:cNvPr>
        <xdr:cNvSpPr/>
      </xdr:nvSpPr>
      <xdr:spPr>
        <a:xfrm>
          <a:off x="7112000" y="156104"/>
          <a:ext cx="8149168" cy="2256895"/>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ska uppmätt energi för uppvärmning, tappvarmvatten, komfortkyla, fastighetsenergi och hushållsenergi specificeras separat för respektive energipost för en sammanhängande 12-månadersperiod. Mätvärdena behöver anges separat för respektive energibärare (energikälla), exempelvis el, fjärrvärme, biobränsle, gas, osv.  </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Mätdata som behövs för att normalisera och beräkna en byggnadens energiprestanda baseras på mätanvisningar som finns i </a:t>
          </a:r>
          <a:r>
            <a:rPr lang="sv-SE" sz="1200" b="0" i="1" baseline="0">
              <a:solidFill>
                <a:sysClr val="windowText" lastClr="000000"/>
              </a:solidFill>
              <a:latin typeface="+mn-lt"/>
              <a:ea typeface="+mn-ea"/>
              <a:cs typeface="+mn-cs"/>
            </a:rPr>
            <a:t>G</a:t>
          </a:r>
          <a:r>
            <a:rPr lang="sv-SE" sz="1200" b="0" i="1" u="none" baseline="0">
              <a:solidFill>
                <a:sysClr val="windowText" lastClr="000000"/>
              </a:solidFill>
              <a:latin typeface="+mn-lt"/>
              <a:ea typeface="+mn-ea"/>
              <a:cs typeface="+mn-cs"/>
            </a:rPr>
            <a:t>reenBuilding mall för Mätplan, </a:t>
          </a:r>
          <a:r>
            <a:rPr lang="sv-SE" sz="1200" b="0" i="0" u="none" baseline="0">
              <a:solidFill>
                <a:sysClr val="windowText" lastClr="000000"/>
              </a:solidFill>
              <a:latin typeface="+mn-lt"/>
              <a:ea typeface="+mn-ea"/>
              <a:cs typeface="+mn-cs"/>
            </a:rPr>
            <a:t>vilken grundas </a:t>
          </a:r>
          <a:r>
            <a:rPr lang="sv-SE" sz="1200" b="0" baseline="0">
              <a:solidFill>
                <a:sysClr val="windowText" lastClr="000000"/>
              </a:solidFill>
              <a:latin typeface="+mn-lt"/>
              <a:ea typeface="+mn-ea"/>
              <a:cs typeface="+mn-cs"/>
            </a:rPr>
            <a:t>på Svebys ”</a:t>
          </a:r>
          <a:r>
            <a:rPr lang="sv-SE" sz="1200" b="0" i="1" baseline="0">
              <a:solidFill>
                <a:sysClr val="windowText" lastClr="000000"/>
              </a:solidFill>
              <a:latin typeface="+mn-lt"/>
              <a:ea typeface="+mn-ea"/>
              <a:cs typeface="+mn-cs"/>
            </a:rPr>
            <a:t>Mätanvisningar version 2.0”. </a:t>
          </a:r>
          <a:r>
            <a:rPr lang="sv-SE" sz="1200" b="0" baseline="0">
              <a:solidFill>
                <a:sysClr val="windowText" lastClr="000000"/>
              </a:solidFill>
              <a:latin typeface="+mn-lt"/>
              <a:ea typeface="+mn-ea"/>
              <a:cs typeface="+mn-cs"/>
            </a:rPr>
            <a:t>Tänk på att mätuppgifter vid behov bearbetas före normalisering av mätvärden. Mer information om hantering av mätdata finns i Svebys "</a:t>
          </a:r>
          <a:r>
            <a:rPr lang="sv-SE" sz="1200" b="0" i="1" baseline="0">
              <a:solidFill>
                <a:sysClr val="windowText" lastClr="000000"/>
              </a:solidFill>
              <a:latin typeface="+mn-lt"/>
              <a:ea typeface="+mn-ea"/>
              <a:cs typeface="+mn-cs"/>
            </a:rPr>
            <a:t>Verifieringsanvisningar version 2.0" </a:t>
          </a:r>
          <a:r>
            <a:rPr lang="sv-SE" sz="1200" b="0" baseline="0">
              <a:solidFill>
                <a:sysClr val="windowText" lastClr="000000"/>
              </a:solidFill>
              <a:latin typeface="+mn-lt"/>
              <a:ea typeface="+mn-ea"/>
              <a:cs typeface="+mn-cs"/>
            </a:rPr>
            <a:t>och i manualerna </a:t>
          </a:r>
          <a:r>
            <a:rPr lang="sv-SE" sz="1200" b="0" i="1" baseline="0">
              <a:solidFill>
                <a:sysClr val="windowText" lastClr="000000"/>
              </a:solidFill>
              <a:latin typeface="+mn-lt"/>
              <a:ea typeface="+mn-ea"/>
              <a:cs typeface="+mn-cs"/>
            </a:rPr>
            <a:t>GreenBuilding 8.0 Ny Byggnad </a:t>
          </a:r>
          <a:r>
            <a:rPr lang="sv-SE" sz="1200" b="0" baseline="0">
              <a:solidFill>
                <a:sysClr val="windowText" lastClr="000000"/>
              </a:solidFill>
              <a:latin typeface="+mn-lt"/>
              <a:ea typeface="+mn-ea"/>
              <a:cs typeface="+mn-cs"/>
            </a:rPr>
            <a:t>eller </a:t>
          </a:r>
          <a:r>
            <a:rPr lang="sv-SE" sz="1200" b="0" i="1" baseline="0">
              <a:solidFill>
                <a:sysClr val="windowText" lastClr="000000"/>
              </a:solidFill>
              <a:latin typeface="+mn-lt"/>
              <a:ea typeface="+mn-ea"/>
              <a:cs typeface="+mn-cs"/>
            </a:rPr>
            <a:t>GreenBuilding 8.0  Befintlig Byggnad</a:t>
          </a:r>
          <a:r>
            <a:rPr lang="sv-SE" sz="1200" b="0" baseline="0">
              <a:solidFill>
                <a:sysClr val="windowText" lastClr="000000"/>
              </a:solidFill>
              <a:latin typeface="+mn-lt"/>
              <a:ea typeface="+mn-ea"/>
              <a:cs typeface="+mn-cs"/>
            </a:rPr>
            <a:t>.</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OBS! Endast gröna celler fylls i. Gråa celler beräknas eller länkas automatiskt. Under varje energipost finns också förklarande text. Hjälptexter finns även vid gröna rutor där indata matas in. </a:t>
          </a: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chemeClr val="tx1"/>
            </a:solidFill>
            <a:effectLst/>
            <a:latin typeface="+mn-lt"/>
            <a:ea typeface="+mn-ea"/>
            <a:cs typeface="+mn-cs"/>
          </a:endParaRPr>
        </a:p>
        <a:p>
          <a:pPr marL="0" indent="0" algn="l"/>
          <a:endParaRPr lang="sv-SE" sz="1050" b="0" baseline="0">
            <a:solidFill>
              <a:schemeClr val="tx1"/>
            </a:solidFill>
            <a:latin typeface="+mn-lt"/>
            <a:ea typeface="+mn-ea"/>
            <a:cs typeface="+mn-cs"/>
          </a:endParaRPr>
        </a:p>
      </xdr:txBody>
    </xdr:sp>
    <xdr:clientData/>
  </xdr:twoCellAnchor>
  <xdr:twoCellAnchor editAs="oneCell">
    <xdr:from>
      <xdr:col>2</xdr:col>
      <xdr:colOff>281780</xdr:colOff>
      <xdr:row>0</xdr:row>
      <xdr:rowOff>253999</xdr:rowOff>
    </xdr:from>
    <xdr:to>
      <xdr:col>2</xdr:col>
      <xdr:colOff>1759160</xdr:colOff>
      <xdr:row>6</xdr:row>
      <xdr:rowOff>137581</xdr:rowOff>
    </xdr:to>
    <xdr:pic>
      <xdr:nvPicPr>
        <xdr:cNvPr id="15" name="Bildobjekt 2">
          <a:extLst>
            <a:ext uri="{FF2B5EF4-FFF2-40B4-BE49-F238E27FC236}">
              <a16:creationId xmlns:a16="http://schemas.microsoft.com/office/drawing/2014/main" id="{AF2BDBDF-E169-452A-B52D-C2E9531E7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6863" y="253999"/>
          <a:ext cx="1477380" cy="1428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xdr:colOff>
      <xdr:row>19</xdr:row>
      <xdr:rowOff>152401</xdr:rowOff>
    </xdr:from>
    <xdr:to>
      <xdr:col>4</xdr:col>
      <xdr:colOff>2</xdr:colOff>
      <xdr:row>32</xdr:row>
      <xdr:rowOff>31750</xdr:rowOff>
    </xdr:to>
    <xdr:sp macro="" textlink="">
      <xdr:nvSpPr>
        <xdr:cNvPr id="2" name="Rektangel 15">
          <a:extLst>
            <a:ext uri="{FF2B5EF4-FFF2-40B4-BE49-F238E27FC236}">
              <a16:creationId xmlns:a16="http://schemas.microsoft.com/office/drawing/2014/main" id="{3718636F-515D-401C-BFAE-8DFFE76585F1}"/>
            </a:ext>
          </a:extLst>
        </xdr:cNvPr>
        <xdr:cNvSpPr/>
      </xdr:nvSpPr>
      <xdr:spPr>
        <a:xfrm>
          <a:off x="457201" y="4562476"/>
          <a:ext cx="6686551" cy="2603499"/>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uppvärmning</a:t>
          </a:r>
        </a:p>
        <a:p>
          <a:pPr algn="l"/>
          <a:r>
            <a:rPr lang="sv-SE" sz="1100" b="0">
              <a:solidFill>
                <a:sysClr val="windowText" lastClr="000000"/>
              </a:solidFill>
            </a:rPr>
            <a:t>Ange uppmätt energianvändning för uppvärmning separat för </a:t>
          </a:r>
          <a:r>
            <a:rPr lang="sv-SE" sz="1100" b="0" baseline="0">
              <a:solidFill>
                <a:sysClr val="windowText" lastClr="000000"/>
              </a:solidFill>
            </a:rPr>
            <a:t>respektive energibärare (värmekälla). Värden kan anges för upp till 3 olika värmekällor (värmeproduktionssystem). Antal och typ av värmekällor väljs i rullgardinsmenyer ovan. Mätvärdena skall bara motsvara den energi som används för uppvärmning av byggnaden, dvs. exklusive tappvattenvärmning.  Inmatade mätvärden för uppvärmning ska också exkludera elgolvvärme i badrum och återvunnen processenergi i byggnaden. Dessa energiposter ska mätas separat och redovisas i separata tabeller nedan.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levereras till byggnaden så kallad köpt energi eller hur mycket energi som produceras av energiproduktionssystemet. Detta ska anges under "Mätpunkt för mätning" genom val i rullgardinsmenyn. Även årsverkningsgrad för produktion av energi ska anges för vissa energiposter. Informationen används för beräkning av levererad energi om mätdata anges som producerad energi och för normalisering av energianvändningen. Om det inte går att få fram uppgifter om årsverkningsgraden kan schablonvärden användas som baseras på tabell 3:2 i Boverkets föreskrifter BFS 2017:6 BEN 2. </a:t>
          </a:r>
        </a:p>
        <a:p>
          <a:pPr algn="l"/>
          <a:endParaRPr lang="sv-SE" sz="1200" b="1">
            <a:solidFill>
              <a:sysClr val="windowText" lastClr="000000"/>
            </a:solidFill>
          </a:endParaRPr>
        </a:p>
      </xdr:txBody>
    </xdr:sp>
    <xdr:clientData/>
  </xdr:twoCellAnchor>
  <xdr:twoCellAnchor>
    <xdr:from>
      <xdr:col>2</xdr:col>
      <xdr:colOff>23813</xdr:colOff>
      <xdr:row>47</xdr:row>
      <xdr:rowOff>132290</xdr:rowOff>
    </xdr:from>
    <xdr:to>
      <xdr:col>4</xdr:col>
      <xdr:colOff>1</xdr:colOff>
      <xdr:row>65</xdr:row>
      <xdr:rowOff>35718</xdr:rowOff>
    </xdr:to>
    <xdr:sp macro="" textlink="">
      <xdr:nvSpPr>
        <xdr:cNvPr id="3" name="Rektangel 15">
          <a:extLst>
            <a:ext uri="{FF2B5EF4-FFF2-40B4-BE49-F238E27FC236}">
              <a16:creationId xmlns:a16="http://schemas.microsoft.com/office/drawing/2014/main" id="{B114C57C-2A18-40DF-9481-D90D3D6E6D21}"/>
            </a:ext>
          </a:extLst>
        </xdr:cNvPr>
        <xdr:cNvSpPr/>
      </xdr:nvSpPr>
      <xdr:spPr>
        <a:xfrm>
          <a:off x="481013" y="10409765"/>
          <a:ext cx="6662738" cy="372295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tappvarmvatten</a:t>
          </a:r>
        </a:p>
        <a:p>
          <a:pPr algn="l"/>
          <a:r>
            <a:rPr lang="sv-SE" sz="1100" b="0">
              <a:solidFill>
                <a:sysClr val="windowText" lastClr="000000"/>
              </a:solidFill>
            </a:rPr>
            <a:t>Ange uppmätt energianvändning för tappvarmvatten separat för respektive energibärare (värmekälla). Värden kan anges för upp till 3 olika värmekällor (värmeproduktionssystem). Antal och typ av värmekällor väljs i rullgardinsmenyer ovan. </a:t>
          </a:r>
        </a:p>
        <a:p>
          <a:pPr algn="l"/>
          <a:endParaRPr lang="sv-SE" sz="1100" b="0">
            <a:solidFill>
              <a:sysClr val="windowText" lastClr="000000"/>
            </a:solidFill>
          </a:endParaRPr>
        </a:p>
        <a:p>
          <a:pPr algn="l"/>
          <a:r>
            <a:rPr lang="sv-SE" sz="1100" b="0">
              <a:solidFill>
                <a:sysClr val="windowText" lastClr="000000"/>
              </a:solidFill>
            </a:rPr>
            <a:t>Beroende på mätarnas placering mäter de antigen hur mycket energi som produceras, eller levereras till värmekällan (så kallad köpt energi). Detta ska anges under "Mätpunkt för mätning" genom val i rullgardinsmenyn. Även årsverkningsgrad för produktion av tappvarmvatten ska specificeras. Informationen används för automatisk beräkning levererad energi från producerad energi och för normalisering av energianvändningen. Om det inte går att få fram uppgifter om årsverkningsgraden kan värden enligt tabell 3:2 i Boverkets föreskrifter BFS 2017:6 BEN 2 användas</a:t>
          </a:r>
        </a:p>
        <a:p>
          <a:pPr algn="l"/>
          <a:endParaRPr lang="sv-SE" sz="1100" b="0">
            <a:solidFill>
              <a:sysClr val="windowText" lastClr="000000"/>
            </a:solidFill>
          </a:endParaRPr>
        </a:p>
        <a:p>
          <a:pPr algn="l"/>
          <a:r>
            <a:rPr lang="sv-SE" sz="1100" b="0">
              <a:solidFill>
                <a:sysClr val="windowText" lastClr="000000"/>
              </a:solidFill>
            </a:rPr>
            <a:t>Förluster för varmvattencirkulation (VVC) ska kunna mätas separat. Dock är det inte ovanligt att de inkluderas i energin för tappvarmvatten eller energin för uppvärmning. Detta skall i så fall specificeras under "Mätning av VVC förluster" ovan. Om VVC-förluster mäts separat ska tabeller för förluster för varmvattencirkulation (VVC-förluster) fyllas i för att detta ska kunna tas hänsyn till vid normalårskorrigering.</a:t>
          </a:r>
        </a:p>
        <a:p>
          <a:pPr algn="l"/>
          <a:endParaRPr lang="sv-SE" sz="11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OBS!</a:t>
          </a:r>
          <a:r>
            <a:rPr lang="sv-SE" sz="1100" b="0" baseline="0">
              <a:solidFill>
                <a:sysClr val="windowText" lastClr="000000"/>
              </a:solidFill>
            </a:rPr>
            <a:t> I</a:t>
          </a:r>
          <a:r>
            <a:rPr lang="sv-SE" sz="1100" b="0">
              <a:solidFill>
                <a:sysClr val="windowText" lastClr="000000"/>
              </a:solidFill>
            </a:rPr>
            <a:t> befintliga</a:t>
          </a:r>
          <a:r>
            <a:rPr lang="sv-SE" sz="1100" b="0" baseline="0">
              <a:solidFill>
                <a:sysClr val="windowText" lastClr="000000"/>
              </a:solidFill>
            </a:rPr>
            <a:t> byggnader kan energi för tappvattenvärmning </a:t>
          </a:r>
          <a:r>
            <a:rPr lang="sv-SE" sz="1100" b="0">
              <a:solidFill>
                <a:sysClr val="windowText" lastClr="000000"/>
              </a:solidFill>
            </a:rPr>
            <a:t>baseras på uppmätt tappvarmvattenvolym alternativt kallvattenvolym, om det inte går att installera energimätare för tappvarmvatten. Energianvändningen ska</a:t>
          </a:r>
          <a:r>
            <a:rPr lang="sv-SE" sz="1100" b="0" baseline="0">
              <a:solidFill>
                <a:sysClr val="windowText" lastClr="000000"/>
              </a:solidFill>
            </a:rPr>
            <a:t> beräknas med hjälp av ekvationen enligt Boverkets föreskrifter BFS 2017:6 BEN 2. Resultatet matas in i tabellen. </a:t>
          </a:r>
          <a:endParaRPr lang="sv-SE" sz="1200" b="1">
            <a:solidFill>
              <a:sysClr val="windowText" lastClr="000000"/>
            </a:solidFill>
          </a:endParaRPr>
        </a:p>
      </xdr:txBody>
    </xdr:sp>
    <xdr:clientData/>
  </xdr:twoCellAnchor>
  <xdr:twoCellAnchor>
    <xdr:from>
      <xdr:col>1</xdr:col>
      <xdr:colOff>211932</xdr:colOff>
      <xdr:row>86</xdr:row>
      <xdr:rowOff>11904</xdr:rowOff>
    </xdr:from>
    <xdr:to>
      <xdr:col>4</xdr:col>
      <xdr:colOff>11907</xdr:colOff>
      <xdr:row>93</xdr:row>
      <xdr:rowOff>171979</xdr:rowOff>
    </xdr:to>
    <xdr:sp macro="" textlink="">
      <xdr:nvSpPr>
        <xdr:cNvPr id="4" name="Rektangel 15">
          <a:extLst>
            <a:ext uri="{FF2B5EF4-FFF2-40B4-BE49-F238E27FC236}">
              <a16:creationId xmlns:a16="http://schemas.microsoft.com/office/drawing/2014/main" id="{47ADB75F-1B69-42EF-BD90-9E23081E88D6}"/>
            </a:ext>
          </a:extLst>
        </xdr:cNvPr>
        <xdr:cNvSpPr/>
      </xdr:nvSpPr>
      <xdr:spPr>
        <a:xfrm>
          <a:off x="459582" y="18509454"/>
          <a:ext cx="6696075" cy="1626925"/>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komfortkyla</a:t>
          </a:r>
        </a:p>
        <a:p>
          <a:pPr algn="l"/>
          <a:r>
            <a:rPr lang="sv-SE" sz="1100" b="0">
              <a:solidFill>
                <a:sysClr val="windowText" lastClr="000000"/>
              </a:solidFill>
            </a:rPr>
            <a:t>Ange uppmätt energianvändning för komfortkyla exkl processkyla/verksamhetskyla. Mätvärden</a:t>
          </a:r>
          <a:r>
            <a:rPr lang="sv-SE" sz="1100" b="0" baseline="0">
              <a:solidFill>
                <a:sysClr val="windowText" lastClr="000000"/>
              </a:solidFill>
            </a:rPr>
            <a:t> </a:t>
          </a:r>
          <a:r>
            <a:rPr lang="sv-SE" sz="1100" b="0">
              <a:solidFill>
                <a:sysClr val="windowText" lastClr="000000"/>
              </a:solidFill>
            </a:rPr>
            <a:t>fördelas separat för respektive energibärare som levererar kyla till byggnaden. Antal och typ av kylproduktionssystem väljs</a:t>
          </a:r>
          <a:r>
            <a:rPr lang="sv-SE" sz="1100" b="0" baseline="0">
              <a:solidFill>
                <a:sysClr val="windowText" lastClr="000000"/>
              </a:solidFill>
            </a:rPr>
            <a:t> i rullgardinsmenyer ovan. </a:t>
          </a:r>
        </a:p>
        <a:p>
          <a:pPr algn="l"/>
          <a:endParaRPr lang="sv-SE" sz="1100" b="0" baseline="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baseline="0">
              <a:solidFill>
                <a:sysClr val="windowText" lastClr="000000"/>
              </a:solidFill>
            </a:rPr>
            <a:t>Beroende på mätarnas placering mäter de antigen hur mycket energi som produceras, eller hur mycket som levereras (så kallad köpt energi). Detta ska anges med hjälp av rullgardinsmenyn under "Mätpunkt för mätning" . Även årsverkningsgraden för produktion av komfortkyla ska anges om mätvärdena avser producerad energi.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200" b="1">
            <a:solidFill>
              <a:sysClr val="windowText" lastClr="000000"/>
            </a:solidFill>
          </a:endParaRPr>
        </a:p>
      </xdr:txBody>
    </xdr:sp>
    <xdr:clientData/>
  </xdr:twoCellAnchor>
  <xdr:twoCellAnchor>
    <xdr:from>
      <xdr:col>1</xdr:col>
      <xdr:colOff>137848</xdr:colOff>
      <xdr:row>114</xdr:row>
      <xdr:rowOff>72760</xdr:rowOff>
    </xdr:from>
    <xdr:to>
      <xdr:col>4</xdr:col>
      <xdr:colOff>10584</xdr:colOff>
      <xdr:row>124</xdr:row>
      <xdr:rowOff>104511</xdr:rowOff>
    </xdr:to>
    <xdr:sp macro="" textlink="">
      <xdr:nvSpPr>
        <xdr:cNvPr id="5" name="Rektangel 15">
          <a:extLst>
            <a:ext uri="{FF2B5EF4-FFF2-40B4-BE49-F238E27FC236}">
              <a16:creationId xmlns:a16="http://schemas.microsoft.com/office/drawing/2014/main" id="{0DD1EC32-D0F3-4752-B31B-0296C33A4A74}"/>
            </a:ext>
          </a:extLst>
        </xdr:cNvPr>
        <xdr:cNvSpPr/>
      </xdr:nvSpPr>
      <xdr:spPr>
        <a:xfrm>
          <a:off x="385498" y="24437710"/>
          <a:ext cx="6768836" cy="2127251"/>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fastighetsenergi</a:t>
          </a:r>
        </a:p>
        <a:p>
          <a:pPr algn="l"/>
          <a:r>
            <a:rPr lang="sv-SE" sz="1100" b="0">
              <a:solidFill>
                <a:sysClr val="windowText" lastClr="000000"/>
              </a:solidFill>
            </a:rPr>
            <a:t>Ange </a:t>
          </a:r>
          <a:r>
            <a:rPr lang="sv-SE" sz="1100" b="0" baseline="0">
              <a:solidFill>
                <a:sysClr val="windowText" lastClr="000000"/>
              </a:solidFill>
            </a:rPr>
            <a:t>uppmätt </a:t>
          </a:r>
          <a:r>
            <a:rPr lang="sv-SE" sz="1100" b="0">
              <a:solidFill>
                <a:sysClr val="windowText" lastClr="000000"/>
              </a:solidFill>
            </a:rPr>
            <a:t>fastighetsenergi enligt BBR. </a:t>
          </a:r>
          <a:r>
            <a:rPr lang="sv-SE" sz="1100" b="0" baseline="0">
              <a:solidFill>
                <a:sysClr val="windowText" lastClr="000000"/>
              </a:solidFill>
            </a:rPr>
            <a:t>Fastighetsenergi är </a:t>
          </a:r>
          <a:r>
            <a:rPr lang="sv-SE" sz="1100" b="0">
              <a:solidFill>
                <a:sysClr val="windowText" lastClr="000000"/>
              </a:solidFill>
            </a:rPr>
            <a:t>oftast el men om apparater knutna till fastighetsens drift</a:t>
          </a:r>
          <a:r>
            <a:rPr lang="sv-SE" sz="1100" b="0" baseline="0">
              <a:solidFill>
                <a:sysClr val="windowText" lastClr="000000"/>
              </a:solidFill>
            </a:rPr>
            <a:t> </a:t>
          </a:r>
          <a:r>
            <a:rPr lang="sv-SE" sz="1100" b="0">
              <a:solidFill>
                <a:sysClr val="windowText" lastClr="000000"/>
              </a:solidFill>
            </a:rPr>
            <a:t>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faktiskt</a:t>
          </a:r>
          <a:r>
            <a:rPr lang="sv-SE" sz="1100" b="0" baseline="0">
              <a:solidFill>
                <a:sysClr val="windowText" lastClr="000000"/>
              </a:solidFill>
            </a:rPr>
            <a:t> </a:t>
          </a:r>
          <a:r>
            <a:rPr lang="sv-SE" sz="1100" b="0">
              <a:solidFill>
                <a:sysClr val="windowText" lastClr="000000"/>
              </a:solidFill>
            </a:rPr>
            <a:t>ingår i fastighetsenergi enligt BBR och vad som bör tas bort, så som utvändig elanvändning på tomtmark. Förtydliganden om gränsdragning finns i Boverkets gränsdragningslista (länken finns i </a:t>
          </a:r>
          <a:r>
            <a:rPr lang="sv-SE" sz="1100" b="0" i="1">
              <a:solidFill>
                <a:sysClr val="windowText" lastClr="000000"/>
              </a:solidFill>
            </a:rPr>
            <a:t>Referenser och källor </a:t>
          </a:r>
          <a:r>
            <a:rPr lang="sv-SE" sz="1100" b="0">
              <a:solidFill>
                <a:sysClr val="windowText" lastClr="000000"/>
              </a:solidFill>
            </a:rPr>
            <a:t>i manualerna </a:t>
          </a:r>
          <a:r>
            <a:rPr lang="sv-SE" sz="1100" b="0" i="1">
              <a:solidFill>
                <a:sysClr val="windowText" lastClr="000000"/>
              </a:solidFill>
            </a:rPr>
            <a:t>GreenBuilding 8.0 Ny Byggnad </a:t>
          </a:r>
          <a:r>
            <a:rPr lang="sv-SE" sz="1100" b="0">
              <a:solidFill>
                <a:sysClr val="windowText" lastClr="000000"/>
              </a:solidFill>
            </a:rPr>
            <a:t>eller </a:t>
          </a:r>
          <a:r>
            <a:rPr lang="sv-SE" sz="1100" b="0" i="1">
              <a:solidFill>
                <a:sysClr val="windowText" lastClr="000000"/>
              </a:solidFill>
            </a:rPr>
            <a:t>GreenBuilding 8.0  Befintlig Byggnad</a:t>
          </a:r>
          <a:r>
            <a:rPr lang="sv-SE" sz="1100" b="0">
              <a:solidFill>
                <a:sysClr val="windowText" lastClr="000000"/>
              </a:solidFill>
            </a:rPr>
            <a:t>).</a:t>
          </a:r>
        </a:p>
        <a:p>
          <a:pPr algn="l"/>
          <a:endParaRPr lang="sv-SE" sz="1100" b="0">
            <a:solidFill>
              <a:sysClr val="windowText" lastClr="000000"/>
            </a:solidFill>
          </a:endParaRPr>
        </a:p>
        <a:p>
          <a:pPr algn="l"/>
          <a:r>
            <a:rPr lang="sv-SE" sz="1100" b="0">
              <a:solidFill>
                <a:sysClr val="windowText" lastClr="000000"/>
              </a:solidFill>
            </a:rPr>
            <a:t>Energi för elvärmda badrumsgolv </a:t>
          </a:r>
          <a:r>
            <a:rPr lang="sv-SE" sz="1100" b="0" baseline="0">
              <a:solidFill>
                <a:sysClr val="windowText" lastClr="000000"/>
              </a:solidFill>
            </a:rPr>
            <a:t>ska kunna mätas och anges separat, men i fall separat mätning inte finns kan schablonvärden användas. Energi för de elvärmda badrumsgolvens ska därefter automatiskt adderas till energi för uppvärmning vid normalisering av energianvändningen. </a:t>
          </a:r>
          <a:endParaRPr lang="sv-SE" sz="1100" b="0">
            <a:solidFill>
              <a:sysClr val="windowText" lastClr="000000"/>
            </a:solidFill>
          </a:endParaRPr>
        </a:p>
      </xdr:txBody>
    </xdr:sp>
    <xdr:clientData/>
  </xdr:twoCellAnchor>
  <xdr:twoCellAnchor>
    <xdr:from>
      <xdr:col>2</xdr:col>
      <xdr:colOff>2646</xdr:colOff>
      <xdr:row>133</xdr:row>
      <xdr:rowOff>119063</xdr:rowOff>
    </xdr:from>
    <xdr:to>
      <xdr:col>4</xdr:col>
      <xdr:colOff>23812</xdr:colOff>
      <xdr:row>146</xdr:row>
      <xdr:rowOff>169333</xdr:rowOff>
    </xdr:to>
    <xdr:sp macro="" textlink="">
      <xdr:nvSpPr>
        <xdr:cNvPr id="6" name="Rektangel 15">
          <a:extLst>
            <a:ext uri="{FF2B5EF4-FFF2-40B4-BE49-F238E27FC236}">
              <a16:creationId xmlns:a16="http://schemas.microsoft.com/office/drawing/2014/main" id="{A62CD68C-C48C-411E-BA9D-98745102151B}"/>
            </a:ext>
          </a:extLst>
        </xdr:cNvPr>
        <xdr:cNvSpPr/>
      </xdr:nvSpPr>
      <xdr:spPr>
        <a:xfrm>
          <a:off x="459846" y="28465463"/>
          <a:ext cx="6707716" cy="2774420"/>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tillgodogjord egenproducerad</a:t>
          </a:r>
          <a:r>
            <a:rPr lang="sv-SE" sz="1200" b="1" baseline="0">
              <a:solidFill>
                <a:sysClr val="windowText" lastClr="000000"/>
              </a:solidFill>
            </a:rPr>
            <a:t> och/eller återvunnen energi</a:t>
          </a:r>
          <a:endParaRPr lang="sv-SE" sz="1200" b="1">
            <a:solidFill>
              <a:sysClr val="windowText" lastClr="000000"/>
            </a:solidFill>
          </a:endParaRPr>
        </a:p>
        <a:p>
          <a:pPr algn="l"/>
          <a:r>
            <a:rPr lang="sv-SE" sz="1100" b="0">
              <a:solidFill>
                <a:sysClr val="windowText" lastClr="000000"/>
              </a:solidFill>
            </a:rPr>
            <a:t>Ange mätvärden för uppmätt tillgodogjord</a:t>
          </a:r>
          <a:r>
            <a:rPr lang="sv-SE" sz="1100" b="0" baseline="0">
              <a:solidFill>
                <a:sysClr val="windowText" lastClr="000000"/>
              </a:solidFill>
            </a:rPr>
            <a:t> energi från </a:t>
          </a:r>
          <a:r>
            <a:rPr lang="sv-SE" sz="1100" b="0">
              <a:solidFill>
                <a:sysClr val="windowText" lastClr="000000"/>
              </a:solidFill>
            </a:rPr>
            <a:t>solfångare, solceller, avloppsvärmeväxlare eller processvärme för byggnadens energianvändning</a:t>
          </a:r>
          <a:r>
            <a:rPr lang="sv-SE" sz="1100" b="0" baseline="0">
              <a:solidFill>
                <a:sysClr val="windowText" lastClr="000000"/>
              </a:solidFill>
            </a:rPr>
            <a:t> enligt BBR. Mätvärden ska redovisas separat för uppvärmning, tappvarmvatten, komfortkyla och fastighetsenergi. Även återvunnen avloppsenergi och processvärme redovisas separat. Antal och typ av energiproduktionssystem och återvinning väljs i rullgardinsmenyer.</a:t>
          </a:r>
        </a:p>
        <a:p>
          <a:pPr algn="l"/>
          <a:endParaRPr lang="sv-SE" sz="1100" b="0" baseline="0">
            <a:solidFill>
              <a:sysClr val="windowText" lastClr="000000"/>
            </a:solidFill>
          </a:endParaRPr>
        </a:p>
        <a:p>
          <a:pPr algn="l"/>
          <a:r>
            <a:rPr lang="sv-SE" sz="1100" b="0" baseline="0">
              <a:solidFill>
                <a:sysClr val="windowText" lastClr="000000"/>
              </a:solidFill>
            </a:rPr>
            <a:t>Information om vilken energi som kan tillgodoräknas byggnadens energianvändning enligt BBR har sammanställts i Svebys </a:t>
          </a:r>
          <a:r>
            <a:rPr lang="sv-SE" sz="1100" b="0" i="1" baseline="0">
              <a:solidFill>
                <a:sysClr val="windowText" lastClr="000000"/>
              </a:solidFill>
            </a:rPr>
            <a:t>Mätföreskrifter 2.0 </a:t>
          </a:r>
          <a:r>
            <a:rPr lang="sv-SE" sz="1100" b="0" i="0" baseline="0">
              <a:solidFill>
                <a:sysClr val="windowText" lastClr="000000"/>
              </a:solidFill>
            </a:rPr>
            <a:t>samt i </a:t>
          </a:r>
          <a:r>
            <a:rPr lang="sv-SE" sz="1100" b="0" i="1" baseline="0">
              <a:solidFill>
                <a:sysClr val="windowText" lastClr="000000"/>
              </a:solidFill>
            </a:rPr>
            <a:t>GreenBuildings mall för Mätplan </a:t>
          </a:r>
          <a:r>
            <a:rPr lang="sv-SE" sz="1100" b="0" baseline="0">
              <a:solidFill>
                <a:sysClr val="windowText" lastClr="000000"/>
              </a:solidFill>
            </a:rPr>
            <a:t>och i </a:t>
          </a:r>
          <a:r>
            <a:rPr lang="sv-SE" sz="1100" b="0" i="1" baseline="0">
              <a:solidFill>
                <a:sysClr val="windowText" lastClr="000000"/>
              </a:solidFill>
            </a:rPr>
            <a:t>GreenBuilding 8.0 NyByggnad </a:t>
          </a:r>
          <a:r>
            <a:rPr lang="sv-SE" sz="1100" b="0" baseline="0">
              <a:solidFill>
                <a:sysClr val="windowText" lastClr="000000"/>
              </a:solidFill>
            </a:rPr>
            <a:t>eller </a:t>
          </a:r>
          <a:r>
            <a:rPr lang="sv-SE" sz="1100" b="0" i="1" baseline="0">
              <a:solidFill>
                <a:sysClr val="windowText" lastClr="000000"/>
              </a:solidFill>
            </a:rPr>
            <a:t>Befintlig byggnad</a:t>
          </a:r>
          <a:r>
            <a:rPr lang="sv-SE" sz="1100" b="0" i="0" baseline="0">
              <a:solidFill>
                <a:sysClr val="windowText" lastClr="000000"/>
              </a:solidFill>
            </a:rPr>
            <a:t> manual</a:t>
          </a:r>
          <a:r>
            <a:rPr lang="sv-SE" sz="1100" b="0" baseline="0">
              <a:solidFill>
                <a:sysClr val="windowText" lastClr="000000"/>
              </a:solidFill>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100" b="0">
              <a:solidFill>
                <a:sysClr val="windowText" lastClr="000000"/>
              </a:solidFill>
            </a:rPr>
            <a:t>Det ska</a:t>
          </a:r>
          <a:r>
            <a:rPr lang="sv-SE" sz="1100" b="0" baseline="0">
              <a:solidFill>
                <a:sysClr val="windowText" lastClr="000000"/>
              </a:solidFill>
            </a:rPr>
            <a:t> </a:t>
          </a:r>
          <a:r>
            <a:rPr lang="sv-SE" sz="1100" b="0">
              <a:solidFill>
                <a:sysClr val="windowText" lastClr="000000"/>
              </a:solidFill>
            </a:rPr>
            <a:t>noteras var energimätare för tillgodogjord egenproducerad</a:t>
          </a:r>
          <a:r>
            <a:rPr lang="sv-SE" sz="1100" b="0" baseline="0">
              <a:solidFill>
                <a:sysClr val="windowText" lastClr="000000"/>
              </a:solidFill>
            </a:rPr>
            <a:t> eller återvunnen energi installerats i förhållande till övriga energimätare </a:t>
          </a:r>
          <a:r>
            <a:rPr lang="sv-SE" sz="1100" b="0">
              <a:solidFill>
                <a:sysClr val="windowText" lastClr="000000"/>
              </a:solidFill>
            </a:rPr>
            <a:t>för mätning</a:t>
          </a:r>
          <a:r>
            <a:rPr lang="sv-SE" sz="1100" b="0" baseline="0">
              <a:solidFill>
                <a:sysClr val="windowText" lastClr="000000"/>
              </a:solidFill>
            </a:rPr>
            <a:t> av uppvärmning, tappvarmvatten, komfortkyla, fastighetsenergi.  Om sådan mätare installerats efter mätare för en specifik energipost (exempelvis om debiteringsmätare används) har den specifika energiposten redan tagit hänsyn till tillgodogjord energi och ska därmed inte dras av ytterligare från uppmätt energi. Valet görs från rullgardingsmenyn under "Placering av mätare". </a:t>
          </a:r>
        </a:p>
        <a:p>
          <a:pPr marL="0" marR="0" lvl="0" indent="0" algn="l" defTabSz="914400" eaLnBrk="1" fontAlgn="auto" latinLnBrk="0" hangingPunct="1">
            <a:lnSpc>
              <a:spcPct val="100000"/>
            </a:lnSpc>
            <a:spcBef>
              <a:spcPts val="0"/>
            </a:spcBef>
            <a:spcAft>
              <a:spcPts val="0"/>
            </a:spcAft>
            <a:buClrTx/>
            <a:buSzTx/>
            <a:buFontTx/>
            <a:buNone/>
            <a:tabLst/>
            <a:defRPr/>
          </a:pPr>
          <a:endParaRPr lang="sv-SE" sz="1100" b="0" baseline="0">
            <a:solidFill>
              <a:sysClr val="windowText" lastClr="000000"/>
            </a:solidFill>
          </a:endParaRPr>
        </a:p>
      </xdr:txBody>
    </xdr:sp>
    <xdr:clientData/>
  </xdr:twoCellAnchor>
  <xdr:twoCellAnchor>
    <xdr:from>
      <xdr:col>5</xdr:col>
      <xdr:colOff>39424</xdr:colOff>
      <xdr:row>181</xdr:row>
      <xdr:rowOff>98690</xdr:rowOff>
    </xdr:from>
    <xdr:to>
      <xdr:col>12</xdr:col>
      <xdr:colOff>35717</xdr:colOff>
      <xdr:row>197</xdr:row>
      <xdr:rowOff>21167</xdr:rowOff>
    </xdr:to>
    <xdr:sp macro="" textlink="">
      <xdr:nvSpPr>
        <xdr:cNvPr id="7" name="Rektangel 15">
          <a:extLst>
            <a:ext uri="{FF2B5EF4-FFF2-40B4-BE49-F238E27FC236}">
              <a16:creationId xmlns:a16="http://schemas.microsoft.com/office/drawing/2014/main" id="{9971ECCD-AB2B-45FC-9CA6-71BDBEA827BD}"/>
            </a:ext>
          </a:extLst>
        </xdr:cNvPr>
        <xdr:cNvSpPr/>
      </xdr:nvSpPr>
      <xdr:spPr>
        <a:xfrm>
          <a:off x="7384257" y="38928940"/>
          <a:ext cx="7722127" cy="3256227"/>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Uppmätta inomhustemperatur under uppvärmningssäsongen</a:t>
          </a:r>
        </a:p>
        <a:p>
          <a:pPr algn="l"/>
          <a:r>
            <a:rPr lang="sv-SE" sz="1100" b="0">
              <a:solidFill>
                <a:sysClr val="windowText" lastClr="000000"/>
              </a:solidFill>
            </a:rPr>
            <a:t>För normalisering av mätvärden enligt Boverkets föreskrifter</a:t>
          </a:r>
          <a:r>
            <a:rPr lang="sv-SE" sz="1100" b="0" baseline="0">
              <a:solidFill>
                <a:sysClr val="windowText" lastClr="000000"/>
              </a:solidFill>
            </a:rPr>
            <a:t> </a:t>
          </a:r>
          <a:r>
            <a:rPr lang="sv-SE" sz="1100" b="0">
              <a:solidFill>
                <a:sysClr val="windowText" lastClr="000000"/>
              </a:solidFill>
            </a:rPr>
            <a:t>BEN behöver även representativa inomhustemperaturer mätas under uppvärmningssäsongen. Temperaturmätningar i verksamhetsutrymmen eller lägenheter ska representera minst 20 % av den tempererade</a:t>
          </a:r>
          <a:r>
            <a:rPr lang="sv-SE" sz="1100" b="0" baseline="0">
              <a:solidFill>
                <a:sysClr val="windowText" lastClr="000000"/>
              </a:solidFill>
            </a:rPr>
            <a:t> golvarean (Atemp) </a:t>
          </a:r>
          <a:r>
            <a:rPr lang="sv-SE" sz="1100" b="0">
              <a:solidFill>
                <a:sysClr val="windowText" lastClr="000000"/>
              </a:solidFill>
            </a:rPr>
            <a:t>och mätas med minst en givare per våningsplan. För lokalbyggnader finns alternativet</a:t>
          </a:r>
          <a:r>
            <a:rPr lang="sv-SE" sz="1100" b="0" baseline="0">
              <a:solidFill>
                <a:sysClr val="windowText" lastClr="000000"/>
              </a:solidFill>
            </a:rPr>
            <a:t> att</a:t>
          </a:r>
          <a:r>
            <a:rPr lang="sv-SE" sz="1100" b="0">
              <a:solidFill>
                <a:sysClr val="windowText" lastClr="000000"/>
              </a:solidFill>
            </a:rPr>
            <a:t> temperaturmätning istället utgörs</a:t>
          </a:r>
          <a:r>
            <a:rPr lang="sv-SE" sz="1100" b="0" baseline="0">
              <a:solidFill>
                <a:sysClr val="windowText" lastClr="000000"/>
              </a:solidFill>
            </a:rPr>
            <a:t> av en </a:t>
          </a:r>
          <a:r>
            <a:rPr lang="sv-SE" sz="1100" b="0">
              <a:solidFill>
                <a:sysClr val="windowText" lastClr="000000"/>
              </a:solidFill>
            </a:rPr>
            <a:t>kombination av temperaturmätning i frånluft under drifttid och några representativa temperaturgivare i verksamhetsutrymmen under övrig tid. </a:t>
          </a:r>
        </a:p>
        <a:p>
          <a:pPr algn="l"/>
          <a:endParaRPr lang="sv-SE" sz="1100" b="0">
            <a:solidFill>
              <a:sysClr val="windowText" lastClr="000000"/>
            </a:solidFill>
          </a:endParaRPr>
        </a:p>
        <a:p>
          <a:pPr algn="l"/>
          <a:r>
            <a:rPr lang="sv-SE" sz="1100" b="0">
              <a:solidFill>
                <a:sysClr val="windowText" lastClr="000000"/>
              </a:solidFill>
            </a:rPr>
            <a:t>Mätvärdena i tabellen till vänster</a:t>
          </a:r>
          <a:r>
            <a:rPr lang="sv-SE" sz="1100" b="0" baseline="0">
              <a:solidFill>
                <a:sysClr val="windowText" lastClr="000000"/>
              </a:solidFill>
            </a:rPr>
            <a:t> </a:t>
          </a:r>
          <a:r>
            <a:rPr lang="sv-SE" sz="1100" b="0">
              <a:solidFill>
                <a:sysClr val="windowText" lastClr="000000"/>
              </a:solidFill>
            </a:rPr>
            <a:t>ska anges som genomsnittliga</a:t>
          </a:r>
          <a:r>
            <a:rPr lang="sv-SE" sz="1100" b="0" baseline="0">
              <a:solidFill>
                <a:sysClr val="windowText" lastClr="000000"/>
              </a:solidFill>
            </a:rPr>
            <a:t> medelvärden under uppvärmningssäsong för respektive areaandel.  Upp till tre olika areaandelar kan specificeras. </a:t>
          </a:r>
        </a:p>
        <a:p>
          <a:pPr algn="l"/>
          <a:endParaRPr lang="sv-SE" sz="1100" b="0" baseline="0">
            <a:solidFill>
              <a:sysClr val="windowText" lastClr="000000"/>
            </a:solidFill>
          </a:endParaRPr>
        </a:p>
        <a:p>
          <a:pPr algn="l"/>
          <a:r>
            <a:rPr lang="sv-SE" sz="1100" b="0" baseline="0">
              <a:solidFill>
                <a:sysClr val="windowText" lastClr="000000"/>
              </a:solidFill>
            </a:rPr>
            <a:t>En officiell definition av uppvärmningssäsongens längd saknas för närvarande. För schablonmetoden enligt BEN, kan mätvärden från månader utan betydande soltillskott, t.ex. perioden november till och med februari, användas. Användaren kan också specifiera en annan uppvärmningssäsong. Uppvärmningssäsongens start och slut ska anges separat. </a:t>
          </a:r>
        </a:p>
        <a:p>
          <a:pPr algn="l"/>
          <a:endParaRPr lang="sv-SE" sz="1100" b="0" baseline="0">
            <a:solidFill>
              <a:sysClr val="windowText" lastClr="000000"/>
            </a:solidFill>
          </a:endParaRPr>
        </a:p>
        <a:p>
          <a:pPr algn="l"/>
          <a:r>
            <a:rPr lang="sv-SE" sz="1100" b="0" baseline="0">
              <a:solidFill>
                <a:sysClr val="windowText" lastClr="000000"/>
              </a:solidFill>
            </a:rPr>
            <a:t>OBS! Om inomhustemperaturen avviker på grund av ”installationstekniska brister”, ska normalisering med avseende på inomhustemperatur inte utföras. I sådana fall ska indatatabellen lämnas tom. Dock ska uppvärmningssäsongens start och slut anges för normalisering av energianvändning på grund av avvikelser i internlaster. </a:t>
          </a:r>
        </a:p>
        <a:p>
          <a:pPr algn="l"/>
          <a:endParaRPr lang="sv-SE" sz="1100" b="0" baseline="0">
            <a:solidFill>
              <a:sysClr val="windowText" lastClr="000000"/>
            </a:solidFill>
          </a:endParaRPr>
        </a:p>
        <a:p>
          <a:pPr algn="l"/>
          <a:endParaRPr lang="sv-SE" sz="1100" b="0">
            <a:solidFill>
              <a:sysClr val="windowText" lastClr="000000"/>
            </a:solidFill>
          </a:endParaRPr>
        </a:p>
      </xdr:txBody>
    </xdr:sp>
    <xdr:clientData/>
  </xdr:twoCellAnchor>
  <xdr:twoCellAnchor>
    <xdr:from>
      <xdr:col>1</xdr:col>
      <xdr:colOff>198701</xdr:colOff>
      <xdr:row>160</xdr:row>
      <xdr:rowOff>166686</xdr:rowOff>
    </xdr:from>
    <xdr:to>
      <xdr:col>3</xdr:col>
      <xdr:colOff>3417093</xdr:colOff>
      <xdr:row>171</xdr:row>
      <xdr:rowOff>148165</xdr:rowOff>
    </xdr:to>
    <xdr:sp macro="" textlink="">
      <xdr:nvSpPr>
        <xdr:cNvPr id="8" name="Rektangel 15">
          <a:extLst>
            <a:ext uri="{FF2B5EF4-FFF2-40B4-BE49-F238E27FC236}">
              <a16:creationId xmlns:a16="http://schemas.microsoft.com/office/drawing/2014/main" id="{3EDCD475-8F73-413F-8471-E6F3BBB8F54C}"/>
            </a:ext>
          </a:extLst>
        </xdr:cNvPr>
        <xdr:cNvSpPr/>
      </xdr:nvSpPr>
      <xdr:spPr>
        <a:xfrm>
          <a:off x="446351" y="34170936"/>
          <a:ext cx="6685492" cy="2286529"/>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sv-SE" sz="1200" b="1">
              <a:solidFill>
                <a:sysClr val="windowText" lastClr="000000"/>
              </a:solidFill>
            </a:rPr>
            <a:t>Uppmätt energianvändning för verksamhetsenergi</a:t>
          </a:r>
          <a:r>
            <a:rPr lang="sv-SE" sz="1200" b="1" baseline="0">
              <a:solidFill>
                <a:sysClr val="windowText" lastClr="000000"/>
              </a:solidFill>
            </a:rPr>
            <a:t> eller hushållsenergi</a:t>
          </a:r>
          <a:endParaRPr lang="sv-SE" sz="1200" b="1">
            <a:solidFill>
              <a:sysClr val="windowText" lastClr="000000"/>
            </a:solidFill>
          </a:endParaRPr>
        </a:p>
        <a:p>
          <a:pPr algn="l"/>
          <a:r>
            <a:rPr lang="sv-SE" sz="1100" b="0">
              <a:solidFill>
                <a:sysClr val="windowText" lastClr="000000"/>
              </a:solidFill>
            </a:rPr>
            <a:t>Ange uppmätt verksamhetsenergi eller hushållsenergi.</a:t>
          </a:r>
          <a:r>
            <a:rPr lang="sv-SE" sz="1100" b="0" baseline="0">
              <a:solidFill>
                <a:sysClr val="windowText" lastClr="000000"/>
              </a:solidFill>
            </a:rPr>
            <a:t> </a:t>
          </a:r>
          <a:r>
            <a:rPr lang="sv-SE" sz="1100" b="0">
              <a:solidFill>
                <a:sysClr val="windowText" lastClr="000000"/>
              </a:solidFill>
            </a:rPr>
            <a:t>Verksamhetsenergi eller hushållsenergi är oftast el men om verksamhets- eller hushållsapparater förses med annat än el ska mätning ske separat för respektive energibärare, såvida inte schabloner kan användas. Antal och typ av energikällor väljs i rullgardinsmenyer.</a:t>
          </a:r>
        </a:p>
        <a:p>
          <a:pPr algn="l"/>
          <a:endParaRPr lang="sv-SE" sz="1100" b="0">
            <a:solidFill>
              <a:sysClr val="windowText" lastClr="000000"/>
            </a:solidFill>
          </a:endParaRPr>
        </a:p>
        <a:p>
          <a:pPr algn="l"/>
          <a:r>
            <a:rPr lang="sv-SE" sz="1100" b="0">
              <a:solidFill>
                <a:sysClr val="windowText" lastClr="000000"/>
              </a:solidFill>
            </a:rPr>
            <a:t>Observera vad som ska ingå i hushållsenergi  (t.ex.</a:t>
          </a:r>
          <a:r>
            <a:rPr lang="sv-SE" sz="1100" b="0" baseline="0">
              <a:solidFill>
                <a:sysClr val="windowText" lastClr="000000"/>
              </a:solidFill>
            </a:rPr>
            <a:t> tvättstugor) </a:t>
          </a:r>
          <a:r>
            <a:rPr lang="sv-SE" sz="1100" b="0">
              <a:solidFill>
                <a:sysClr val="windowText" lastClr="000000"/>
              </a:solidFill>
            </a:rPr>
            <a:t>och vad som bör tas bort (t.ex. elgolvvärme). Förtydliganden gällande gränsdragning finns i Boverkets gränsdragningslista (länken</a:t>
          </a:r>
          <a:r>
            <a:rPr lang="sv-SE" sz="1100" b="0" baseline="0">
              <a:solidFill>
                <a:sysClr val="windowText" lastClr="000000"/>
              </a:solidFill>
            </a:rPr>
            <a:t> finns i </a:t>
          </a:r>
          <a:r>
            <a:rPr lang="sv-SE" sz="1100" b="0" i="1">
              <a:solidFill>
                <a:sysClr val="windowText" lastClr="000000"/>
              </a:solidFill>
            </a:rPr>
            <a:t>Referenser och källor</a:t>
          </a:r>
          <a:r>
            <a:rPr lang="sv-SE" sz="1100" b="0" i="1" baseline="0">
              <a:solidFill>
                <a:sysClr val="windowText" lastClr="000000"/>
              </a:solidFill>
            </a:rPr>
            <a:t> </a:t>
          </a:r>
          <a:r>
            <a:rPr lang="sv-SE" sz="1100" b="0" baseline="0">
              <a:solidFill>
                <a:sysClr val="windowText" lastClr="000000"/>
              </a:solidFill>
            </a:rPr>
            <a:t>i manualerna </a:t>
          </a:r>
          <a:r>
            <a:rPr lang="sv-SE" sz="1100" b="0" i="1" baseline="0">
              <a:solidFill>
                <a:sysClr val="windowText" lastClr="000000"/>
              </a:solidFill>
            </a:rPr>
            <a:t>GreenBuilding 8.0 Ny Byggnad </a:t>
          </a:r>
          <a:r>
            <a:rPr lang="sv-SE" sz="1100" b="0" baseline="0">
              <a:solidFill>
                <a:sysClr val="windowText" lastClr="000000"/>
              </a:solidFill>
            </a:rPr>
            <a:t>eller </a:t>
          </a:r>
          <a:r>
            <a:rPr lang="sv-SE" sz="1100" b="0" i="1" baseline="0">
              <a:solidFill>
                <a:sysClr val="windowText" lastClr="000000"/>
              </a:solidFill>
            </a:rPr>
            <a:t>GreenBuilding 8.0  Befintlig Byggnad).</a:t>
          </a:r>
        </a:p>
        <a:p>
          <a:pPr algn="l"/>
          <a:r>
            <a:rPr lang="sv-SE" sz="1100" b="0" baseline="0">
              <a:solidFill>
                <a:sysClr val="windowText" lastClr="000000"/>
              </a:solidFill>
            </a:rPr>
            <a:t> </a:t>
          </a:r>
          <a:endParaRPr lang="sv-SE" sz="1100" b="0">
            <a:solidFill>
              <a:sysClr val="windowText" lastClr="000000"/>
            </a:solidFill>
          </a:endParaRPr>
        </a:p>
        <a:p>
          <a:pPr algn="l"/>
          <a:r>
            <a:rPr lang="sv-SE" sz="1100" b="0">
              <a:solidFill>
                <a:sysClr val="windowText" lastClr="000000"/>
              </a:solidFill>
            </a:rPr>
            <a:t>Detta </a:t>
          </a:r>
          <a:r>
            <a:rPr lang="sv-SE" sz="1100" b="0" baseline="0">
              <a:solidFill>
                <a:sysClr val="windowText" lastClr="000000"/>
              </a:solidFill>
            </a:rPr>
            <a:t>verktyget kan användas för normalisering av energianvändningen orsakad av avvikelser i internlaster i bostäder. Motsvarande korrigering för lokaler behöver göras med så kallad dynamisk energiberäkning. </a:t>
          </a:r>
        </a:p>
      </xdr:txBody>
    </xdr:sp>
    <xdr:clientData/>
  </xdr:twoCellAnchor>
  <xdr:twoCellAnchor>
    <xdr:from>
      <xdr:col>3</xdr:col>
      <xdr:colOff>3418417</xdr:colOff>
      <xdr:row>0</xdr:row>
      <xdr:rowOff>124353</xdr:rowOff>
    </xdr:from>
    <xdr:to>
      <xdr:col>12</xdr:col>
      <xdr:colOff>211668</xdr:colOff>
      <xdr:row>9</xdr:row>
      <xdr:rowOff>169333</xdr:rowOff>
    </xdr:to>
    <xdr:sp macro="" textlink="">
      <xdr:nvSpPr>
        <xdr:cNvPr id="9" name="Rektangel 15">
          <a:extLst>
            <a:ext uri="{FF2B5EF4-FFF2-40B4-BE49-F238E27FC236}">
              <a16:creationId xmlns:a16="http://schemas.microsoft.com/office/drawing/2014/main" id="{7B720C03-6B77-461F-B35B-ACB4DFCC8B45}"/>
            </a:ext>
          </a:extLst>
        </xdr:cNvPr>
        <xdr:cNvSpPr/>
      </xdr:nvSpPr>
      <xdr:spPr>
        <a:xfrm>
          <a:off x="7133167" y="124353"/>
          <a:ext cx="8149168" cy="2373313"/>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ska uppmätt energi för uppvärmning, tappvarmvatten, komfortkyla, fastighetsenergi och hushållsenergi specificeras för referensåret. Informationen ska specificeras bara för GreenBuilding certifiering av en befintlig byggnad enligt Alternativ 1. Mätvärdena behöver anges separat för respektive energibärare (energikälla), exempelvis el, fjärrvärme, biobränsle, gas, osv.  för en sammanhängande 12-månadersperiod. </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Mätdata som behövs för att normalisera och beräkna en byggnadens energiprestanda baseras på mätanvisningar som finns i GreenBuilding mall för Mätplan, vilken grundas på Svebys ”Mätanvisningar version 2.0”. Tänk på att mätuppgifter vid behov bearbetas före normalisering av mätvärden. Mer information om hantering av mätdata finns i Svebys "Verifieringsanvisningar version 2.0" och i manualerna GreenBuilding 8.0 Ny Byggnad eller GreenBuilding 8.0  Befintlig Byggnad.</a:t>
          </a:r>
        </a:p>
        <a:p>
          <a:pPr marL="0" indent="0" algn="l"/>
          <a:endParaRPr lang="sv-SE" sz="1200" b="0" baseline="0">
            <a:solidFill>
              <a:sysClr val="windowText" lastClr="000000"/>
            </a:solidFill>
            <a:latin typeface="+mn-lt"/>
            <a:ea typeface="+mn-ea"/>
            <a:cs typeface="+mn-cs"/>
          </a:endParaRPr>
        </a:p>
        <a:p>
          <a:pPr marL="0" indent="0" algn="l"/>
          <a:r>
            <a:rPr lang="sv-SE" sz="1200" b="0" baseline="0">
              <a:solidFill>
                <a:sysClr val="windowText" lastClr="000000"/>
              </a:solidFill>
              <a:latin typeface="+mn-lt"/>
              <a:ea typeface="+mn-ea"/>
              <a:cs typeface="+mn-cs"/>
            </a:rPr>
            <a:t>OBS! Endast gröna celler fylls i. Gråa celler beräknas eller länkas automatiskt. Under varje energipost finns också förklarande text. Hjälptexter finns även vid gröna rutor där indata matas in. </a:t>
          </a: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ysClr val="windowText" lastClr="000000"/>
            </a:solidFill>
            <a:latin typeface="+mn-lt"/>
            <a:ea typeface="+mn-ea"/>
            <a:cs typeface="+mn-cs"/>
          </a:endParaRPr>
        </a:p>
        <a:p>
          <a:pPr marL="0" indent="0" algn="l"/>
          <a:endParaRPr lang="sv-SE" sz="1050" b="0" baseline="0">
            <a:solidFill>
              <a:schemeClr val="tx1"/>
            </a:solidFill>
            <a:effectLst/>
            <a:latin typeface="+mn-lt"/>
            <a:ea typeface="+mn-ea"/>
            <a:cs typeface="+mn-cs"/>
          </a:endParaRPr>
        </a:p>
        <a:p>
          <a:pPr marL="0" indent="0" algn="l"/>
          <a:endParaRPr lang="sv-SE" sz="1050" b="0" baseline="0">
            <a:solidFill>
              <a:schemeClr val="tx1"/>
            </a:solidFill>
            <a:latin typeface="+mn-lt"/>
            <a:ea typeface="+mn-ea"/>
            <a:cs typeface="+mn-cs"/>
          </a:endParaRPr>
        </a:p>
      </xdr:txBody>
    </xdr:sp>
    <xdr:clientData/>
  </xdr:twoCellAnchor>
  <xdr:twoCellAnchor editAs="oneCell">
    <xdr:from>
      <xdr:col>2</xdr:col>
      <xdr:colOff>281780</xdr:colOff>
      <xdr:row>0</xdr:row>
      <xdr:rowOff>253999</xdr:rowOff>
    </xdr:from>
    <xdr:to>
      <xdr:col>2</xdr:col>
      <xdr:colOff>1759160</xdr:colOff>
      <xdr:row>6</xdr:row>
      <xdr:rowOff>137581</xdr:rowOff>
    </xdr:to>
    <xdr:pic>
      <xdr:nvPicPr>
        <xdr:cNvPr id="10" name="Bildobjekt 2">
          <a:extLst>
            <a:ext uri="{FF2B5EF4-FFF2-40B4-BE49-F238E27FC236}">
              <a16:creationId xmlns:a16="http://schemas.microsoft.com/office/drawing/2014/main" id="{E67197A9-8293-4703-B0B1-A25B4A4EC2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980" y="253999"/>
          <a:ext cx="1477380" cy="14171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350306</xdr:colOff>
      <xdr:row>0</xdr:row>
      <xdr:rowOff>295276</xdr:rowOff>
    </xdr:from>
    <xdr:to>
      <xdr:col>5</xdr:col>
      <xdr:colOff>2686222</xdr:colOff>
      <xdr:row>3</xdr:row>
      <xdr:rowOff>370417</xdr:rowOff>
    </xdr:to>
    <xdr:sp macro="" textlink="">
      <xdr:nvSpPr>
        <xdr:cNvPr id="3" name="Rektangel 15">
          <a:extLst>
            <a:ext uri="{FF2B5EF4-FFF2-40B4-BE49-F238E27FC236}">
              <a16:creationId xmlns:a16="http://schemas.microsoft.com/office/drawing/2014/main" id="{DE2AC72B-44CE-450B-9F52-FEA3720A6B60}"/>
            </a:ext>
          </a:extLst>
        </xdr:cNvPr>
        <xdr:cNvSpPr/>
      </xdr:nvSpPr>
      <xdr:spPr>
        <a:xfrm>
          <a:off x="5663139" y="295276"/>
          <a:ext cx="5024083" cy="1376891"/>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summeras byggnadens uppmätt energianvändning (BBR energi), normaliserad energianvändning och beräknat primärenergital enligt BBR25 eller BBR29. Resultatet används för bedömning av om byggnaden uppfyller kriterium 1.1 i GreenBuildings certifiering 8.0 för nya byggnader eller för befintliga byggnader. Även byggnadens klimatpåverkan av energianvändningen redovisas för information. </a:t>
          </a: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chemeClr val="tx1"/>
            </a:solidFill>
            <a:effectLst/>
            <a:latin typeface="+mn-lt"/>
            <a:ea typeface="+mn-ea"/>
            <a:cs typeface="+mn-cs"/>
          </a:endParaRPr>
        </a:p>
        <a:p>
          <a:pPr marL="0" indent="0" algn="l"/>
          <a:endParaRPr lang="sv-SE" sz="1200" b="0" baseline="0">
            <a:solidFill>
              <a:schemeClr val="tx1"/>
            </a:solidFill>
            <a:latin typeface="+mn-lt"/>
            <a:ea typeface="+mn-ea"/>
            <a:cs typeface="+mn-cs"/>
          </a:endParaRPr>
        </a:p>
      </xdr:txBody>
    </xdr:sp>
    <xdr:clientData/>
  </xdr:twoCellAnchor>
  <xdr:twoCellAnchor>
    <xdr:from>
      <xdr:col>4</xdr:col>
      <xdr:colOff>109633</xdr:colOff>
      <xdr:row>15</xdr:row>
      <xdr:rowOff>137581</xdr:rowOff>
    </xdr:from>
    <xdr:to>
      <xdr:col>7</xdr:col>
      <xdr:colOff>52915</xdr:colOff>
      <xdr:row>30</xdr:row>
      <xdr:rowOff>38099</xdr:rowOff>
    </xdr:to>
    <xdr:graphicFrame macro="">
      <xdr:nvGraphicFramePr>
        <xdr:cNvPr id="13" name="Chart 12">
          <a:extLst>
            <a:ext uri="{FF2B5EF4-FFF2-40B4-BE49-F238E27FC236}">
              <a16:creationId xmlns:a16="http://schemas.microsoft.com/office/drawing/2014/main" id="{94BA7809-0F43-4D4F-A93B-AE0F0E846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219139</xdr:colOff>
      <xdr:row>15</xdr:row>
      <xdr:rowOff>108552</xdr:rowOff>
    </xdr:from>
    <xdr:to>
      <xdr:col>13</xdr:col>
      <xdr:colOff>317499</xdr:colOff>
      <xdr:row>30</xdr:row>
      <xdr:rowOff>28074</xdr:rowOff>
    </xdr:to>
    <xdr:graphicFrame macro="">
      <xdr:nvGraphicFramePr>
        <xdr:cNvPr id="14" name="Chart 13">
          <a:extLst>
            <a:ext uri="{FF2B5EF4-FFF2-40B4-BE49-F238E27FC236}">
              <a16:creationId xmlns:a16="http://schemas.microsoft.com/office/drawing/2014/main" id="{4F4D1C8F-847C-4B36-B66D-6CF811208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273048</xdr:colOff>
      <xdr:row>0</xdr:row>
      <xdr:rowOff>127001</xdr:rowOff>
    </xdr:from>
    <xdr:to>
      <xdr:col>1</xdr:col>
      <xdr:colOff>1747253</xdr:colOff>
      <xdr:row>3</xdr:row>
      <xdr:rowOff>259716</xdr:rowOff>
    </xdr:to>
    <xdr:pic>
      <xdr:nvPicPr>
        <xdr:cNvPr id="6" name="Bildobjekt 2">
          <a:extLst>
            <a:ext uri="{FF2B5EF4-FFF2-40B4-BE49-F238E27FC236}">
              <a16:creationId xmlns:a16="http://schemas.microsoft.com/office/drawing/2014/main" id="{C033B271-60BE-4E34-B09D-6CD49B8DC90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7631" y="127001"/>
          <a:ext cx="1474205" cy="1434465"/>
        </a:xfrm>
        <a:prstGeom prst="rect">
          <a:avLst/>
        </a:prstGeom>
      </xdr:spPr>
    </xdr:pic>
    <xdr:clientData/>
  </xdr:twoCellAnchor>
  <xdr:twoCellAnchor>
    <xdr:from>
      <xdr:col>13</xdr:col>
      <xdr:colOff>486833</xdr:colOff>
      <xdr:row>15</xdr:row>
      <xdr:rowOff>124275</xdr:rowOff>
    </xdr:from>
    <xdr:to>
      <xdr:col>23</xdr:col>
      <xdr:colOff>42333</xdr:colOff>
      <xdr:row>30</xdr:row>
      <xdr:rowOff>24793</xdr:rowOff>
    </xdr:to>
    <xdr:graphicFrame macro="">
      <xdr:nvGraphicFramePr>
        <xdr:cNvPr id="7" name="Chart 6">
          <a:extLst>
            <a:ext uri="{FF2B5EF4-FFF2-40B4-BE49-F238E27FC236}">
              <a16:creationId xmlns:a16="http://schemas.microsoft.com/office/drawing/2014/main" id="{14120889-CEDF-42DF-849F-B017E31D3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507438</xdr:colOff>
      <xdr:row>30</xdr:row>
      <xdr:rowOff>169330</xdr:rowOff>
    </xdr:from>
    <xdr:to>
      <xdr:col>23</xdr:col>
      <xdr:colOff>42333</xdr:colOff>
      <xdr:row>46</xdr:row>
      <xdr:rowOff>169330</xdr:rowOff>
    </xdr:to>
    <xdr:graphicFrame macro="">
      <xdr:nvGraphicFramePr>
        <xdr:cNvPr id="8" name="Chart 7">
          <a:extLst>
            <a:ext uri="{FF2B5EF4-FFF2-40B4-BE49-F238E27FC236}">
              <a16:creationId xmlns:a16="http://schemas.microsoft.com/office/drawing/2014/main" id="{376DEAAD-3018-4ED3-A41A-0482C9FA9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228600</xdr:colOff>
      <xdr:row>0</xdr:row>
      <xdr:rowOff>133349</xdr:rowOff>
    </xdr:from>
    <xdr:to>
      <xdr:col>2</xdr:col>
      <xdr:colOff>440478</xdr:colOff>
      <xdr:row>2</xdr:row>
      <xdr:rowOff>854325</xdr:rowOff>
    </xdr:to>
    <xdr:pic>
      <xdr:nvPicPr>
        <xdr:cNvPr id="3" name="Bildobjekt 2">
          <a:extLst>
            <a:ext uri="{FF2B5EF4-FFF2-40B4-BE49-F238E27FC236}">
              <a16:creationId xmlns:a16="http://schemas.microsoft.com/office/drawing/2014/main" id="{1F57D60A-C917-4E76-87E7-1EB5DACDD3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3183" y="133349"/>
          <a:ext cx="1460712" cy="1461809"/>
        </a:xfrm>
        <a:prstGeom prst="rect">
          <a:avLst/>
        </a:prstGeom>
      </xdr:spPr>
    </xdr:pic>
    <xdr:clientData/>
  </xdr:twoCellAnchor>
  <xdr:twoCellAnchor>
    <xdr:from>
      <xdr:col>6</xdr:col>
      <xdr:colOff>246592</xdr:colOff>
      <xdr:row>0</xdr:row>
      <xdr:rowOff>203739</xdr:rowOff>
    </xdr:from>
    <xdr:to>
      <xdr:col>11</xdr:col>
      <xdr:colOff>1079500</xdr:colOff>
      <xdr:row>3</xdr:row>
      <xdr:rowOff>222250</xdr:rowOff>
    </xdr:to>
    <xdr:sp macro="" textlink="">
      <xdr:nvSpPr>
        <xdr:cNvPr id="4" name="Rektangel 15">
          <a:extLst>
            <a:ext uri="{FF2B5EF4-FFF2-40B4-BE49-F238E27FC236}">
              <a16:creationId xmlns:a16="http://schemas.microsoft.com/office/drawing/2014/main" id="{0F31C546-BA1C-44FB-839D-4D109A8B2DBF}"/>
            </a:ext>
          </a:extLst>
        </xdr:cNvPr>
        <xdr:cNvSpPr/>
      </xdr:nvSpPr>
      <xdr:spPr>
        <a:xfrm>
          <a:off x="7168092" y="203739"/>
          <a:ext cx="6442075" cy="2050511"/>
        </a:xfrm>
        <a:prstGeom prst="rect">
          <a:avLst/>
        </a:prstGeom>
        <a:solidFill>
          <a:schemeClr val="accent4"/>
        </a:solidFill>
        <a:ln w="9525">
          <a:solidFill>
            <a:schemeClr val="tx1"/>
          </a:solidFill>
        </a:ln>
        <a:effectLst>
          <a:outerShdw blurRad="38100" dist="12700" dir="7200000" sx="102000" sy="102000" algn="tr" rotWithShape="0">
            <a:prstClr val="black">
              <a:alpha val="51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indent="0" algn="l"/>
          <a:r>
            <a:rPr lang="sv-SE" sz="1200" b="0" baseline="0">
              <a:solidFill>
                <a:sysClr val="windowText" lastClr="000000"/>
              </a:solidFill>
              <a:latin typeface="+mn-lt"/>
              <a:ea typeface="+mn-ea"/>
              <a:cs typeface="+mn-cs"/>
            </a:rPr>
            <a:t>I denna flik specificeras historisk statistik över byggnadens energiprestanda, byggnadens uppmätt energianvändning (BBR energi), normaliserad energianvändning och miljöpåverkan av energianvändningen. Resultatet används för bedömning av om byggnaden bibehåller energiprestandan under tiden för återrapportering.</a:t>
          </a:r>
        </a:p>
        <a:p>
          <a:pPr marL="0" indent="0" algn="l"/>
          <a:endParaRPr lang="sv-SE" sz="1200" b="0" baseline="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sv-SE" sz="1200" b="0" baseline="0">
              <a:solidFill>
                <a:sysClr val="windowText" lastClr="000000"/>
              </a:solidFill>
              <a:latin typeface="+mn-lt"/>
              <a:ea typeface="+mn-ea"/>
              <a:cs typeface="+mn-cs"/>
            </a:rPr>
            <a:t>Historisk data och uppmätta värden som gäller för rapporteringsåret ska matas in manuellt i gröna rutor. </a:t>
          </a:r>
          <a:r>
            <a:rPr lang="sv-SE" sz="1200" b="0" baseline="0">
              <a:solidFill>
                <a:schemeClr val="tx1"/>
              </a:solidFill>
              <a:effectLst/>
              <a:latin typeface="+mn-lt"/>
              <a:ea typeface="+mn-ea"/>
              <a:cs typeface="+mn-cs"/>
            </a:rPr>
            <a:t>Gråa celler beräknas eller länkas automatiskt. Hjälptexter finns vid gröna rutor där indata ska matas in. För certifiering av en ny byggnad eller befintlig byggnad enligt Alternativ 2 ska fösta indata kolumnen motsvara certifieringsåret. För certifiering av en befintlig byggnad enligt Alternativ 1 ska första kolumnen motsvara referensåret. Diagrammet anpassas automatisk efter indata har fyllts i. </a:t>
          </a:r>
          <a:endParaRPr lang="sv-SE" sz="1200">
            <a:solidFill>
              <a:schemeClr val="tx1"/>
            </a:solidFill>
            <a:effectLst/>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ysClr val="windowText" lastClr="000000"/>
            </a:solidFill>
            <a:latin typeface="+mn-lt"/>
            <a:ea typeface="+mn-ea"/>
            <a:cs typeface="+mn-cs"/>
          </a:endParaRPr>
        </a:p>
        <a:p>
          <a:pPr marL="0" indent="0" algn="l"/>
          <a:endParaRPr lang="sv-SE" sz="1200" b="0" baseline="0">
            <a:solidFill>
              <a:schemeClr val="tx1"/>
            </a:solidFill>
            <a:effectLst/>
            <a:latin typeface="+mn-lt"/>
            <a:ea typeface="+mn-ea"/>
            <a:cs typeface="+mn-cs"/>
          </a:endParaRPr>
        </a:p>
        <a:p>
          <a:pPr marL="0" indent="0" algn="l"/>
          <a:endParaRPr lang="sv-SE" sz="1200" b="0" baseline="0">
            <a:solidFill>
              <a:schemeClr val="tx1"/>
            </a:solidFill>
            <a:latin typeface="+mn-lt"/>
            <a:ea typeface="+mn-ea"/>
            <a:cs typeface="+mn-cs"/>
          </a:endParaRPr>
        </a:p>
      </xdr:txBody>
    </xdr:sp>
    <xdr:clientData/>
  </xdr:twoCellAnchor>
  <xdr:twoCellAnchor>
    <xdr:from>
      <xdr:col>12</xdr:col>
      <xdr:colOff>324907</xdr:colOff>
      <xdr:row>3</xdr:row>
      <xdr:rowOff>175683</xdr:rowOff>
    </xdr:from>
    <xdr:to>
      <xdr:col>18</xdr:col>
      <xdr:colOff>124883</xdr:colOff>
      <xdr:row>18</xdr:row>
      <xdr:rowOff>182033</xdr:rowOff>
    </xdr:to>
    <xdr:graphicFrame macro="">
      <xdr:nvGraphicFramePr>
        <xdr:cNvPr id="5" name="Chart 4">
          <a:extLst>
            <a:ext uri="{FF2B5EF4-FFF2-40B4-BE49-F238E27FC236}">
              <a16:creationId xmlns:a16="http://schemas.microsoft.com/office/drawing/2014/main" id="{C9861C4F-61B6-43B2-B943-42F170417D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28</xdr:col>
      <xdr:colOff>247650</xdr:colOff>
      <xdr:row>38</xdr:row>
      <xdr:rowOff>57151</xdr:rowOff>
    </xdr:from>
    <xdr:to>
      <xdr:col>35</xdr:col>
      <xdr:colOff>552450</xdr:colOff>
      <xdr:row>50</xdr:row>
      <xdr:rowOff>47625</xdr:rowOff>
    </xdr:to>
    <xdr:graphicFrame macro="">
      <xdr:nvGraphicFramePr>
        <xdr:cNvPr id="5" name="Chart 4">
          <a:extLst>
            <a:ext uri="{FF2B5EF4-FFF2-40B4-BE49-F238E27FC236}">
              <a16:creationId xmlns:a16="http://schemas.microsoft.com/office/drawing/2014/main" id="{D1B17BF8-7129-4B5E-9859-AE8E2302C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233362</xdr:colOff>
      <xdr:row>3</xdr:row>
      <xdr:rowOff>85725</xdr:rowOff>
    </xdr:from>
    <xdr:to>
      <xdr:col>35</xdr:col>
      <xdr:colOff>538162</xdr:colOff>
      <xdr:row>36</xdr:row>
      <xdr:rowOff>47624</xdr:rowOff>
    </xdr:to>
    <xdr:graphicFrame macro="">
      <xdr:nvGraphicFramePr>
        <xdr:cNvPr id="6" name="Chart 1">
          <a:extLst>
            <a:ext uri="{FF2B5EF4-FFF2-40B4-BE49-F238E27FC236}">
              <a16:creationId xmlns:a16="http://schemas.microsoft.com/office/drawing/2014/main" id="{49AD78B1-CB6D-47BE-82BA-78E4AC14DA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0.22917</cdr:x>
      <cdr:y>0.11297</cdr:y>
    </cdr:from>
    <cdr:to>
      <cdr:x>0.70625</cdr:x>
      <cdr:y>0.20223</cdr:y>
    </cdr:to>
    <cdr:sp macro="" textlink="">
      <cdr:nvSpPr>
        <cdr:cNvPr id="2" name="TextBox 1">
          <a:extLst xmlns:a="http://schemas.openxmlformats.org/drawingml/2006/main">
            <a:ext uri="{FF2B5EF4-FFF2-40B4-BE49-F238E27FC236}">
              <a16:creationId xmlns:a16="http://schemas.microsoft.com/office/drawing/2014/main" id="{C32573FA-565F-4DB9-A907-B5AEE83767F7}"/>
            </a:ext>
          </a:extLst>
        </cdr:cNvPr>
        <cdr:cNvSpPr txBox="1"/>
      </cdr:nvSpPr>
      <cdr:spPr>
        <a:xfrm xmlns:a="http://schemas.openxmlformats.org/drawingml/2006/main">
          <a:off x="1047750" y="385764"/>
          <a:ext cx="2181225"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SE" sz="1100"/>
        </a:p>
      </cdr:txBody>
    </cdr:sp>
  </cdr:relSizeAnchor>
</c:userShapes>
</file>

<file path=xl/theme/theme1.xml><?xml version="1.0" encoding="utf-8"?>
<a:theme xmlns:a="http://schemas.openxmlformats.org/drawingml/2006/main" name="Office-tema">
  <a:themeElements>
    <a:clrScheme name="SGBC">
      <a:dk1>
        <a:srgbClr val="484848"/>
      </a:dk1>
      <a:lt1>
        <a:sysClr val="window" lastClr="FFFFFF"/>
      </a:lt1>
      <a:dk2>
        <a:srgbClr val="3BA935"/>
      </a:dk2>
      <a:lt2>
        <a:srgbClr val="5DBFD7"/>
      </a:lt2>
      <a:accent1>
        <a:srgbClr val="266B2F"/>
      </a:accent1>
      <a:accent2>
        <a:srgbClr val="9CCA87"/>
      </a:accent2>
      <a:accent3>
        <a:srgbClr val="D8E9CE"/>
      </a:accent3>
      <a:accent4>
        <a:srgbClr val="ECECEC"/>
      </a:accent4>
      <a:accent5>
        <a:srgbClr val="A93576"/>
      </a:accent5>
      <a:accent6>
        <a:srgbClr val="ED762B"/>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8EBA9-76FC-4111-B1D3-E1BE53D7638B}">
  <sheetPr>
    <tabColor theme="3"/>
  </sheetPr>
  <dimension ref="B2:S18"/>
  <sheetViews>
    <sheetView tabSelected="1" zoomScale="90" zoomScaleNormal="90" workbookViewId="0">
      <selection activeCell="K2" sqref="K2"/>
    </sheetView>
  </sheetViews>
  <sheetFormatPr defaultColWidth="9.140625" defaultRowHeight="15" x14ac:dyDescent="0.25"/>
  <cols>
    <col min="1" max="3" width="9.140625" style="471"/>
    <col min="4" max="4" width="2.7109375" style="471" customWidth="1"/>
    <col min="5" max="5" width="9.140625" style="471" customWidth="1"/>
    <col min="6" max="6" width="16" style="471" customWidth="1"/>
    <col min="7" max="16384" width="9.140625" style="471"/>
  </cols>
  <sheetData>
    <row r="2" spans="2:19" ht="141.75" customHeight="1" thickBot="1" x14ac:dyDescent="0.35">
      <c r="E2" s="472" t="s">
        <v>8</v>
      </c>
      <c r="H2" s="473" t="s">
        <v>1207</v>
      </c>
      <c r="S2" s="473" t="s">
        <v>1470</v>
      </c>
    </row>
    <row r="3" spans="2:19" ht="15" customHeight="1" x14ac:dyDescent="0.25">
      <c r="B3" s="490" t="s">
        <v>1429</v>
      </c>
      <c r="C3" s="491"/>
      <c r="D3" s="491"/>
      <c r="E3" s="491"/>
      <c r="F3" s="492"/>
    </row>
    <row r="4" spans="2:19" x14ac:dyDescent="0.25">
      <c r="B4" s="493"/>
      <c r="C4" s="494"/>
      <c r="D4" s="494"/>
      <c r="E4" s="494"/>
      <c r="F4" s="495"/>
    </row>
    <row r="5" spans="2:19" x14ac:dyDescent="0.25">
      <c r="B5" s="493"/>
      <c r="C5" s="494"/>
      <c r="D5" s="494"/>
      <c r="E5" s="494"/>
      <c r="F5" s="495"/>
      <c r="H5" s="17"/>
    </row>
    <row r="6" spans="2:19" x14ac:dyDescent="0.25">
      <c r="B6" s="493"/>
      <c r="C6" s="494"/>
      <c r="D6" s="494"/>
      <c r="E6" s="494"/>
      <c r="F6" s="495"/>
      <c r="H6" s="17"/>
    </row>
    <row r="7" spans="2:19" ht="15.75" customHeight="1" x14ac:dyDescent="0.25">
      <c r="B7" s="487" t="s">
        <v>3</v>
      </c>
      <c r="C7" s="488"/>
      <c r="D7" s="488"/>
      <c r="E7" s="488" t="s">
        <v>1472</v>
      </c>
      <c r="F7" s="489"/>
    </row>
    <row r="8" spans="2:19" x14ac:dyDescent="0.25">
      <c r="B8" s="487" t="s">
        <v>4</v>
      </c>
      <c r="C8" s="488"/>
      <c r="D8" s="488"/>
      <c r="E8" s="496">
        <v>44357</v>
      </c>
      <c r="F8" s="489"/>
    </row>
    <row r="9" spans="2:19" ht="17.25" customHeight="1" x14ac:dyDescent="0.25">
      <c r="B9" s="487" t="s">
        <v>2</v>
      </c>
      <c r="C9" s="488"/>
      <c r="D9" s="488"/>
      <c r="E9" s="488" t="s">
        <v>5</v>
      </c>
      <c r="F9" s="489"/>
    </row>
    <row r="10" spans="2:19" ht="16.5" customHeight="1" x14ac:dyDescent="0.25">
      <c r="B10" s="487" t="s">
        <v>0</v>
      </c>
      <c r="C10" s="488"/>
      <c r="D10" s="488"/>
      <c r="E10" s="488" t="s">
        <v>6</v>
      </c>
      <c r="F10" s="489"/>
    </row>
    <row r="11" spans="2:19" ht="16.5" customHeight="1" x14ac:dyDescent="0.25">
      <c r="B11" s="474"/>
      <c r="E11" s="471" t="s">
        <v>7</v>
      </c>
      <c r="F11" s="475"/>
    </row>
    <row r="12" spans="2:19" ht="15.75" thickBot="1" x14ac:dyDescent="0.3">
      <c r="B12" s="497" t="s">
        <v>1</v>
      </c>
      <c r="C12" s="498"/>
      <c r="D12" s="498"/>
      <c r="E12" s="498" t="s">
        <v>7</v>
      </c>
      <c r="F12" s="499"/>
    </row>
    <row r="13" spans="2:19" ht="17.25" customHeight="1" x14ac:dyDescent="0.25">
      <c r="B13" s="488"/>
      <c r="C13" s="488"/>
      <c r="D13" s="488"/>
      <c r="E13" s="488"/>
      <c r="F13" s="488"/>
    </row>
    <row r="14" spans="2:19" ht="15.75" thickBot="1" x14ac:dyDescent="0.3">
      <c r="B14" s="476"/>
      <c r="C14" s="476"/>
      <c r="D14" s="476"/>
      <c r="E14" s="476"/>
      <c r="F14" s="476"/>
    </row>
    <row r="15" spans="2:19" x14ac:dyDescent="0.25">
      <c r="B15" s="478" t="s">
        <v>1471</v>
      </c>
      <c r="C15" s="479"/>
      <c r="D15" s="479"/>
      <c r="E15" s="479"/>
      <c r="F15" s="480"/>
    </row>
    <row r="16" spans="2:19" x14ac:dyDescent="0.25">
      <c r="B16" s="481"/>
      <c r="C16" s="482"/>
      <c r="D16" s="482"/>
      <c r="E16" s="482"/>
      <c r="F16" s="483"/>
    </row>
    <row r="17" spans="2:6" x14ac:dyDescent="0.25">
      <c r="B17" s="481"/>
      <c r="C17" s="482"/>
      <c r="D17" s="482"/>
      <c r="E17" s="482"/>
      <c r="F17" s="483"/>
    </row>
    <row r="18" spans="2:6" ht="15.75" thickBot="1" x14ac:dyDescent="0.3">
      <c r="B18" s="484"/>
      <c r="C18" s="485"/>
      <c r="D18" s="485"/>
      <c r="E18" s="485"/>
      <c r="F18" s="486"/>
    </row>
  </sheetData>
  <sheetProtection algorithmName="SHA-512" hashValue="7jwq4AH5CZUeT+8ZRWaDlaz435k/5BnOwjMRGLJwFFMeu1iI/WVNxzjeB+CfEZGSyYd0nl5qxP8yyaSvIhpqbw==" saltValue="CLDTdIqZyyEQoG6vUpd3qw==" spinCount="100000" sheet="1" objects="1" scenarios="1" selectLockedCells="1" selectUnlockedCells="1"/>
  <mergeCells count="14">
    <mergeCell ref="B15:F18"/>
    <mergeCell ref="B9:D9"/>
    <mergeCell ref="E9:F9"/>
    <mergeCell ref="B3:F6"/>
    <mergeCell ref="B7:D7"/>
    <mergeCell ref="E7:F7"/>
    <mergeCell ref="B8:D8"/>
    <mergeCell ref="E8:F8"/>
    <mergeCell ref="B10:D10"/>
    <mergeCell ref="E10:F10"/>
    <mergeCell ref="B12:D12"/>
    <mergeCell ref="E12:F12"/>
    <mergeCell ref="B13:D13"/>
    <mergeCell ref="E13:F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9A2CF-9B55-4E29-BCCD-2B5A46AC3707}">
  <sheetPr codeName="Sheet8"/>
  <dimension ref="A1:EB524"/>
  <sheetViews>
    <sheetView topLeftCell="CN334" workbookViewId="0">
      <selection activeCell="DD359" sqref="DD359"/>
    </sheetView>
  </sheetViews>
  <sheetFormatPr defaultRowHeight="15" x14ac:dyDescent="0.25"/>
  <cols>
    <col min="1" max="1" width="9.140625" style="17"/>
    <col min="2" max="2" width="9.85546875" bestFit="1" customWidth="1"/>
  </cols>
  <sheetData>
    <row r="1" spans="1:106" s="17" customFormat="1" x14ac:dyDescent="0.25">
      <c r="B1" s="17" t="s">
        <v>333</v>
      </c>
      <c r="C1" s="17" t="s">
        <v>434</v>
      </c>
      <c r="D1" s="17" t="s">
        <v>435</v>
      </c>
      <c r="E1" s="17" t="s">
        <v>436</v>
      </c>
      <c r="F1" s="17" t="s">
        <v>437</v>
      </c>
      <c r="G1" s="17">
        <v>-50</v>
      </c>
      <c r="H1" s="17">
        <v>-49</v>
      </c>
      <c r="I1" s="17">
        <v>-48</v>
      </c>
      <c r="J1" s="17">
        <v>-47</v>
      </c>
      <c r="K1" s="17">
        <v>-46</v>
      </c>
      <c r="L1" s="17">
        <v>-45</v>
      </c>
      <c r="M1" s="17">
        <v>-44</v>
      </c>
      <c r="N1" s="17">
        <v>-43</v>
      </c>
      <c r="O1" s="17">
        <v>-42</v>
      </c>
      <c r="P1" s="17">
        <v>-41</v>
      </c>
      <c r="Q1" s="17">
        <v>-40</v>
      </c>
      <c r="R1" s="17">
        <v>-39</v>
      </c>
      <c r="S1" s="17">
        <v>-38</v>
      </c>
      <c r="T1" s="17">
        <v>-37</v>
      </c>
      <c r="U1" s="17">
        <v>-36</v>
      </c>
      <c r="V1" s="17">
        <v>-35</v>
      </c>
      <c r="W1" s="17">
        <v>-34</v>
      </c>
      <c r="X1" s="17">
        <v>-33</v>
      </c>
      <c r="Y1" s="17">
        <v>-32</v>
      </c>
      <c r="Z1" s="17">
        <v>-31</v>
      </c>
      <c r="AA1" s="17">
        <v>-30</v>
      </c>
      <c r="AB1" s="17">
        <v>-29</v>
      </c>
      <c r="AC1" s="17">
        <v>-28</v>
      </c>
      <c r="AD1" s="17">
        <v>-27</v>
      </c>
      <c r="AE1" s="17">
        <v>-26</v>
      </c>
      <c r="AF1" s="17">
        <v>-25</v>
      </c>
      <c r="AG1" s="17">
        <v>-24</v>
      </c>
      <c r="AH1" s="17">
        <v>-23</v>
      </c>
      <c r="AI1" s="17">
        <v>-22</v>
      </c>
      <c r="AJ1" s="17">
        <v>-21</v>
      </c>
      <c r="AK1" s="17">
        <v>-20</v>
      </c>
      <c r="AL1" s="17">
        <v>-19</v>
      </c>
      <c r="AM1" s="17">
        <v>-18</v>
      </c>
      <c r="AN1" s="17">
        <v>-17</v>
      </c>
      <c r="AO1" s="17">
        <v>-16</v>
      </c>
      <c r="AP1" s="17">
        <v>-15</v>
      </c>
      <c r="AQ1" s="17">
        <v>-14</v>
      </c>
      <c r="AR1" s="17">
        <v>-13</v>
      </c>
      <c r="AS1" s="17">
        <v>-12</v>
      </c>
      <c r="AT1" s="17">
        <v>-11</v>
      </c>
      <c r="AU1" s="17">
        <v>-10</v>
      </c>
      <c r="AV1" s="17">
        <v>-9</v>
      </c>
      <c r="AW1" s="17">
        <v>-8</v>
      </c>
      <c r="AX1" s="17">
        <v>-7</v>
      </c>
      <c r="AY1" s="17">
        <v>-6</v>
      </c>
      <c r="AZ1" s="17">
        <v>-5</v>
      </c>
      <c r="BA1" s="17">
        <v>-4</v>
      </c>
      <c r="BB1" s="17">
        <v>-3</v>
      </c>
      <c r="BC1" s="17">
        <v>-2</v>
      </c>
      <c r="BD1" s="17">
        <v>-1</v>
      </c>
      <c r="BE1" s="17">
        <v>0</v>
      </c>
      <c r="BF1" s="17">
        <v>1</v>
      </c>
      <c r="BG1" s="17">
        <v>2</v>
      </c>
      <c r="BH1" s="17">
        <v>3</v>
      </c>
      <c r="BI1" s="17">
        <v>4</v>
      </c>
      <c r="BJ1" s="17">
        <v>5</v>
      </c>
      <c r="BK1" s="17">
        <v>6</v>
      </c>
      <c r="BL1" s="17">
        <v>7</v>
      </c>
      <c r="BM1" s="17">
        <v>8</v>
      </c>
      <c r="BN1" s="17">
        <v>9</v>
      </c>
      <c r="BO1" s="17">
        <v>10</v>
      </c>
      <c r="BP1" s="17">
        <v>11</v>
      </c>
      <c r="BQ1" s="17">
        <v>12</v>
      </c>
      <c r="BR1" s="17">
        <v>13</v>
      </c>
      <c r="BS1" s="17">
        <v>14</v>
      </c>
      <c r="BT1" s="17">
        <v>15</v>
      </c>
      <c r="BU1" s="17">
        <v>16</v>
      </c>
      <c r="BV1" s="17">
        <v>17</v>
      </c>
      <c r="BW1" s="17">
        <v>18</v>
      </c>
      <c r="BX1" s="17">
        <v>19</v>
      </c>
      <c r="BY1" s="17">
        <v>20</v>
      </c>
      <c r="BZ1" s="17">
        <v>21</v>
      </c>
      <c r="CA1" s="17">
        <v>22</v>
      </c>
      <c r="CB1" s="17">
        <v>23</v>
      </c>
      <c r="CC1" s="17">
        <v>24</v>
      </c>
      <c r="CD1" s="17">
        <v>25</v>
      </c>
      <c r="CE1" s="17">
        <v>26</v>
      </c>
      <c r="CF1" s="17">
        <v>27</v>
      </c>
      <c r="CG1" s="17">
        <v>28</v>
      </c>
      <c r="CH1" s="17">
        <v>29</v>
      </c>
      <c r="CI1" s="17">
        <v>30</v>
      </c>
      <c r="CJ1" s="17">
        <v>31</v>
      </c>
      <c r="CK1" s="17">
        <v>32</v>
      </c>
      <c r="CL1" s="17">
        <v>33</v>
      </c>
      <c r="CM1" s="17">
        <v>34</v>
      </c>
      <c r="CN1" s="17">
        <v>35</v>
      </c>
      <c r="CO1" s="17">
        <v>36</v>
      </c>
      <c r="CP1" s="17">
        <v>37</v>
      </c>
      <c r="CQ1" s="17">
        <v>38</v>
      </c>
      <c r="CR1" s="17">
        <v>39</v>
      </c>
      <c r="CS1" s="17">
        <v>40</v>
      </c>
      <c r="CT1" s="17">
        <v>41</v>
      </c>
      <c r="CU1" s="17">
        <v>42</v>
      </c>
      <c r="CV1" s="17">
        <v>43</v>
      </c>
      <c r="CW1" s="17">
        <v>44</v>
      </c>
      <c r="CX1" s="17">
        <v>45</v>
      </c>
      <c r="CY1" s="17">
        <v>46</v>
      </c>
      <c r="CZ1" s="17">
        <v>47</v>
      </c>
      <c r="DA1" s="17">
        <v>48</v>
      </c>
      <c r="DB1" s="17">
        <v>49</v>
      </c>
    </row>
    <row r="2" spans="1:106" s="17" customFormat="1" x14ac:dyDescent="0.25">
      <c r="A2" s="22" t="s">
        <v>31</v>
      </c>
      <c r="B2" s="17" t="s">
        <v>339</v>
      </c>
      <c r="C2" s="17" t="s">
        <v>438</v>
      </c>
      <c r="D2" s="17" t="s">
        <v>439</v>
      </c>
      <c r="E2" s="17" t="s">
        <v>440</v>
      </c>
      <c r="F2" s="17">
        <v>102023</v>
      </c>
      <c r="G2" s="17">
        <v>0</v>
      </c>
      <c r="H2" s="17">
        <v>0</v>
      </c>
      <c r="I2" s="17">
        <v>0</v>
      </c>
      <c r="J2" s="17">
        <v>0</v>
      </c>
      <c r="K2" s="17">
        <v>0</v>
      </c>
      <c r="L2" s="17">
        <v>0</v>
      </c>
      <c r="M2" s="17">
        <v>0</v>
      </c>
      <c r="N2" s="17">
        <v>0</v>
      </c>
      <c r="O2" s="17">
        <v>0</v>
      </c>
      <c r="P2" s="17">
        <v>0</v>
      </c>
      <c r="Q2" s="17">
        <v>0</v>
      </c>
      <c r="R2" s="17">
        <v>0</v>
      </c>
      <c r="S2" s="17">
        <v>0</v>
      </c>
      <c r="T2" s="17">
        <v>0</v>
      </c>
      <c r="U2" s="17">
        <v>0</v>
      </c>
      <c r="V2" s="17">
        <v>0</v>
      </c>
      <c r="W2" s="17">
        <v>0</v>
      </c>
      <c r="X2" s="17">
        <v>0</v>
      </c>
      <c r="Y2" s="17">
        <v>0</v>
      </c>
      <c r="Z2" s="17">
        <v>2</v>
      </c>
      <c r="AA2" s="17">
        <v>8</v>
      </c>
      <c r="AB2" s="17">
        <v>18</v>
      </c>
      <c r="AC2" s="17">
        <v>29</v>
      </c>
      <c r="AD2" s="17">
        <v>44</v>
      </c>
      <c r="AE2" s="17">
        <v>70</v>
      </c>
      <c r="AF2" s="17">
        <v>101</v>
      </c>
      <c r="AG2" s="17">
        <v>134</v>
      </c>
      <c r="AH2" s="17">
        <v>194</v>
      </c>
      <c r="AI2" s="17">
        <v>232</v>
      </c>
      <c r="AJ2" s="17">
        <v>281</v>
      </c>
      <c r="AK2" s="17">
        <v>354</v>
      </c>
      <c r="AL2" s="17">
        <v>430</v>
      </c>
      <c r="AM2" s="17">
        <v>577</v>
      </c>
      <c r="AN2" s="17">
        <v>677</v>
      </c>
      <c r="AO2" s="17">
        <v>796</v>
      </c>
      <c r="AP2" s="17">
        <v>912</v>
      </c>
      <c r="AQ2" s="17">
        <v>1028</v>
      </c>
      <c r="AR2" s="17">
        <v>1179</v>
      </c>
      <c r="AS2" s="17">
        <v>1327</v>
      </c>
      <c r="AT2" s="17">
        <v>1544</v>
      </c>
      <c r="AU2" s="17">
        <v>1762</v>
      </c>
      <c r="AV2" s="17">
        <v>1981</v>
      </c>
      <c r="AW2" s="17">
        <v>2207</v>
      </c>
      <c r="AX2" s="17">
        <v>2457</v>
      </c>
      <c r="AY2" s="17">
        <v>2791</v>
      </c>
      <c r="AZ2" s="17">
        <v>3159</v>
      </c>
      <c r="BA2" s="17">
        <v>3524</v>
      </c>
      <c r="BB2" s="17">
        <v>3852</v>
      </c>
      <c r="BC2" s="17">
        <v>4128</v>
      </c>
      <c r="BD2" s="17">
        <v>4428</v>
      </c>
      <c r="BE2" s="17">
        <v>4739</v>
      </c>
      <c r="BF2" s="17">
        <v>5070</v>
      </c>
      <c r="BG2" s="17">
        <v>5436</v>
      </c>
      <c r="BH2" s="17">
        <v>5788</v>
      </c>
      <c r="BI2" s="17">
        <v>6084</v>
      </c>
      <c r="BJ2" s="17">
        <v>6404</v>
      </c>
      <c r="BK2" s="17">
        <v>6714</v>
      </c>
      <c r="BL2" s="17">
        <v>7033</v>
      </c>
      <c r="BM2" s="17">
        <v>7353</v>
      </c>
      <c r="BN2" s="17">
        <v>7632</v>
      </c>
      <c r="BO2" s="17">
        <v>7904</v>
      </c>
      <c r="BP2" s="17">
        <v>8150</v>
      </c>
      <c r="BQ2" s="17">
        <v>8334</v>
      </c>
      <c r="BR2" s="17">
        <v>8484</v>
      </c>
      <c r="BS2" s="17">
        <v>8577</v>
      </c>
      <c r="BT2" s="17">
        <v>8657</v>
      </c>
      <c r="BU2" s="17">
        <v>8704</v>
      </c>
      <c r="BV2" s="17">
        <v>8722</v>
      </c>
      <c r="BW2" s="17">
        <v>8734</v>
      </c>
      <c r="BX2" s="17">
        <v>8746</v>
      </c>
      <c r="BY2" s="17">
        <v>8755</v>
      </c>
      <c r="BZ2" s="17">
        <v>8758</v>
      </c>
      <c r="CA2" s="17">
        <v>8760</v>
      </c>
      <c r="CB2" s="17">
        <v>8760</v>
      </c>
      <c r="CC2" s="17">
        <v>8760</v>
      </c>
      <c r="CD2" s="17">
        <v>8760</v>
      </c>
      <c r="CE2" s="17">
        <v>8760</v>
      </c>
      <c r="CF2" s="17">
        <v>8760</v>
      </c>
      <c r="CG2" s="17">
        <v>8760</v>
      </c>
      <c r="CH2" s="17">
        <v>8760</v>
      </c>
      <c r="CI2" s="17">
        <v>8760</v>
      </c>
      <c r="CJ2" s="17">
        <v>8760</v>
      </c>
      <c r="CK2" s="17">
        <v>8760</v>
      </c>
      <c r="CL2" s="17">
        <v>8760</v>
      </c>
      <c r="CM2" s="17">
        <v>8760</v>
      </c>
      <c r="CN2" s="17">
        <v>8760</v>
      </c>
      <c r="CO2" s="17">
        <v>8760</v>
      </c>
      <c r="CP2" s="17">
        <v>8760</v>
      </c>
      <c r="CQ2" s="17">
        <v>8760</v>
      </c>
      <c r="CR2" s="17">
        <v>8760</v>
      </c>
      <c r="CS2" s="17">
        <v>8760</v>
      </c>
      <c r="CT2" s="17">
        <v>8760</v>
      </c>
      <c r="CU2" s="17">
        <v>8760</v>
      </c>
      <c r="CV2" s="17">
        <v>8760</v>
      </c>
      <c r="CW2" s="17">
        <v>8760</v>
      </c>
      <c r="CX2" s="17">
        <v>8760</v>
      </c>
      <c r="CY2" s="17">
        <v>8760</v>
      </c>
      <c r="CZ2" s="17">
        <v>8760</v>
      </c>
      <c r="DA2" s="17">
        <v>8760</v>
      </c>
      <c r="DB2" s="17">
        <v>8760</v>
      </c>
    </row>
    <row r="3" spans="1:106" s="17" customFormat="1" x14ac:dyDescent="0.25">
      <c r="A3" s="22" t="s">
        <v>32</v>
      </c>
      <c r="B3" s="17" t="s">
        <v>32</v>
      </c>
      <c r="C3" s="17" t="s">
        <v>438</v>
      </c>
      <c r="D3" s="17" t="s">
        <v>441</v>
      </c>
      <c r="E3" s="17" t="s">
        <v>442</v>
      </c>
      <c r="F3" s="17">
        <v>102627</v>
      </c>
      <c r="G3" s="17">
        <v>0</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7">
        <v>0</v>
      </c>
      <c r="AF3" s="17">
        <v>0</v>
      </c>
      <c r="AG3" s="17">
        <v>0</v>
      </c>
      <c r="AH3" s="17">
        <v>0</v>
      </c>
      <c r="AI3" s="17">
        <v>0</v>
      </c>
      <c r="AJ3" s="17">
        <v>0</v>
      </c>
      <c r="AK3" s="17">
        <v>0</v>
      </c>
      <c r="AL3" s="17">
        <v>0</v>
      </c>
      <c r="AM3" s="17">
        <v>0</v>
      </c>
      <c r="AN3" s="17">
        <v>0</v>
      </c>
      <c r="AO3" s="17">
        <v>8</v>
      </c>
      <c r="AP3" s="17">
        <v>21</v>
      </c>
      <c r="AQ3" s="17">
        <v>48</v>
      </c>
      <c r="AR3" s="17">
        <v>77</v>
      </c>
      <c r="AS3" s="17">
        <v>105</v>
      </c>
      <c r="AT3" s="17">
        <v>162</v>
      </c>
      <c r="AU3" s="17">
        <v>241</v>
      </c>
      <c r="AV3" s="17">
        <v>321</v>
      </c>
      <c r="AW3" s="17">
        <v>436</v>
      </c>
      <c r="AX3" s="17">
        <v>539</v>
      </c>
      <c r="AY3" s="17">
        <v>694</v>
      </c>
      <c r="AZ3" s="17">
        <v>857</v>
      </c>
      <c r="BA3" s="17">
        <v>1072</v>
      </c>
      <c r="BB3" s="17">
        <v>1290</v>
      </c>
      <c r="BC3" s="17">
        <v>1540</v>
      </c>
      <c r="BD3" s="17">
        <v>1854</v>
      </c>
      <c r="BE3" s="17">
        <v>2315</v>
      </c>
      <c r="BF3" s="17">
        <v>2741</v>
      </c>
      <c r="BG3" s="17">
        <v>3151</v>
      </c>
      <c r="BH3" s="17">
        <v>3476</v>
      </c>
      <c r="BI3" s="17">
        <v>3831</v>
      </c>
      <c r="BJ3" s="17">
        <v>4134</v>
      </c>
      <c r="BK3" s="17">
        <v>4448</v>
      </c>
      <c r="BL3" s="17">
        <v>4750</v>
      </c>
      <c r="BM3" s="17">
        <v>5141</v>
      </c>
      <c r="BN3" s="17">
        <v>5471</v>
      </c>
      <c r="BO3" s="17">
        <v>5788</v>
      </c>
      <c r="BP3" s="17">
        <v>6080</v>
      </c>
      <c r="BQ3" s="17">
        <v>6429</v>
      </c>
      <c r="BR3" s="17">
        <v>6770</v>
      </c>
      <c r="BS3" s="17">
        <v>7124</v>
      </c>
      <c r="BT3" s="17">
        <v>7424</v>
      </c>
      <c r="BU3" s="17">
        <v>7720</v>
      </c>
      <c r="BV3" s="17">
        <v>7981</v>
      </c>
      <c r="BW3" s="17">
        <v>8220</v>
      </c>
      <c r="BX3" s="17">
        <v>8398</v>
      </c>
      <c r="BY3" s="17">
        <v>8538</v>
      </c>
      <c r="BZ3" s="17">
        <v>8641</v>
      </c>
      <c r="CA3" s="17">
        <v>8700</v>
      </c>
      <c r="CB3" s="17">
        <v>8732</v>
      </c>
      <c r="CC3" s="17">
        <v>8748</v>
      </c>
      <c r="CD3" s="17">
        <v>8756</v>
      </c>
      <c r="CE3" s="17">
        <v>8757</v>
      </c>
      <c r="CF3" s="17">
        <v>8759</v>
      </c>
      <c r="CG3" s="17">
        <v>8760</v>
      </c>
      <c r="CH3" s="17">
        <v>8760</v>
      </c>
      <c r="CI3" s="17">
        <v>8760</v>
      </c>
      <c r="CJ3" s="17">
        <v>8760</v>
      </c>
      <c r="CK3" s="17">
        <v>8760</v>
      </c>
      <c r="CL3" s="17">
        <v>8760</v>
      </c>
      <c r="CM3" s="17">
        <v>8760</v>
      </c>
      <c r="CN3" s="17">
        <v>8760</v>
      </c>
      <c r="CO3" s="17">
        <v>8760</v>
      </c>
      <c r="CP3" s="17">
        <v>8760</v>
      </c>
      <c r="CQ3" s="17">
        <v>8760</v>
      </c>
      <c r="CR3" s="17">
        <v>8760</v>
      </c>
      <c r="CS3" s="17">
        <v>8760</v>
      </c>
      <c r="CT3" s="17">
        <v>8760</v>
      </c>
      <c r="CU3" s="17">
        <v>8760</v>
      </c>
      <c r="CV3" s="17">
        <v>8760</v>
      </c>
      <c r="CW3" s="17">
        <v>8760</v>
      </c>
      <c r="CX3" s="17">
        <v>8760</v>
      </c>
      <c r="CY3" s="17">
        <v>8760</v>
      </c>
      <c r="CZ3" s="17">
        <v>8760</v>
      </c>
      <c r="DA3" s="17">
        <v>8760</v>
      </c>
      <c r="DB3" s="17">
        <v>8760</v>
      </c>
    </row>
    <row r="4" spans="1:106" s="17" customFormat="1" x14ac:dyDescent="0.25">
      <c r="A4" s="22" t="s">
        <v>33</v>
      </c>
      <c r="B4" s="17" t="s">
        <v>33</v>
      </c>
      <c r="C4" s="17" t="s">
        <v>438</v>
      </c>
      <c r="D4" s="17" t="s">
        <v>443</v>
      </c>
      <c r="E4" s="17" t="s">
        <v>444</v>
      </c>
      <c r="F4" s="17">
        <v>102252</v>
      </c>
      <c r="G4" s="17">
        <v>0</v>
      </c>
      <c r="H4" s="17">
        <v>0</v>
      </c>
      <c r="I4" s="17">
        <v>0</v>
      </c>
      <c r="J4" s="17">
        <v>0</v>
      </c>
      <c r="K4" s="17">
        <v>0</v>
      </c>
      <c r="L4" s="17">
        <v>0</v>
      </c>
      <c r="M4" s="17">
        <v>0</v>
      </c>
      <c r="N4" s="17">
        <v>0</v>
      </c>
      <c r="O4" s="17">
        <v>0</v>
      </c>
      <c r="P4" s="17">
        <v>0</v>
      </c>
      <c r="Q4" s="17">
        <v>0</v>
      </c>
      <c r="R4" s="17">
        <v>0</v>
      </c>
      <c r="S4" s="17">
        <v>0</v>
      </c>
      <c r="T4" s="17">
        <v>0</v>
      </c>
      <c r="U4" s="17">
        <v>0</v>
      </c>
      <c r="V4" s="17">
        <v>0</v>
      </c>
      <c r="W4" s="17">
        <v>0</v>
      </c>
      <c r="X4" s="17">
        <v>0</v>
      </c>
      <c r="Y4" s="17">
        <v>0</v>
      </c>
      <c r="Z4" s="17">
        <v>0</v>
      </c>
      <c r="AA4" s="17">
        <v>0</v>
      </c>
      <c r="AB4" s="17">
        <v>0</v>
      </c>
      <c r="AC4" s="17">
        <v>0</v>
      </c>
      <c r="AD4" s="17">
        <v>0</v>
      </c>
      <c r="AE4" s="17">
        <v>0</v>
      </c>
      <c r="AF4" s="17">
        <v>0</v>
      </c>
      <c r="AG4" s="17">
        <v>0</v>
      </c>
      <c r="AH4" s="17">
        <v>0</v>
      </c>
      <c r="AI4" s="17">
        <v>0</v>
      </c>
      <c r="AJ4" s="17">
        <v>0</v>
      </c>
      <c r="AK4" s="17">
        <v>0</v>
      </c>
      <c r="AL4" s="17">
        <v>0</v>
      </c>
      <c r="AM4" s="17">
        <v>0</v>
      </c>
      <c r="AN4" s="17">
        <v>0</v>
      </c>
      <c r="AO4" s="17">
        <v>6</v>
      </c>
      <c r="AP4" s="17">
        <v>9</v>
      </c>
      <c r="AQ4" s="17">
        <v>10</v>
      </c>
      <c r="AR4" s="17">
        <v>19</v>
      </c>
      <c r="AS4" s="17">
        <v>32</v>
      </c>
      <c r="AT4" s="17">
        <v>41</v>
      </c>
      <c r="AU4" s="17">
        <v>53</v>
      </c>
      <c r="AV4" s="17">
        <v>76</v>
      </c>
      <c r="AW4" s="17">
        <v>117</v>
      </c>
      <c r="AX4" s="17">
        <v>167</v>
      </c>
      <c r="AY4" s="17">
        <v>231</v>
      </c>
      <c r="AZ4" s="17">
        <v>305</v>
      </c>
      <c r="BA4" s="17">
        <v>424</v>
      </c>
      <c r="BB4" s="17">
        <v>604</v>
      </c>
      <c r="BC4" s="17">
        <v>864</v>
      </c>
      <c r="BD4" s="17">
        <v>1151</v>
      </c>
      <c r="BE4" s="17">
        <v>1497</v>
      </c>
      <c r="BF4" s="17">
        <v>1975</v>
      </c>
      <c r="BG4" s="17">
        <v>2403</v>
      </c>
      <c r="BH4" s="17">
        <v>2850</v>
      </c>
      <c r="BI4" s="17">
        <v>3223</v>
      </c>
      <c r="BJ4" s="17">
        <v>3654</v>
      </c>
      <c r="BK4" s="17">
        <v>4183</v>
      </c>
      <c r="BL4" s="17">
        <v>4575</v>
      </c>
      <c r="BM4" s="17">
        <v>4928</v>
      </c>
      <c r="BN4" s="17">
        <v>5359</v>
      </c>
      <c r="BO4" s="17">
        <v>5775</v>
      </c>
      <c r="BP4" s="17">
        <v>6132</v>
      </c>
      <c r="BQ4" s="17">
        <v>6502</v>
      </c>
      <c r="BR4" s="17">
        <v>6858</v>
      </c>
      <c r="BS4" s="17">
        <v>7263</v>
      </c>
      <c r="BT4" s="17">
        <v>7643</v>
      </c>
      <c r="BU4" s="17">
        <v>7918</v>
      </c>
      <c r="BV4" s="17">
        <v>8130</v>
      </c>
      <c r="BW4" s="17">
        <v>8307</v>
      </c>
      <c r="BX4" s="17">
        <v>8442</v>
      </c>
      <c r="BY4" s="17">
        <v>8525</v>
      </c>
      <c r="BZ4" s="17">
        <v>8588</v>
      </c>
      <c r="CA4" s="17">
        <v>8644</v>
      </c>
      <c r="CB4" s="17">
        <v>8681</v>
      </c>
      <c r="CC4" s="17">
        <v>8702</v>
      </c>
      <c r="CD4" s="17">
        <v>8729</v>
      </c>
      <c r="CE4" s="17">
        <v>8744</v>
      </c>
      <c r="CF4" s="17">
        <v>8752</v>
      </c>
      <c r="CG4" s="17">
        <v>8760</v>
      </c>
      <c r="CH4" s="17">
        <v>8760</v>
      </c>
      <c r="CI4" s="17">
        <v>8760</v>
      </c>
      <c r="CJ4" s="17">
        <v>8760</v>
      </c>
      <c r="CK4" s="17">
        <v>8760</v>
      </c>
      <c r="CL4" s="17">
        <v>8760</v>
      </c>
      <c r="CM4" s="17">
        <v>8760</v>
      </c>
      <c r="CN4" s="17">
        <v>8760</v>
      </c>
      <c r="CO4" s="17">
        <v>8760</v>
      </c>
      <c r="CP4" s="17">
        <v>8760</v>
      </c>
      <c r="CQ4" s="17">
        <v>8760</v>
      </c>
      <c r="CR4" s="17">
        <v>8760</v>
      </c>
      <c r="CS4" s="17">
        <v>8760</v>
      </c>
      <c r="CT4" s="17">
        <v>8760</v>
      </c>
      <c r="CU4" s="17">
        <v>8760</v>
      </c>
      <c r="CV4" s="17">
        <v>8760</v>
      </c>
      <c r="CW4" s="17">
        <v>8760</v>
      </c>
      <c r="CX4" s="17">
        <v>8760</v>
      </c>
      <c r="CY4" s="17">
        <v>8760</v>
      </c>
      <c r="CZ4" s="17">
        <v>8760</v>
      </c>
      <c r="DA4" s="17">
        <v>8760</v>
      </c>
      <c r="DB4" s="17">
        <v>8760</v>
      </c>
    </row>
    <row r="5" spans="1:106" s="17" customFormat="1" x14ac:dyDescent="0.25">
      <c r="A5" s="22" t="s">
        <v>34</v>
      </c>
      <c r="B5" s="17" t="s">
        <v>34</v>
      </c>
      <c r="C5" s="17" t="s">
        <v>438</v>
      </c>
      <c r="D5" s="17" t="s">
        <v>445</v>
      </c>
      <c r="E5" s="17" t="s">
        <v>446</v>
      </c>
      <c r="F5" s="17">
        <v>102204</v>
      </c>
      <c r="G5" s="17">
        <v>0</v>
      </c>
      <c r="H5" s="17">
        <v>0</v>
      </c>
      <c r="I5" s="17">
        <v>0</v>
      </c>
      <c r="J5" s="17">
        <v>0</v>
      </c>
      <c r="K5" s="17">
        <v>0</v>
      </c>
      <c r="L5" s="17">
        <v>0</v>
      </c>
      <c r="M5" s="17">
        <v>0</v>
      </c>
      <c r="N5" s="17">
        <v>0</v>
      </c>
      <c r="O5" s="17">
        <v>0</v>
      </c>
      <c r="P5" s="17">
        <v>0</v>
      </c>
      <c r="Q5" s="17">
        <v>0</v>
      </c>
      <c r="R5" s="17">
        <v>0</v>
      </c>
      <c r="S5" s="17">
        <v>0</v>
      </c>
      <c r="T5" s="17">
        <v>0</v>
      </c>
      <c r="U5" s="17">
        <v>0</v>
      </c>
      <c r="V5" s="17">
        <v>0</v>
      </c>
      <c r="W5" s="17">
        <v>0</v>
      </c>
      <c r="X5" s="17">
        <v>0</v>
      </c>
      <c r="Y5" s="17">
        <v>0</v>
      </c>
      <c r="Z5" s="17">
        <v>0</v>
      </c>
      <c r="AA5" s="17">
        <v>0</v>
      </c>
      <c r="AB5" s="17">
        <v>0</v>
      </c>
      <c r="AC5" s="17">
        <v>0</v>
      </c>
      <c r="AD5" s="17">
        <v>0</v>
      </c>
      <c r="AE5" s="17">
        <v>0</v>
      </c>
      <c r="AF5" s="17">
        <v>0</v>
      </c>
      <c r="AG5" s="17">
        <v>0</v>
      </c>
      <c r="AH5" s="17">
        <v>0</v>
      </c>
      <c r="AI5" s="17">
        <v>0</v>
      </c>
      <c r="AJ5" s="17">
        <v>0</v>
      </c>
      <c r="AK5" s="17">
        <v>0</v>
      </c>
      <c r="AL5" s="17">
        <v>0</v>
      </c>
      <c r="AM5" s="17">
        <v>0</v>
      </c>
      <c r="AN5" s="17">
        <v>0</v>
      </c>
      <c r="AO5" s="17">
        <v>0</v>
      </c>
      <c r="AP5" s="17">
        <v>2</v>
      </c>
      <c r="AQ5" s="17">
        <v>10</v>
      </c>
      <c r="AR5" s="17">
        <v>21</v>
      </c>
      <c r="AS5" s="17">
        <v>43</v>
      </c>
      <c r="AT5" s="17">
        <v>71</v>
      </c>
      <c r="AU5" s="17">
        <v>91</v>
      </c>
      <c r="AV5" s="17">
        <v>125</v>
      </c>
      <c r="AW5" s="17">
        <v>164</v>
      </c>
      <c r="AX5" s="17">
        <v>234</v>
      </c>
      <c r="AY5" s="17">
        <v>336</v>
      </c>
      <c r="AZ5" s="17">
        <v>479</v>
      </c>
      <c r="BA5" s="17">
        <v>691</v>
      </c>
      <c r="BB5" s="17">
        <v>932</v>
      </c>
      <c r="BC5" s="17">
        <v>1251</v>
      </c>
      <c r="BD5" s="17">
        <v>1583</v>
      </c>
      <c r="BE5" s="17">
        <v>1939</v>
      </c>
      <c r="BF5" s="17">
        <v>2355</v>
      </c>
      <c r="BG5" s="17">
        <v>2757</v>
      </c>
      <c r="BH5" s="17">
        <v>3256</v>
      </c>
      <c r="BI5" s="17">
        <v>3722</v>
      </c>
      <c r="BJ5" s="17">
        <v>4159</v>
      </c>
      <c r="BK5" s="17">
        <v>4575</v>
      </c>
      <c r="BL5" s="17">
        <v>4919</v>
      </c>
      <c r="BM5" s="17">
        <v>5199</v>
      </c>
      <c r="BN5" s="17">
        <v>5461</v>
      </c>
      <c r="BO5" s="17">
        <v>5791</v>
      </c>
      <c r="BP5" s="17">
        <v>6182</v>
      </c>
      <c r="BQ5" s="17">
        <v>6560</v>
      </c>
      <c r="BR5" s="17">
        <v>6960</v>
      </c>
      <c r="BS5" s="17">
        <v>7317</v>
      </c>
      <c r="BT5" s="17">
        <v>7624</v>
      </c>
      <c r="BU5" s="17">
        <v>7901</v>
      </c>
      <c r="BV5" s="17">
        <v>8124</v>
      </c>
      <c r="BW5" s="17">
        <v>8287</v>
      </c>
      <c r="BX5" s="17">
        <v>8396</v>
      </c>
      <c r="BY5" s="17">
        <v>8482</v>
      </c>
      <c r="BZ5" s="17">
        <v>8552</v>
      </c>
      <c r="CA5" s="17">
        <v>8614</v>
      </c>
      <c r="CB5" s="17">
        <v>8670</v>
      </c>
      <c r="CC5" s="17">
        <v>8707</v>
      </c>
      <c r="CD5" s="17">
        <v>8731</v>
      </c>
      <c r="CE5" s="17">
        <v>8745</v>
      </c>
      <c r="CF5" s="17">
        <v>8754</v>
      </c>
      <c r="CG5" s="17">
        <v>8760</v>
      </c>
      <c r="CH5" s="17">
        <v>8760</v>
      </c>
      <c r="CI5" s="17">
        <v>8760</v>
      </c>
      <c r="CJ5" s="17">
        <v>8760</v>
      </c>
      <c r="CK5" s="17">
        <v>8760</v>
      </c>
      <c r="CL5" s="17">
        <v>8760</v>
      </c>
      <c r="CM5" s="17">
        <v>8760</v>
      </c>
      <c r="CN5" s="17">
        <v>8760</v>
      </c>
      <c r="CO5" s="17">
        <v>8760</v>
      </c>
      <c r="CP5" s="17">
        <v>8760</v>
      </c>
      <c r="CQ5" s="17">
        <v>8760</v>
      </c>
      <c r="CR5" s="17">
        <v>8760</v>
      </c>
      <c r="CS5" s="17">
        <v>8760</v>
      </c>
      <c r="CT5" s="17">
        <v>8760</v>
      </c>
      <c r="CU5" s="17">
        <v>8760</v>
      </c>
      <c r="CV5" s="17">
        <v>8760</v>
      </c>
      <c r="CW5" s="17">
        <v>8760</v>
      </c>
      <c r="CX5" s="17">
        <v>8760</v>
      </c>
      <c r="CY5" s="17">
        <v>8760</v>
      </c>
      <c r="CZ5" s="17">
        <v>8760</v>
      </c>
      <c r="DA5" s="17">
        <v>8760</v>
      </c>
      <c r="DB5" s="17">
        <v>8760</v>
      </c>
    </row>
    <row r="6" spans="1:106" s="17" customFormat="1" x14ac:dyDescent="0.25">
      <c r="A6" s="22" t="s">
        <v>35</v>
      </c>
    </row>
    <row r="7" spans="1:106" s="17" customFormat="1" x14ac:dyDescent="0.25">
      <c r="A7" s="22" t="s">
        <v>36</v>
      </c>
    </row>
    <row r="8" spans="1:106" s="17" customFormat="1" x14ac:dyDescent="0.25">
      <c r="A8" s="22" t="s">
        <v>37</v>
      </c>
      <c r="B8" s="17" t="s">
        <v>37</v>
      </c>
      <c r="C8" s="17" t="s">
        <v>438</v>
      </c>
      <c r="D8" s="17" t="s">
        <v>447</v>
      </c>
      <c r="E8" s="17" t="s">
        <v>448</v>
      </c>
      <c r="F8" s="17">
        <v>102332</v>
      </c>
      <c r="G8" s="17">
        <v>0</v>
      </c>
      <c r="H8" s="17">
        <v>0</v>
      </c>
      <c r="I8" s="17">
        <v>0</v>
      </c>
      <c r="J8" s="17">
        <v>0</v>
      </c>
      <c r="K8" s="17">
        <v>0</v>
      </c>
      <c r="L8" s="17">
        <v>0</v>
      </c>
      <c r="M8" s="17">
        <v>0</v>
      </c>
      <c r="N8" s="17">
        <v>0</v>
      </c>
      <c r="O8" s="17">
        <v>0</v>
      </c>
      <c r="P8" s="17">
        <v>0</v>
      </c>
      <c r="Q8" s="17">
        <v>0</v>
      </c>
      <c r="R8" s="17">
        <v>0</v>
      </c>
      <c r="S8" s="17">
        <v>0</v>
      </c>
      <c r="T8" s="17">
        <v>0</v>
      </c>
      <c r="U8" s="17">
        <v>0</v>
      </c>
      <c r="V8" s="17">
        <v>0</v>
      </c>
      <c r="W8" s="17">
        <v>0</v>
      </c>
      <c r="X8" s="17">
        <v>0</v>
      </c>
      <c r="Y8" s="17">
        <v>0</v>
      </c>
      <c r="Z8" s="17">
        <v>0</v>
      </c>
      <c r="AA8" s="17">
        <v>0</v>
      </c>
      <c r="AB8" s="17">
        <v>0</v>
      </c>
      <c r="AC8" s="17">
        <v>0</v>
      </c>
      <c r="AD8" s="17">
        <v>0</v>
      </c>
      <c r="AE8" s="17">
        <v>0</v>
      </c>
      <c r="AF8" s="17">
        <v>0</v>
      </c>
      <c r="AG8" s="17">
        <v>0</v>
      </c>
      <c r="AH8" s="17">
        <v>0</v>
      </c>
      <c r="AI8" s="17">
        <v>0</v>
      </c>
      <c r="AJ8" s="17">
        <v>0</v>
      </c>
      <c r="AK8" s="17">
        <v>0</v>
      </c>
      <c r="AL8" s="17">
        <v>0</v>
      </c>
      <c r="AM8" s="17">
        <v>1</v>
      </c>
      <c r="AN8" s="17">
        <v>5</v>
      </c>
      <c r="AO8" s="17">
        <v>9</v>
      </c>
      <c r="AP8" s="17">
        <v>15</v>
      </c>
      <c r="AQ8" s="17">
        <v>24</v>
      </c>
      <c r="AR8" s="17">
        <v>33</v>
      </c>
      <c r="AS8" s="17">
        <v>54</v>
      </c>
      <c r="AT8" s="17">
        <v>79</v>
      </c>
      <c r="AU8" s="17">
        <v>111</v>
      </c>
      <c r="AV8" s="17">
        <v>167</v>
      </c>
      <c r="AW8" s="17">
        <v>219</v>
      </c>
      <c r="AX8" s="17">
        <v>306</v>
      </c>
      <c r="AY8" s="17">
        <v>394</v>
      </c>
      <c r="AZ8" s="17">
        <v>531</v>
      </c>
      <c r="BA8" s="17">
        <v>776</v>
      </c>
      <c r="BB8" s="17">
        <v>1034</v>
      </c>
      <c r="BC8" s="17">
        <v>1293</v>
      </c>
      <c r="BD8" s="17">
        <v>1655</v>
      </c>
      <c r="BE8" s="17">
        <v>2169</v>
      </c>
      <c r="BF8" s="17">
        <v>2542</v>
      </c>
      <c r="BG8" s="17">
        <v>3020</v>
      </c>
      <c r="BH8" s="17">
        <v>3484</v>
      </c>
      <c r="BI8" s="17">
        <v>3817</v>
      </c>
      <c r="BJ8" s="17">
        <v>4180</v>
      </c>
      <c r="BK8" s="17">
        <v>4518</v>
      </c>
      <c r="BL8" s="17">
        <v>4845</v>
      </c>
      <c r="BM8" s="17">
        <v>5114</v>
      </c>
      <c r="BN8" s="17">
        <v>5433</v>
      </c>
      <c r="BO8" s="17">
        <v>5856</v>
      </c>
      <c r="BP8" s="17">
        <v>6229</v>
      </c>
      <c r="BQ8" s="17">
        <v>6612</v>
      </c>
      <c r="BR8" s="17">
        <v>6903</v>
      </c>
      <c r="BS8" s="17">
        <v>7218</v>
      </c>
      <c r="BT8" s="17">
        <v>7534</v>
      </c>
      <c r="BU8" s="17">
        <v>7827</v>
      </c>
      <c r="BV8" s="17">
        <v>8065</v>
      </c>
      <c r="BW8" s="17">
        <v>8254</v>
      </c>
      <c r="BX8" s="17">
        <v>8410</v>
      </c>
      <c r="BY8" s="17">
        <v>8519</v>
      </c>
      <c r="BZ8" s="17">
        <v>8602</v>
      </c>
      <c r="CA8" s="17">
        <v>8673</v>
      </c>
      <c r="CB8" s="17">
        <v>8707</v>
      </c>
      <c r="CC8" s="17">
        <v>8729</v>
      </c>
      <c r="CD8" s="17">
        <v>8740</v>
      </c>
      <c r="CE8" s="17">
        <v>8751</v>
      </c>
      <c r="CF8" s="17">
        <v>8756</v>
      </c>
      <c r="CG8" s="17">
        <v>8758</v>
      </c>
      <c r="CH8" s="17">
        <v>8759</v>
      </c>
      <c r="CI8" s="17">
        <v>8760</v>
      </c>
      <c r="CJ8" s="17">
        <v>8760</v>
      </c>
      <c r="CK8" s="17">
        <v>8760</v>
      </c>
      <c r="CL8" s="17">
        <v>8760</v>
      </c>
      <c r="CM8" s="17">
        <v>8760</v>
      </c>
      <c r="CN8" s="17">
        <v>8760</v>
      </c>
      <c r="CO8" s="17">
        <v>8760</v>
      </c>
      <c r="CP8" s="17">
        <v>8760</v>
      </c>
      <c r="CQ8" s="17">
        <v>8760</v>
      </c>
      <c r="CR8" s="17">
        <v>8760</v>
      </c>
      <c r="CS8" s="17">
        <v>8760</v>
      </c>
      <c r="CT8" s="17">
        <v>8760</v>
      </c>
      <c r="CU8" s="17">
        <v>8760</v>
      </c>
      <c r="CV8" s="17">
        <v>8760</v>
      </c>
      <c r="CW8" s="17">
        <v>8760</v>
      </c>
      <c r="CX8" s="17">
        <v>8760</v>
      </c>
      <c r="CY8" s="17">
        <v>8760</v>
      </c>
      <c r="CZ8" s="17">
        <v>8760</v>
      </c>
      <c r="DA8" s="17">
        <v>8760</v>
      </c>
      <c r="DB8" s="17">
        <v>8760</v>
      </c>
    </row>
    <row r="9" spans="1:106" s="17" customFormat="1" x14ac:dyDescent="0.25">
      <c r="B9" s="17" t="s">
        <v>344</v>
      </c>
      <c r="C9" s="17" t="s">
        <v>438</v>
      </c>
      <c r="D9" s="17" t="s">
        <v>449</v>
      </c>
      <c r="E9" s="17" t="s">
        <v>450</v>
      </c>
      <c r="F9" s="17">
        <v>102343</v>
      </c>
      <c r="G9" s="17">
        <v>0</v>
      </c>
      <c r="H9" s="17">
        <v>0</v>
      </c>
      <c r="I9" s="17">
        <v>0</v>
      </c>
      <c r="J9" s="17">
        <v>0</v>
      </c>
      <c r="K9" s="17">
        <v>0</v>
      </c>
      <c r="L9" s="17">
        <v>0</v>
      </c>
      <c r="M9" s="17">
        <v>0</v>
      </c>
      <c r="N9" s="17">
        <v>0</v>
      </c>
      <c r="O9" s="17">
        <v>0</v>
      </c>
      <c r="P9" s="17">
        <v>0</v>
      </c>
      <c r="Q9" s="17">
        <v>0</v>
      </c>
      <c r="R9" s="17">
        <v>0</v>
      </c>
      <c r="S9" s="17">
        <v>0</v>
      </c>
      <c r="T9" s="17">
        <v>0</v>
      </c>
      <c r="U9" s="17">
        <v>0</v>
      </c>
      <c r="V9" s="17">
        <v>0</v>
      </c>
      <c r="W9" s="17">
        <v>0</v>
      </c>
      <c r="X9" s="17">
        <v>0</v>
      </c>
      <c r="Y9" s="17">
        <v>0</v>
      </c>
      <c r="Z9" s="17">
        <v>0</v>
      </c>
      <c r="AA9" s="17">
        <v>0</v>
      </c>
      <c r="AB9" s="17">
        <v>0</v>
      </c>
      <c r="AC9" s="17">
        <v>0</v>
      </c>
      <c r="AD9" s="17">
        <v>0</v>
      </c>
      <c r="AE9" s="17">
        <v>0</v>
      </c>
      <c r="AF9" s="17">
        <v>0</v>
      </c>
      <c r="AG9" s="17">
        <v>0</v>
      </c>
      <c r="AH9" s="17">
        <v>0</v>
      </c>
      <c r="AI9" s="17">
        <v>0</v>
      </c>
      <c r="AJ9" s="17">
        <v>0</v>
      </c>
      <c r="AK9" s="17">
        <v>0</v>
      </c>
      <c r="AL9" s="17">
        <v>2</v>
      </c>
      <c r="AM9" s="17">
        <v>6</v>
      </c>
      <c r="AN9" s="17">
        <v>10</v>
      </c>
      <c r="AO9" s="17">
        <v>17</v>
      </c>
      <c r="AP9" s="17">
        <v>26</v>
      </c>
      <c r="AQ9" s="17">
        <v>43</v>
      </c>
      <c r="AR9" s="17">
        <v>88</v>
      </c>
      <c r="AS9" s="17">
        <v>129</v>
      </c>
      <c r="AT9" s="17">
        <v>202</v>
      </c>
      <c r="AU9" s="17">
        <v>283</v>
      </c>
      <c r="AV9" s="17">
        <v>367</v>
      </c>
      <c r="AW9" s="17">
        <v>448</v>
      </c>
      <c r="AX9" s="17">
        <v>564</v>
      </c>
      <c r="AY9" s="17">
        <v>695</v>
      </c>
      <c r="AZ9" s="17">
        <v>876</v>
      </c>
      <c r="BA9" s="17">
        <v>1116</v>
      </c>
      <c r="BB9" s="17">
        <v>1361</v>
      </c>
      <c r="BC9" s="17">
        <v>1668</v>
      </c>
      <c r="BD9" s="17">
        <v>2043</v>
      </c>
      <c r="BE9" s="17">
        <v>2474</v>
      </c>
      <c r="BF9" s="17">
        <v>2863</v>
      </c>
      <c r="BG9" s="17">
        <v>3219</v>
      </c>
      <c r="BH9" s="17">
        <v>3592</v>
      </c>
      <c r="BI9" s="17">
        <v>3929</v>
      </c>
      <c r="BJ9" s="17">
        <v>4331</v>
      </c>
      <c r="BK9" s="17">
        <v>4687</v>
      </c>
      <c r="BL9" s="17">
        <v>5000</v>
      </c>
      <c r="BM9" s="17">
        <v>5354</v>
      </c>
      <c r="BN9" s="17">
        <v>5741</v>
      </c>
      <c r="BO9" s="17">
        <v>6175</v>
      </c>
      <c r="BP9" s="17">
        <v>6549</v>
      </c>
      <c r="BQ9" s="17">
        <v>6921</v>
      </c>
      <c r="BR9" s="17">
        <v>7270</v>
      </c>
      <c r="BS9" s="17">
        <v>7578</v>
      </c>
      <c r="BT9" s="17">
        <v>7876</v>
      </c>
      <c r="BU9" s="17">
        <v>8140</v>
      </c>
      <c r="BV9" s="17">
        <v>8338</v>
      </c>
      <c r="BW9" s="17">
        <v>8485</v>
      </c>
      <c r="BX9" s="17">
        <v>8583</v>
      </c>
      <c r="BY9" s="17">
        <v>8647</v>
      </c>
      <c r="BZ9" s="17">
        <v>8697</v>
      </c>
      <c r="CA9" s="17">
        <v>8728</v>
      </c>
      <c r="CB9" s="17">
        <v>8741</v>
      </c>
      <c r="CC9" s="17">
        <v>8751</v>
      </c>
      <c r="CD9" s="17">
        <v>8757</v>
      </c>
      <c r="CE9" s="17">
        <v>8760</v>
      </c>
      <c r="CF9" s="17">
        <v>8760</v>
      </c>
      <c r="CG9" s="17">
        <v>8760</v>
      </c>
      <c r="CH9" s="17">
        <v>8760</v>
      </c>
      <c r="CI9" s="17">
        <v>8760</v>
      </c>
      <c r="CJ9" s="17">
        <v>8760</v>
      </c>
      <c r="CK9" s="17">
        <v>8760</v>
      </c>
      <c r="CL9" s="17">
        <v>8760</v>
      </c>
      <c r="CM9" s="17">
        <v>8760</v>
      </c>
      <c r="CN9" s="17">
        <v>8760</v>
      </c>
      <c r="CO9" s="17">
        <v>8760</v>
      </c>
      <c r="CP9" s="17">
        <v>8760</v>
      </c>
      <c r="CQ9" s="17">
        <v>8760</v>
      </c>
      <c r="CR9" s="17">
        <v>8760</v>
      </c>
      <c r="CS9" s="17">
        <v>8760</v>
      </c>
      <c r="CT9" s="17">
        <v>8760</v>
      </c>
      <c r="CU9" s="17">
        <v>8760</v>
      </c>
      <c r="CV9" s="17">
        <v>8760</v>
      </c>
      <c r="CW9" s="17">
        <v>8760</v>
      </c>
      <c r="CX9" s="17">
        <v>8760</v>
      </c>
      <c r="CY9" s="17">
        <v>8760</v>
      </c>
      <c r="CZ9" s="17">
        <v>8760</v>
      </c>
      <c r="DA9" s="17">
        <v>8760</v>
      </c>
      <c r="DB9" s="17">
        <v>8760</v>
      </c>
    </row>
    <row r="10" spans="1:106" s="17" customFormat="1" x14ac:dyDescent="0.25">
      <c r="A10" s="22" t="s">
        <v>38</v>
      </c>
    </row>
    <row r="11" spans="1:106" s="17" customFormat="1" x14ac:dyDescent="0.25">
      <c r="A11" s="22" t="s">
        <v>39</v>
      </c>
    </row>
    <row r="12" spans="1:106" s="17" customFormat="1" x14ac:dyDescent="0.25">
      <c r="A12" s="22" t="s">
        <v>40</v>
      </c>
    </row>
    <row r="13" spans="1:106" s="17" customFormat="1" x14ac:dyDescent="0.25">
      <c r="A13" s="22" t="s">
        <v>41</v>
      </c>
    </row>
    <row r="14" spans="1:106" s="17" customFormat="1" x14ac:dyDescent="0.25">
      <c r="A14" s="22" t="s">
        <v>42</v>
      </c>
    </row>
    <row r="15" spans="1:106" s="17" customFormat="1" x14ac:dyDescent="0.25">
      <c r="A15" s="22" t="s">
        <v>43</v>
      </c>
    </row>
    <row r="16" spans="1:106" s="17" customFormat="1" x14ac:dyDescent="0.25">
      <c r="A16" s="22" t="s">
        <v>44</v>
      </c>
    </row>
    <row r="17" spans="1:106" s="17" customFormat="1" x14ac:dyDescent="0.25">
      <c r="A17" s="22"/>
    </row>
    <row r="18" spans="1:106" s="17" customFormat="1" x14ac:dyDescent="0.25">
      <c r="A18" s="22"/>
    </row>
    <row r="19" spans="1:106" s="17" customFormat="1" x14ac:dyDescent="0.25">
      <c r="A19" s="22"/>
    </row>
    <row r="21" spans="1:106" s="17" customFormat="1" x14ac:dyDescent="0.25">
      <c r="B21" s="17" t="s">
        <v>42</v>
      </c>
      <c r="C21" s="17" t="s">
        <v>438</v>
      </c>
      <c r="D21" s="17" t="s">
        <v>451</v>
      </c>
      <c r="E21" s="17" t="s">
        <v>452</v>
      </c>
      <c r="F21" s="17">
        <v>102601</v>
      </c>
      <c r="G21" s="17">
        <v>0</v>
      </c>
      <c r="H21" s="17">
        <v>0</v>
      </c>
      <c r="I21" s="17">
        <v>0</v>
      </c>
      <c r="J21" s="17">
        <v>0</v>
      </c>
      <c r="K21" s="17">
        <v>0</v>
      </c>
      <c r="L21" s="17">
        <v>0</v>
      </c>
      <c r="M21" s="17">
        <v>0</v>
      </c>
      <c r="N21" s="17">
        <v>0</v>
      </c>
      <c r="O21" s="17">
        <v>0</v>
      </c>
      <c r="P21" s="17">
        <v>0</v>
      </c>
      <c r="Q21" s="17">
        <v>0</v>
      </c>
      <c r="R21" s="17">
        <v>0</v>
      </c>
      <c r="S21" s="17">
        <v>0</v>
      </c>
      <c r="T21" s="17">
        <v>0</v>
      </c>
      <c r="U21" s="17">
        <v>0</v>
      </c>
      <c r="V21" s="17">
        <v>0</v>
      </c>
      <c r="W21" s="17">
        <v>0</v>
      </c>
      <c r="X21" s="17">
        <v>0</v>
      </c>
      <c r="Y21" s="17">
        <v>0</v>
      </c>
      <c r="Z21" s="17">
        <v>0</v>
      </c>
      <c r="AA21" s="17">
        <v>0</v>
      </c>
      <c r="AB21" s="17">
        <v>0</v>
      </c>
      <c r="AC21" s="17">
        <v>0</v>
      </c>
      <c r="AD21" s="17">
        <v>0</v>
      </c>
      <c r="AE21" s="17">
        <v>0</v>
      </c>
      <c r="AF21" s="17">
        <v>0</v>
      </c>
      <c r="AG21" s="17">
        <v>0</v>
      </c>
      <c r="AH21" s="17">
        <v>0</v>
      </c>
      <c r="AI21" s="17">
        <v>0</v>
      </c>
      <c r="AJ21" s="17">
        <v>4</v>
      </c>
      <c r="AK21" s="17">
        <v>5</v>
      </c>
      <c r="AL21" s="17">
        <v>10</v>
      </c>
      <c r="AM21" s="17">
        <v>23</v>
      </c>
      <c r="AN21" s="17">
        <v>43</v>
      </c>
      <c r="AO21" s="17">
        <v>69</v>
      </c>
      <c r="AP21" s="17">
        <v>99</v>
      </c>
      <c r="AQ21" s="17">
        <v>152</v>
      </c>
      <c r="AR21" s="17">
        <v>202</v>
      </c>
      <c r="AS21" s="17">
        <v>246</v>
      </c>
      <c r="AT21" s="17">
        <v>308</v>
      </c>
      <c r="AU21" s="17">
        <v>376</v>
      </c>
      <c r="AV21" s="17">
        <v>470</v>
      </c>
      <c r="AW21" s="17">
        <v>577</v>
      </c>
      <c r="AX21" s="17">
        <v>705</v>
      </c>
      <c r="AY21" s="17">
        <v>841</v>
      </c>
      <c r="AZ21" s="17">
        <v>1014</v>
      </c>
      <c r="BA21" s="17">
        <v>1249</v>
      </c>
      <c r="BB21" s="17">
        <v>1552</v>
      </c>
      <c r="BC21" s="17">
        <v>1922</v>
      </c>
      <c r="BD21" s="17">
        <v>2242</v>
      </c>
      <c r="BE21" s="17">
        <v>2611</v>
      </c>
      <c r="BF21" s="17">
        <v>2994</v>
      </c>
      <c r="BG21" s="17">
        <v>3337</v>
      </c>
      <c r="BH21" s="17">
        <v>3666</v>
      </c>
      <c r="BI21" s="17">
        <v>3959</v>
      </c>
      <c r="BJ21" s="17">
        <v>4226</v>
      </c>
      <c r="BK21" s="17">
        <v>4528</v>
      </c>
      <c r="BL21" s="17">
        <v>4820</v>
      </c>
      <c r="BM21" s="17">
        <v>5151</v>
      </c>
      <c r="BN21" s="17">
        <v>5524</v>
      </c>
      <c r="BO21" s="17">
        <v>5839</v>
      </c>
      <c r="BP21" s="17">
        <v>6210</v>
      </c>
      <c r="BQ21" s="17">
        <v>6576</v>
      </c>
      <c r="BR21" s="17">
        <v>6946</v>
      </c>
      <c r="BS21" s="17">
        <v>7255</v>
      </c>
      <c r="BT21" s="17">
        <v>7524</v>
      </c>
      <c r="BU21" s="17">
        <v>7764</v>
      </c>
      <c r="BV21" s="17">
        <v>7954</v>
      </c>
      <c r="BW21" s="17">
        <v>8142</v>
      </c>
      <c r="BX21" s="17">
        <v>8310</v>
      </c>
      <c r="BY21" s="17">
        <v>8411</v>
      </c>
      <c r="BZ21" s="17">
        <v>8484</v>
      </c>
      <c r="CA21" s="17">
        <v>8549</v>
      </c>
      <c r="CB21" s="17">
        <v>8606</v>
      </c>
      <c r="CC21" s="17">
        <v>8649</v>
      </c>
      <c r="CD21" s="17">
        <v>8695</v>
      </c>
      <c r="CE21" s="17">
        <v>8721</v>
      </c>
      <c r="CF21" s="17">
        <v>8736</v>
      </c>
      <c r="CG21" s="17">
        <v>8753</v>
      </c>
      <c r="CH21" s="17">
        <v>8760</v>
      </c>
      <c r="CI21" s="17">
        <v>8760</v>
      </c>
      <c r="CJ21" s="17">
        <v>8760</v>
      </c>
      <c r="CK21" s="17">
        <v>8760</v>
      </c>
      <c r="CL21" s="17">
        <v>8760</v>
      </c>
      <c r="CM21" s="17">
        <v>8760</v>
      </c>
      <c r="CN21" s="17">
        <v>8760</v>
      </c>
      <c r="CO21" s="17">
        <v>8760</v>
      </c>
      <c r="CP21" s="17">
        <v>8760</v>
      </c>
      <c r="CQ21" s="17">
        <v>8760</v>
      </c>
      <c r="CR21" s="17">
        <v>8760</v>
      </c>
      <c r="CS21" s="17">
        <v>8760</v>
      </c>
      <c r="CT21" s="17">
        <v>8760</v>
      </c>
      <c r="CU21" s="17">
        <v>8760</v>
      </c>
      <c r="CV21" s="17">
        <v>8760</v>
      </c>
      <c r="CW21" s="17">
        <v>8760</v>
      </c>
      <c r="CX21" s="17">
        <v>8760</v>
      </c>
      <c r="CY21" s="17">
        <v>8760</v>
      </c>
      <c r="CZ21" s="17">
        <v>8760</v>
      </c>
      <c r="DA21" s="17">
        <v>8760</v>
      </c>
      <c r="DB21" s="17">
        <v>8760</v>
      </c>
    </row>
    <row r="22" spans="1:106" s="17" customFormat="1" x14ac:dyDescent="0.25">
      <c r="B22" s="17" t="s">
        <v>45</v>
      </c>
      <c r="C22" s="17" t="s">
        <v>438</v>
      </c>
      <c r="D22" s="17" t="s">
        <v>453</v>
      </c>
      <c r="E22" s="17" t="s">
        <v>454</v>
      </c>
      <c r="F22" s="17">
        <v>102001</v>
      </c>
      <c r="G22" s="17">
        <v>0</v>
      </c>
      <c r="H22" s="17">
        <v>0</v>
      </c>
      <c r="I22" s="17">
        <v>0</v>
      </c>
      <c r="J22" s="17">
        <v>0</v>
      </c>
      <c r="K22" s="17">
        <v>0</v>
      </c>
      <c r="L22" s="17">
        <v>0</v>
      </c>
      <c r="M22" s="17">
        <v>0</v>
      </c>
      <c r="N22" s="17">
        <v>0</v>
      </c>
      <c r="O22" s="17">
        <v>0</v>
      </c>
      <c r="P22" s="17">
        <v>0</v>
      </c>
      <c r="Q22" s="17">
        <v>0</v>
      </c>
      <c r="R22" s="17">
        <v>0</v>
      </c>
      <c r="S22" s="17">
        <v>0</v>
      </c>
      <c r="T22" s="17">
        <v>3</v>
      </c>
      <c r="U22" s="17">
        <v>7</v>
      </c>
      <c r="V22" s="17">
        <v>9</v>
      </c>
      <c r="W22" s="17">
        <v>12</v>
      </c>
      <c r="X22" s="17">
        <v>14</v>
      </c>
      <c r="Y22" s="17">
        <v>17</v>
      </c>
      <c r="Z22" s="17">
        <v>22</v>
      </c>
      <c r="AA22" s="17">
        <v>36</v>
      </c>
      <c r="AB22" s="17">
        <v>53</v>
      </c>
      <c r="AC22" s="17">
        <v>104</v>
      </c>
      <c r="AD22" s="17">
        <v>152</v>
      </c>
      <c r="AE22" s="17">
        <v>186</v>
      </c>
      <c r="AF22" s="17">
        <v>212</v>
      </c>
      <c r="AG22" s="17">
        <v>260</v>
      </c>
      <c r="AH22" s="17">
        <v>307</v>
      </c>
      <c r="AI22" s="17">
        <v>353</v>
      </c>
      <c r="AJ22" s="17">
        <v>397</v>
      </c>
      <c r="AK22" s="17">
        <v>441</v>
      </c>
      <c r="AL22" s="17">
        <v>506</v>
      </c>
      <c r="AM22" s="17">
        <v>593</v>
      </c>
      <c r="AN22" s="17">
        <v>661</v>
      </c>
      <c r="AO22" s="17">
        <v>748</v>
      </c>
      <c r="AP22" s="17">
        <v>845</v>
      </c>
      <c r="AQ22" s="17">
        <v>960</v>
      </c>
      <c r="AR22" s="17">
        <v>1070</v>
      </c>
      <c r="AS22" s="17">
        <v>1208</v>
      </c>
      <c r="AT22" s="17">
        <v>1373</v>
      </c>
      <c r="AU22" s="17">
        <v>1547</v>
      </c>
      <c r="AV22" s="17">
        <v>1747</v>
      </c>
      <c r="AW22" s="17">
        <v>1972</v>
      </c>
      <c r="AX22" s="17">
        <v>2197</v>
      </c>
      <c r="AY22" s="17">
        <v>2480</v>
      </c>
      <c r="AZ22" s="17">
        <v>2735</v>
      </c>
      <c r="BA22" s="17">
        <v>3019</v>
      </c>
      <c r="BB22" s="17">
        <v>3310</v>
      </c>
      <c r="BC22" s="17">
        <v>3656</v>
      </c>
      <c r="BD22" s="17">
        <v>4013</v>
      </c>
      <c r="BE22" s="17">
        <v>4349</v>
      </c>
      <c r="BF22" s="17">
        <v>4654</v>
      </c>
      <c r="BG22" s="17">
        <v>4990</v>
      </c>
      <c r="BH22" s="17">
        <v>5248</v>
      </c>
      <c r="BI22" s="17">
        <v>5555</v>
      </c>
      <c r="BJ22" s="17">
        <v>5848</v>
      </c>
      <c r="BK22" s="17">
        <v>6171</v>
      </c>
      <c r="BL22" s="17">
        <v>6496</v>
      </c>
      <c r="BM22" s="17">
        <v>6844</v>
      </c>
      <c r="BN22" s="17">
        <v>7164</v>
      </c>
      <c r="BO22" s="17">
        <v>7460</v>
      </c>
      <c r="BP22" s="17">
        <v>7733</v>
      </c>
      <c r="BQ22" s="17">
        <v>7965</v>
      </c>
      <c r="BR22" s="17">
        <v>8163</v>
      </c>
      <c r="BS22" s="17">
        <v>8332</v>
      </c>
      <c r="BT22" s="17">
        <v>8473</v>
      </c>
      <c r="BU22" s="17">
        <v>8567</v>
      </c>
      <c r="BV22" s="17">
        <v>8648</v>
      </c>
      <c r="BW22" s="17">
        <v>8702</v>
      </c>
      <c r="BX22" s="17">
        <v>8741</v>
      </c>
      <c r="BY22" s="17">
        <v>8756</v>
      </c>
      <c r="BZ22" s="17">
        <v>8759</v>
      </c>
      <c r="CA22" s="17">
        <v>8760</v>
      </c>
      <c r="CB22" s="17">
        <v>8760</v>
      </c>
      <c r="CC22" s="17">
        <v>8760</v>
      </c>
      <c r="CD22" s="17">
        <v>8760</v>
      </c>
      <c r="CE22" s="17">
        <v>8760</v>
      </c>
      <c r="CF22" s="17">
        <v>8760</v>
      </c>
      <c r="CG22" s="17">
        <v>8760</v>
      </c>
      <c r="CH22" s="17">
        <v>8760</v>
      </c>
      <c r="CI22" s="17">
        <v>8760</v>
      </c>
      <c r="CJ22" s="17">
        <v>8760</v>
      </c>
      <c r="CK22" s="17">
        <v>8760</v>
      </c>
      <c r="CL22" s="17">
        <v>8760</v>
      </c>
      <c r="CM22" s="17">
        <v>8760</v>
      </c>
      <c r="CN22" s="17">
        <v>8760</v>
      </c>
      <c r="CO22" s="17">
        <v>8760</v>
      </c>
      <c r="CP22" s="17">
        <v>8760</v>
      </c>
      <c r="CQ22" s="17">
        <v>8760</v>
      </c>
      <c r="CR22" s="17">
        <v>8760</v>
      </c>
      <c r="CS22" s="17">
        <v>8760</v>
      </c>
      <c r="CT22" s="17">
        <v>8760</v>
      </c>
      <c r="CU22" s="17">
        <v>8760</v>
      </c>
      <c r="CV22" s="17">
        <v>8760</v>
      </c>
      <c r="CW22" s="17">
        <v>8760</v>
      </c>
      <c r="CX22" s="17">
        <v>8760</v>
      </c>
      <c r="CY22" s="17">
        <v>8760</v>
      </c>
      <c r="CZ22" s="17">
        <v>8760</v>
      </c>
      <c r="DA22" s="17">
        <v>8760</v>
      </c>
      <c r="DB22" s="17">
        <v>8760</v>
      </c>
    </row>
    <row r="23" spans="1:106" s="17" customFormat="1" x14ac:dyDescent="0.25">
      <c r="B23" s="17" t="s">
        <v>46</v>
      </c>
      <c r="C23" s="17" t="s">
        <v>438</v>
      </c>
      <c r="D23" s="17" t="s">
        <v>455</v>
      </c>
      <c r="E23" s="17" t="s">
        <v>456</v>
      </c>
      <c r="F23" s="17">
        <v>102002</v>
      </c>
      <c r="G23" s="17">
        <v>0</v>
      </c>
      <c r="H23" s="17">
        <v>0</v>
      </c>
      <c r="I23" s="17">
        <v>0</v>
      </c>
      <c r="J23" s="17">
        <v>0</v>
      </c>
      <c r="K23" s="17">
        <v>0</v>
      </c>
      <c r="L23" s="17">
        <v>0</v>
      </c>
      <c r="M23" s="17">
        <v>0</v>
      </c>
      <c r="N23" s="17">
        <v>0</v>
      </c>
      <c r="O23" s="17">
        <v>0</v>
      </c>
      <c r="P23" s="17">
        <v>0</v>
      </c>
      <c r="Q23" s="17">
        <v>0</v>
      </c>
      <c r="R23" s="17">
        <v>0</v>
      </c>
      <c r="S23" s="17">
        <v>0</v>
      </c>
      <c r="T23" s="17">
        <v>0</v>
      </c>
      <c r="U23" s="17">
        <v>0</v>
      </c>
      <c r="V23" s="17">
        <v>0</v>
      </c>
      <c r="W23" s="17">
        <v>0</v>
      </c>
      <c r="X23" s="17">
        <v>0</v>
      </c>
      <c r="Y23" s="17">
        <v>0</v>
      </c>
      <c r="Z23" s="17">
        <v>0</v>
      </c>
      <c r="AA23" s="17">
        <v>0</v>
      </c>
      <c r="AB23" s="17">
        <v>0</v>
      </c>
      <c r="AC23" s="17">
        <v>0</v>
      </c>
      <c r="AD23" s="17">
        <v>2</v>
      </c>
      <c r="AE23" s="17">
        <v>11</v>
      </c>
      <c r="AF23" s="17">
        <v>36</v>
      </c>
      <c r="AG23" s="17">
        <v>68</v>
      </c>
      <c r="AH23" s="17">
        <v>97</v>
      </c>
      <c r="AI23" s="17">
        <v>132</v>
      </c>
      <c r="AJ23" s="17">
        <v>175</v>
      </c>
      <c r="AK23" s="17">
        <v>233</v>
      </c>
      <c r="AL23" s="17">
        <v>284</v>
      </c>
      <c r="AM23" s="17">
        <v>364</v>
      </c>
      <c r="AN23" s="17">
        <v>437</v>
      </c>
      <c r="AO23" s="17">
        <v>540</v>
      </c>
      <c r="AP23" s="17">
        <v>665</v>
      </c>
      <c r="AQ23" s="17">
        <v>776</v>
      </c>
      <c r="AR23" s="17">
        <v>907</v>
      </c>
      <c r="AS23" s="17">
        <v>1054</v>
      </c>
      <c r="AT23" s="17">
        <v>1247</v>
      </c>
      <c r="AU23" s="17">
        <v>1457</v>
      </c>
      <c r="AV23" s="17">
        <v>1728</v>
      </c>
      <c r="AW23" s="17">
        <v>2036</v>
      </c>
      <c r="AX23" s="17">
        <v>2335</v>
      </c>
      <c r="AY23" s="17">
        <v>2641</v>
      </c>
      <c r="AZ23" s="17">
        <v>2924</v>
      </c>
      <c r="BA23" s="17">
        <v>3229</v>
      </c>
      <c r="BB23" s="17">
        <v>3518</v>
      </c>
      <c r="BC23" s="17">
        <v>3768</v>
      </c>
      <c r="BD23" s="17">
        <v>4059</v>
      </c>
      <c r="BE23" s="17">
        <v>4389</v>
      </c>
      <c r="BF23" s="17">
        <v>4687</v>
      </c>
      <c r="BG23" s="17">
        <v>4962</v>
      </c>
      <c r="BH23" s="17">
        <v>5209</v>
      </c>
      <c r="BI23" s="17">
        <v>5482</v>
      </c>
      <c r="BJ23" s="17">
        <v>5754</v>
      </c>
      <c r="BK23" s="17">
        <v>6070</v>
      </c>
      <c r="BL23" s="17">
        <v>6361</v>
      </c>
      <c r="BM23" s="17">
        <v>6647</v>
      </c>
      <c r="BN23" s="17">
        <v>6916</v>
      </c>
      <c r="BO23" s="17">
        <v>7183</v>
      </c>
      <c r="BP23" s="17">
        <v>7521</v>
      </c>
      <c r="BQ23" s="17">
        <v>7776</v>
      </c>
      <c r="BR23" s="17">
        <v>7981</v>
      </c>
      <c r="BS23" s="17">
        <v>8182</v>
      </c>
      <c r="BT23" s="17">
        <v>8347</v>
      </c>
      <c r="BU23" s="17">
        <v>8450</v>
      </c>
      <c r="BV23" s="17">
        <v>8532</v>
      </c>
      <c r="BW23" s="17">
        <v>8619</v>
      </c>
      <c r="BX23" s="17">
        <v>8689</v>
      </c>
      <c r="BY23" s="17">
        <v>8726</v>
      </c>
      <c r="BZ23" s="17">
        <v>8742</v>
      </c>
      <c r="CA23" s="17">
        <v>8749</v>
      </c>
      <c r="CB23" s="17">
        <v>8750</v>
      </c>
      <c r="CC23" s="17">
        <v>8752</v>
      </c>
      <c r="CD23" s="17">
        <v>8753</v>
      </c>
      <c r="CE23" s="17">
        <v>8757</v>
      </c>
      <c r="CF23" s="17">
        <v>8760</v>
      </c>
      <c r="CG23" s="17">
        <v>8760</v>
      </c>
      <c r="CH23" s="17">
        <v>8760</v>
      </c>
      <c r="CI23" s="17">
        <v>8760</v>
      </c>
      <c r="CJ23" s="17">
        <v>8760</v>
      </c>
      <c r="CK23" s="17">
        <v>8760</v>
      </c>
      <c r="CL23" s="17">
        <v>8760</v>
      </c>
      <c r="CM23" s="17">
        <v>8760</v>
      </c>
      <c r="CN23" s="17">
        <v>8760</v>
      </c>
      <c r="CO23" s="17">
        <v>8760</v>
      </c>
      <c r="CP23" s="17">
        <v>8760</v>
      </c>
      <c r="CQ23" s="17">
        <v>8760</v>
      </c>
      <c r="CR23" s="17">
        <v>8760</v>
      </c>
      <c r="CS23" s="17">
        <v>8760</v>
      </c>
      <c r="CT23" s="17">
        <v>8760</v>
      </c>
      <c r="CU23" s="17">
        <v>8760</v>
      </c>
      <c r="CV23" s="17">
        <v>8760</v>
      </c>
      <c r="CW23" s="17">
        <v>8760</v>
      </c>
      <c r="CX23" s="17">
        <v>8760</v>
      </c>
      <c r="CY23" s="17">
        <v>8760</v>
      </c>
      <c r="CZ23" s="17">
        <v>8760</v>
      </c>
      <c r="DA23" s="17">
        <v>8760</v>
      </c>
      <c r="DB23" s="17">
        <v>8760</v>
      </c>
    </row>
    <row r="24" spans="1:106" s="17" customFormat="1" x14ac:dyDescent="0.25">
      <c r="B24" s="17" t="s">
        <v>47</v>
      </c>
      <c r="C24" s="17" t="s">
        <v>438</v>
      </c>
      <c r="D24" s="17" t="s">
        <v>457</v>
      </c>
      <c r="E24" s="17" t="s">
        <v>458</v>
      </c>
      <c r="F24" s="17">
        <v>102503</v>
      </c>
      <c r="G24" s="17">
        <v>0</v>
      </c>
      <c r="H24" s="17">
        <v>0</v>
      </c>
      <c r="I24" s="17">
        <v>0</v>
      </c>
      <c r="J24" s="17">
        <v>0</v>
      </c>
      <c r="K24" s="17">
        <v>0</v>
      </c>
      <c r="L24" s="17">
        <v>0</v>
      </c>
      <c r="M24" s="17">
        <v>0</v>
      </c>
      <c r="N24" s="17">
        <v>0</v>
      </c>
      <c r="O24" s="17">
        <v>0</v>
      </c>
      <c r="P24" s="17">
        <v>0</v>
      </c>
      <c r="Q24" s="17">
        <v>0</v>
      </c>
      <c r="R24" s="17">
        <v>0</v>
      </c>
      <c r="S24" s="17">
        <v>0</v>
      </c>
      <c r="T24" s="17">
        <v>0</v>
      </c>
      <c r="U24" s="17">
        <v>0</v>
      </c>
      <c r="V24" s="17">
        <v>0</v>
      </c>
      <c r="W24" s="17">
        <v>0</v>
      </c>
      <c r="X24" s="17">
        <v>0</v>
      </c>
      <c r="Y24" s="17">
        <v>0</v>
      </c>
      <c r="Z24" s="17">
        <v>0</v>
      </c>
      <c r="AA24" s="17">
        <v>0</v>
      </c>
      <c r="AB24" s="17">
        <v>0</v>
      </c>
      <c r="AC24" s="17">
        <v>0</v>
      </c>
      <c r="AD24" s="17">
        <v>0</v>
      </c>
      <c r="AE24" s="17">
        <v>0</v>
      </c>
      <c r="AF24" s="17">
        <v>0</v>
      </c>
      <c r="AG24" s="17">
        <v>0</v>
      </c>
      <c r="AH24" s="17">
        <v>0</v>
      </c>
      <c r="AI24" s="17">
        <v>0</v>
      </c>
      <c r="AJ24" s="17">
        <v>0</v>
      </c>
      <c r="AK24" s="17">
        <v>1</v>
      </c>
      <c r="AL24" s="17">
        <v>10</v>
      </c>
      <c r="AM24" s="17">
        <v>26</v>
      </c>
      <c r="AN24" s="17">
        <v>50</v>
      </c>
      <c r="AO24" s="17">
        <v>66</v>
      </c>
      <c r="AP24" s="17">
        <v>87</v>
      </c>
      <c r="AQ24" s="17">
        <v>108</v>
      </c>
      <c r="AR24" s="17">
        <v>138</v>
      </c>
      <c r="AS24" s="17">
        <v>174</v>
      </c>
      <c r="AT24" s="17">
        <v>219</v>
      </c>
      <c r="AU24" s="17">
        <v>286</v>
      </c>
      <c r="AV24" s="17">
        <v>353</v>
      </c>
      <c r="AW24" s="17">
        <v>442</v>
      </c>
      <c r="AX24" s="17">
        <v>561</v>
      </c>
      <c r="AY24" s="17">
        <v>710</v>
      </c>
      <c r="AZ24" s="17">
        <v>905</v>
      </c>
      <c r="BA24" s="17">
        <v>1119</v>
      </c>
      <c r="BB24" s="17">
        <v>1427</v>
      </c>
      <c r="BC24" s="17">
        <v>1759</v>
      </c>
      <c r="BD24" s="17">
        <v>2151</v>
      </c>
      <c r="BE24" s="17">
        <v>2597</v>
      </c>
      <c r="BF24" s="17">
        <v>3034</v>
      </c>
      <c r="BG24" s="17">
        <v>3482</v>
      </c>
      <c r="BH24" s="17">
        <v>3853</v>
      </c>
      <c r="BI24" s="17">
        <v>4268</v>
      </c>
      <c r="BJ24" s="17">
        <v>4628</v>
      </c>
      <c r="BK24" s="17">
        <v>4942</v>
      </c>
      <c r="BL24" s="17">
        <v>5232</v>
      </c>
      <c r="BM24" s="17">
        <v>5525</v>
      </c>
      <c r="BN24" s="17">
        <v>5804</v>
      </c>
      <c r="BO24" s="17">
        <v>6112</v>
      </c>
      <c r="BP24" s="17">
        <v>6426</v>
      </c>
      <c r="BQ24" s="17">
        <v>6722</v>
      </c>
      <c r="BR24" s="17">
        <v>7059</v>
      </c>
      <c r="BS24" s="17">
        <v>7324</v>
      </c>
      <c r="BT24" s="17">
        <v>7582</v>
      </c>
      <c r="BU24" s="17">
        <v>7809</v>
      </c>
      <c r="BV24" s="17">
        <v>7987</v>
      </c>
      <c r="BW24" s="17">
        <v>8148</v>
      </c>
      <c r="BX24" s="17">
        <v>8303</v>
      </c>
      <c r="BY24" s="17">
        <v>8398</v>
      </c>
      <c r="BZ24" s="17">
        <v>8472</v>
      </c>
      <c r="CA24" s="17">
        <v>8547</v>
      </c>
      <c r="CB24" s="17">
        <v>8602</v>
      </c>
      <c r="CC24" s="17">
        <v>8645</v>
      </c>
      <c r="CD24" s="17">
        <v>8690</v>
      </c>
      <c r="CE24" s="17">
        <v>8736</v>
      </c>
      <c r="CF24" s="17">
        <v>8753</v>
      </c>
      <c r="CG24" s="17">
        <v>8760</v>
      </c>
      <c r="CH24" s="17">
        <v>8760</v>
      </c>
      <c r="CI24" s="17">
        <v>8760</v>
      </c>
      <c r="CJ24" s="17">
        <v>8760</v>
      </c>
      <c r="CK24" s="17">
        <v>8760</v>
      </c>
      <c r="CL24" s="17">
        <v>8760</v>
      </c>
      <c r="CM24" s="17">
        <v>8760</v>
      </c>
      <c r="CN24" s="17">
        <v>8760</v>
      </c>
      <c r="CO24" s="17">
        <v>8760</v>
      </c>
      <c r="CP24" s="17">
        <v>8760</v>
      </c>
      <c r="CQ24" s="17">
        <v>8760</v>
      </c>
      <c r="CR24" s="17">
        <v>8760</v>
      </c>
      <c r="CS24" s="17">
        <v>8760</v>
      </c>
      <c r="CT24" s="17">
        <v>8760</v>
      </c>
      <c r="CU24" s="17">
        <v>8760</v>
      </c>
      <c r="CV24" s="17">
        <v>8760</v>
      </c>
      <c r="CW24" s="17">
        <v>8760</v>
      </c>
      <c r="CX24" s="17">
        <v>8760</v>
      </c>
      <c r="CY24" s="17">
        <v>8760</v>
      </c>
      <c r="CZ24" s="17">
        <v>8760</v>
      </c>
      <c r="DA24" s="17">
        <v>8760</v>
      </c>
      <c r="DB24" s="17">
        <v>8760</v>
      </c>
    </row>
    <row r="25" spans="1:106" s="17" customFormat="1" x14ac:dyDescent="0.25">
      <c r="B25" s="17" t="s">
        <v>49</v>
      </c>
      <c r="C25" s="17" t="s">
        <v>438</v>
      </c>
      <c r="D25" s="17" t="s">
        <v>459</v>
      </c>
      <c r="E25" s="17" t="s">
        <v>460</v>
      </c>
      <c r="F25" s="17">
        <v>102512</v>
      </c>
      <c r="G25" s="17">
        <v>0</v>
      </c>
      <c r="H25" s="17">
        <v>0</v>
      </c>
      <c r="I25" s="17">
        <v>0</v>
      </c>
      <c r="J25" s="17">
        <v>0</v>
      </c>
      <c r="K25" s="17">
        <v>0</v>
      </c>
      <c r="L25" s="17">
        <v>0</v>
      </c>
      <c r="M25" s="17">
        <v>0</v>
      </c>
      <c r="N25" s="17">
        <v>0</v>
      </c>
      <c r="O25" s="17">
        <v>0</v>
      </c>
      <c r="P25" s="17">
        <v>0</v>
      </c>
      <c r="Q25" s="17">
        <v>0</v>
      </c>
      <c r="R25" s="17">
        <v>0</v>
      </c>
      <c r="S25" s="17">
        <v>0</v>
      </c>
      <c r="T25" s="17">
        <v>0</v>
      </c>
      <c r="U25" s="17">
        <v>0</v>
      </c>
      <c r="V25" s="17">
        <v>0</v>
      </c>
      <c r="W25" s="17">
        <v>0</v>
      </c>
      <c r="X25" s="17">
        <v>0</v>
      </c>
      <c r="Y25" s="17">
        <v>0</v>
      </c>
      <c r="Z25" s="17">
        <v>0</v>
      </c>
      <c r="AA25" s="17">
        <v>0</v>
      </c>
      <c r="AB25" s="17">
        <v>0</v>
      </c>
      <c r="AC25" s="17">
        <v>0</v>
      </c>
      <c r="AD25" s="17">
        <v>0</v>
      </c>
      <c r="AE25" s="17">
        <v>0</v>
      </c>
      <c r="AF25" s="17">
        <v>0</v>
      </c>
      <c r="AG25" s="17">
        <v>0</v>
      </c>
      <c r="AH25" s="17">
        <v>0</v>
      </c>
      <c r="AI25" s="17">
        <v>0</v>
      </c>
      <c r="AJ25" s="17">
        <v>0</v>
      </c>
      <c r="AK25" s="17">
        <v>0</v>
      </c>
      <c r="AL25" s="17">
        <v>3</v>
      </c>
      <c r="AM25" s="17">
        <v>6</v>
      </c>
      <c r="AN25" s="17">
        <v>8</v>
      </c>
      <c r="AO25" s="17">
        <v>18</v>
      </c>
      <c r="AP25" s="17">
        <v>42</v>
      </c>
      <c r="AQ25" s="17">
        <v>82</v>
      </c>
      <c r="AR25" s="17">
        <v>104</v>
      </c>
      <c r="AS25" s="17">
        <v>138</v>
      </c>
      <c r="AT25" s="17">
        <v>181</v>
      </c>
      <c r="AU25" s="17">
        <v>217</v>
      </c>
      <c r="AV25" s="17">
        <v>253</v>
      </c>
      <c r="AW25" s="17">
        <v>298</v>
      </c>
      <c r="AX25" s="17">
        <v>419</v>
      </c>
      <c r="AY25" s="17">
        <v>584</v>
      </c>
      <c r="AZ25" s="17">
        <v>793</v>
      </c>
      <c r="BA25" s="17">
        <v>1045</v>
      </c>
      <c r="BB25" s="17">
        <v>1338</v>
      </c>
      <c r="BC25" s="17">
        <v>1604</v>
      </c>
      <c r="BD25" s="17">
        <v>2006</v>
      </c>
      <c r="BE25" s="17">
        <v>2487</v>
      </c>
      <c r="BF25" s="17">
        <v>2926</v>
      </c>
      <c r="BG25" s="17">
        <v>3325</v>
      </c>
      <c r="BH25" s="17">
        <v>3693</v>
      </c>
      <c r="BI25" s="17">
        <v>4022</v>
      </c>
      <c r="BJ25" s="17">
        <v>4404</v>
      </c>
      <c r="BK25" s="17">
        <v>4783</v>
      </c>
      <c r="BL25" s="17">
        <v>5111</v>
      </c>
      <c r="BM25" s="17">
        <v>5416</v>
      </c>
      <c r="BN25" s="17">
        <v>5703</v>
      </c>
      <c r="BO25" s="17">
        <v>6038</v>
      </c>
      <c r="BP25" s="17">
        <v>6389</v>
      </c>
      <c r="BQ25" s="17">
        <v>6724</v>
      </c>
      <c r="BR25" s="17">
        <v>7052</v>
      </c>
      <c r="BS25" s="17">
        <v>7329</v>
      </c>
      <c r="BT25" s="17">
        <v>7601</v>
      </c>
      <c r="BU25" s="17">
        <v>7852</v>
      </c>
      <c r="BV25" s="17">
        <v>8056</v>
      </c>
      <c r="BW25" s="17">
        <v>8234</v>
      </c>
      <c r="BX25" s="17">
        <v>8370</v>
      </c>
      <c r="BY25" s="17">
        <v>8466</v>
      </c>
      <c r="BZ25" s="17">
        <v>8530</v>
      </c>
      <c r="CA25" s="17">
        <v>8582</v>
      </c>
      <c r="CB25" s="17">
        <v>8628</v>
      </c>
      <c r="CC25" s="17">
        <v>8666</v>
      </c>
      <c r="CD25" s="17">
        <v>8710</v>
      </c>
      <c r="CE25" s="17">
        <v>8742</v>
      </c>
      <c r="CF25" s="17">
        <v>8752</v>
      </c>
      <c r="CG25" s="17">
        <v>8754</v>
      </c>
      <c r="CH25" s="17">
        <v>8759</v>
      </c>
      <c r="CI25" s="17">
        <v>8760</v>
      </c>
      <c r="CJ25" s="17">
        <v>8760</v>
      </c>
      <c r="CK25" s="17">
        <v>8760</v>
      </c>
      <c r="CL25" s="17">
        <v>8760</v>
      </c>
      <c r="CM25" s="17">
        <v>8760</v>
      </c>
      <c r="CN25" s="17">
        <v>8760</v>
      </c>
      <c r="CO25" s="17">
        <v>8760</v>
      </c>
      <c r="CP25" s="17">
        <v>8760</v>
      </c>
      <c r="CQ25" s="17">
        <v>8760</v>
      </c>
      <c r="CR25" s="17">
        <v>8760</v>
      </c>
      <c r="CS25" s="17">
        <v>8760</v>
      </c>
      <c r="CT25" s="17">
        <v>8760</v>
      </c>
      <c r="CU25" s="17">
        <v>8760</v>
      </c>
      <c r="CV25" s="17">
        <v>8760</v>
      </c>
      <c r="CW25" s="17">
        <v>8760</v>
      </c>
      <c r="CX25" s="17">
        <v>8760</v>
      </c>
      <c r="CY25" s="17">
        <v>8760</v>
      </c>
      <c r="CZ25" s="17">
        <v>8760</v>
      </c>
      <c r="DA25" s="17">
        <v>8760</v>
      </c>
      <c r="DB25" s="17">
        <v>8760</v>
      </c>
    </row>
    <row r="26" spans="1:106" s="17" customFormat="1" x14ac:dyDescent="0.25">
      <c r="B26" s="17" t="s">
        <v>51</v>
      </c>
      <c r="C26" s="17" t="s">
        <v>438</v>
      </c>
      <c r="D26" s="17" t="s">
        <v>461</v>
      </c>
      <c r="E26" s="17" t="s">
        <v>462</v>
      </c>
      <c r="F26" s="17">
        <v>102702</v>
      </c>
      <c r="G26" s="17">
        <v>0</v>
      </c>
      <c r="H26" s="17">
        <v>0</v>
      </c>
      <c r="I26" s="17">
        <v>0</v>
      </c>
      <c r="J26" s="17">
        <v>0</v>
      </c>
      <c r="K26" s="17">
        <v>0</v>
      </c>
      <c r="L26" s="17">
        <v>0</v>
      </c>
      <c r="M26" s="17">
        <v>0</v>
      </c>
      <c r="N26" s="17">
        <v>0</v>
      </c>
      <c r="O26" s="17">
        <v>0</v>
      </c>
      <c r="P26" s="17">
        <v>0</v>
      </c>
      <c r="Q26" s="17">
        <v>0</v>
      </c>
      <c r="R26" s="17">
        <v>0</v>
      </c>
      <c r="S26" s="17">
        <v>0</v>
      </c>
      <c r="T26" s="17">
        <v>0</v>
      </c>
      <c r="U26" s="17">
        <v>0</v>
      </c>
      <c r="V26" s="17">
        <v>0</v>
      </c>
      <c r="W26" s="17">
        <v>0</v>
      </c>
      <c r="X26" s="17">
        <v>0</v>
      </c>
      <c r="Y26" s="17">
        <v>0</v>
      </c>
      <c r="Z26" s="17">
        <v>0</v>
      </c>
      <c r="AA26" s="17">
        <v>0</v>
      </c>
      <c r="AB26" s="17">
        <v>0</v>
      </c>
      <c r="AC26" s="17">
        <v>0</v>
      </c>
      <c r="AD26" s="17">
        <v>0</v>
      </c>
      <c r="AE26" s="17">
        <v>0</v>
      </c>
      <c r="AF26" s="17">
        <v>0</v>
      </c>
      <c r="AG26" s="17">
        <v>0</v>
      </c>
      <c r="AH26" s="17">
        <v>0</v>
      </c>
      <c r="AI26" s="17">
        <v>0</v>
      </c>
      <c r="AJ26" s="17">
        <v>0</v>
      </c>
      <c r="AK26" s="17">
        <v>2</v>
      </c>
      <c r="AL26" s="17">
        <v>5</v>
      </c>
      <c r="AM26" s="17">
        <v>17</v>
      </c>
      <c r="AN26" s="17">
        <v>30</v>
      </c>
      <c r="AO26" s="17">
        <v>40</v>
      </c>
      <c r="AP26" s="17">
        <v>65</v>
      </c>
      <c r="AQ26" s="17">
        <v>89</v>
      </c>
      <c r="AR26" s="17">
        <v>116</v>
      </c>
      <c r="AS26" s="17">
        <v>165</v>
      </c>
      <c r="AT26" s="17">
        <v>233</v>
      </c>
      <c r="AU26" s="17">
        <v>327</v>
      </c>
      <c r="AV26" s="17">
        <v>429</v>
      </c>
      <c r="AW26" s="17">
        <v>549</v>
      </c>
      <c r="AX26" s="17">
        <v>653</v>
      </c>
      <c r="AY26" s="17">
        <v>820</v>
      </c>
      <c r="AZ26" s="17">
        <v>1016</v>
      </c>
      <c r="BA26" s="17">
        <v>1282</v>
      </c>
      <c r="BB26" s="17">
        <v>1646</v>
      </c>
      <c r="BC26" s="17">
        <v>2043</v>
      </c>
      <c r="BD26" s="17">
        <v>2509</v>
      </c>
      <c r="BE26" s="17">
        <v>3004</v>
      </c>
      <c r="BF26" s="17">
        <v>3446</v>
      </c>
      <c r="BG26" s="17">
        <v>3871</v>
      </c>
      <c r="BH26" s="17">
        <v>4221</v>
      </c>
      <c r="BI26" s="17">
        <v>4594</v>
      </c>
      <c r="BJ26" s="17">
        <v>4902</v>
      </c>
      <c r="BK26" s="17">
        <v>5138</v>
      </c>
      <c r="BL26" s="17">
        <v>5397</v>
      </c>
      <c r="BM26" s="17">
        <v>5671</v>
      </c>
      <c r="BN26" s="17">
        <v>5946</v>
      </c>
      <c r="BO26" s="17">
        <v>6311</v>
      </c>
      <c r="BP26" s="17">
        <v>6625</v>
      </c>
      <c r="BQ26" s="17">
        <v>6955</v>
      </c>
      <c r="BR26" s="17">
        <v>7280</v>
      </c>
      <c r="BS26" s="17">
        <v>7581</v>
      </c>
      <c r="BT26" s="17">
        <v>7809</v>
      </c>
      <c r="BU26" s="17">
        <v>8009</v>
      </c>
      <c r="BV26" s="17">
        <v>8185</v>
      </c>
      <c r="BW26" s="17">
        <v>8348</v>
      </c>
      <c r="BX26" s="17">
        <v>8466</v>
      </c>
      <c r="BY26" s="17">
        <v>8545</v>
      </c>
      <c r="BZ26" s="17">
        <v>8612</v>
      </c>
      <c r="CA26" s="17">
        <v>8653</v>
      </c>
      <c r="CB26" s="17">
        <v>8684</v>
      </c>
      <c r="CC26" s="17">
        <v>8711</v>
      </c>
      <c r="CD26" s="17">
        <v>8723</v>
      </c>
      <c r="CE26" s="17">
        <v>8738</v>
      </c>
      <c r="CF26" s="17">
        <v>8750</v>
      </c>
      <c r="CG26" s="17">
        <v>8758</v>
      </c>
      <c r="CH26" s="17">
        <v>8760</v>
      </c>
      <c r="CI26" s="17">
        <v>8760</v>
      </c>
      <c r="CJ26" s="17">
        <v>8760</v>
      </c>
      <c r="CK26" s="17">
        <v>8760</v>
      </c>
      <c r="CL26" s="17">
        <v>8760</v>
      </c>
      <c r="CM26" s="17">
        <v>8760</v>
      </c>
      <c r="CN26" s="17">
        <v>8760</v>
      </c>
      <c r="CO26" s="17">
        <v>8760</v>
      </c>
      <c r="CP26" s="17">
        <v>8760</v>
      </c>
      <c r="CQ26" s="17">
        <v>8760</v>
      </c>
      <c r="CR26" s="17">
        <v>8760</v>
      </c>
      <c r="CS26" s="17">
        <v>8760</v>
      </c>
      <c r="CT26" s="17">
        <v>8760</v>
      </c>
      <c r="CU26" s="17">
        <v>8760</v>
      </c>
      <c r="CV26" s="17">
        <v>8760</v>
      </c>
      <c r="CW26" s="17">
        <v>8760</v>
      </c>
      <c r="CX26" s="17">
        <v>8760</v>
      </c>
      <c r="CY26" s="17">
        <v>8760</v>
      </c>
      <c r="CZ26" s="17">
        <v>8760</v>
      </c>
      <c r="DA26" s="17">
        <v>8760</v>
      </c>
      <c r="DB26" s="17">
        <v>8760</v>
      </c>
    </row>
    <row r="27" spans="1:106" s="17" customFormat="1" x14ac:dyDescent="0.25">
      <c r="A27" s="22" t="s">
        <v>45</v>
      </c>
      <c r="B27" s="17" t="s">
        <v>53</v>
      </c>
      <c r="C27" s="17" t="s">
        <v>438</v>
      </c>
      <c r="D27" s="17" t="s">
        <v>463</v>
      </c>
      <c r="E27" s="17" t="s">
        <v>464</v>
      </c>
      <c r="F27" s="17">
        <v>102223</v>
      </c>
      <c r="G27" s="17">
        <v>0</v>
      </c>
      <c r="H27" s="17">
        <v>0</v>
      </c>
      <c r="I27" s="17">
        <v>0</v>
      </c>
      <c r="J27" s="17">
        <v>0</v>
      </c>
      <c r="K27" s="17">
        <v>0</v>
      </c>
      <c r="L27" s="17">
        <v>0</v>
      </c>
      <c r="M27" s="17">
        <v>0</v>
      </c>
      <c r="N27" s="17">
        <v>0</v>
      </c>
      <c r="O27" s="17">
        <v>0</v>
      </c>
      <c r="P27" s="17">
        <v>0</v>
      </c>
      <c r="Q27" s="17">
        <v>0</v>
      </c>
      <c r="R27" s="17">
        <v>0</v>
      </c>
      <c r="S27" s="17">
        <v>0</v>
      </c>
      <c r="T27" s="17">
        <v>0</v>
      </c>
      <c r="U27" s="17">
        <v>0</v>
      </c>
      <c r="V27" s="17">
        <v>0</v>
      </c>
      <c r="W27" s="17">
        <v>0</v>
      </c>
      <c r="X27" s="17">
        <v>0</v>
      </c>
      <c r="Y27" s="17">
        <v>0</v>
      </c>
      <c r="Z27" s="17">
        <v>0</v>
      </c>
      <c r="AA27" s="17">
        <v>0</v>
      </c>
      <c r="AB27" s="17">
        <v>0</v>
      </c>
      <c r="AC27" s="17">
        <v>0</v>
      </c>
      <c r="AD27" s="17">
        <v>0</v>
      </c>
      <c r="AE27" s="17">
        <v>0</v>
      </c>
      <c r="AF27" s="17">
        <v>0</v>
      </c>
      <c r="AG27" s="17">
        <v>0</v>
      </c>
      <c r="AH27" s="17">
        <v>0</v>
      </c>
      <c r="AI27" s="17">
        <v>0</v>
      </c>
      <c r="AJ27" s="17">
        <v>0</v>
      </c>
      <c r="AK27" s="17">
        <v>0</v>
      </c>
      <c r="AL27" s="17">
        <v>0</v>
      </c>
      <c r="AM27" s="17">
        <v>1</v>
      </c>
      <c r="AN27" s="17">
        <v>2</v>
      </c>
      <c r="AO27" s="17">
        <v>15</v>
      </c>
      <c r="AP27" s="17">
        <v>30</v>
      </c>
      <c r="AQ27" s="17">
        <v>40</v>
      </c>
      <c r="AR27" s="17">
        <v>53</v>
      </c>
      <c r="AS27" s="17">
        <v>63</v>
      </c>
      <c r="AT27" s="17">
        <v>92</v>
      </c>
      <c r="AU27" s="17">
        <v>135</v>
      </c>
      <c r="AV27" s="17">
        <v>200</v>
      </c>
      <c r="AW27" s="17">
        <v>306</v>
      </c>
      <c r="AX27" s="17">
        <v>398</v>
      </c>
      <c r="AY27" s="17">
        <v>520</v>
      </c>
      <c r="AZ27" s="17">
        <v>670</v>
      </c>
      <c r="BA27" s="17">
        <v>870</v>
      </c>
      <c r="BB27" s="17">
        <v>1152</v>
      </c>
      <c r="BC27" s="17">
        <v>1473</v>
      </c>
      <c r="BD27" s="17">
        <v>1862</v>
      </c>
      <c r="BE27" s="17">
        <v>2294</v>
      </c>
      <c r="BF27" s="17">
        <v>2682</v>
      </c>
      <c r="BG27" s="17">
        <v>3043</v>
      </c>
      <c r="BH27" s="17">
        <v>3427</v>
      </c>
      <c r="BI27" s="17">
        <v>3900</v>
      </c>
      <c r="BJ27" s="17">
        <v>4348</v>
      </c>
      <c r="BK27" s="17">
        <v>4719</v>
      </c>
      <c r="BL27" s="17">
        <v>5121</v>
      </c>
      <c r="BM27" s="17">
        <v>5458</v>
      </c>
      <c r="BN27" s="17">
        <v>5797</v>
      </c>
      <c r="BO27" s="17">
        <v>6104</v>
      </c>
      <c r="BP27" s="17">
        <v>6444</v>
      </c>
      <c r="BQ27" s="17">
        <v>6736</v>
      </c>
      <c r="BR27" s="17">
        <v>7064</v>
      </c>
      <c r="BS27" s="17">
        <v>7369</v>
      </c>
      <c r="BT27" s="17">
        <v>7655</v>
      </c>
      <c r="BU27" s="17">
        <v>7909</v>
      </c>
      <c r="BV27" s="17">
        <v>8124</v>
      </c>
      <c r="BW27" s="17">
        <v>8318</v>
      </c>
      <c r="BX27" s="17">
        <v>8458</v>
      </c>
      <c r="BY27" s="17">
        <v>8544</v>
      </c>
      <c r="BZ27" s="17">
        <v>8617</v>
      </c>
      <c r="CA27" s="17">
        <v>8670</v>
      </c>
      <c r="CB27" s="17">
        <v>8708</v>
      </c>
      <c r="CC27" s="17">
        <v>8734</v>
      </c>
      <c r="CD27" s="17">
        <v>8746</v>
      </c>
      <c r="CE27" s="17">
        <v>8757</v>
      </c>
      <c r="CF27" s="17">
        <v>8760</v>
      </c>
      <c r="CG27" s="17">
        <v>8760</v>
      </c>
      <c r="CH27" s="17">
        <v>8760</v>
      </c>
      <c r="CI27" s="17">
        <v>8760</v>
      </c>
      <c r="CJ27" s="17">
        <v>8760</v>
      </c>
      <c r="CK27" s="17">
        <v>8760</v>
      </c>
      <c r="CL27" s="17">
        <v>8760</v>
      </c>
      <c r="CM27" s="17">
        <v>8760</v>
      </c>
      <c r="CN27" s="17">
        <v>8760</v>
      </c>
      <c r="CO27" s="17">
        <v>8760</v>
      </c>
      <c r="CP27" s="17">
        <v>8760</v>
      </c>
      <c r="CQ27" s="17">
        <v>8760</v>
      </c>
      <c r="CR27" s="17">
        <v>8760</v>
      </c>
      <c r="CS27" s="17">
        <v>8760</v>
      </c>
      <c r="CT27" s="17">
        <v>8760</v>
      </c>
      <c r="CU27" s="17">
        <v>8760</v>
      </c>
      <c r="CV27" s="17">
        <v>8760</v>
      </c>
      <c r="CW27" s="17">
        <v>8760</v>
      </c>
      <c r="CX27" s="17">
        <v>8760</v>
      </c>
      <c r="CY27" s="17">
        <v>8760</v>
      </c>
      <c r="CZ27" s="17">
        <v>8760</v>
      </c>
      <c r="DA27" s="17">
        <v>8760</v>
      </c>
      <c r="DB27" s="17">
        <v>8760</v>
      </c>
    </row>
    <row r="28" spans="1:106" s="17" customFormat="1" x14ac:dyDescent="0.25">
      <c r="A28" s="22" t="s">
        <v>46</v>
      </c>
      <c r="B28" s="17" t="s">
        <v>54</v>
      </c>
      <c r="C28" s="17" t="s">
        <v>438</v>
      </c>
      <c r="D28" s="17" t="s">
        <v>465</v>
      </c>
      <c r="E28" s="17" t="s">
        <v>466</v>
      </c>
      <c r="F28" s="17">
        <v>102912</v>
      </c>
      <c r="G28" s="17">
        <v>0</v>
      </c>
      <c r="H28" s="17">
        <v>0</v>
      </c>
      <c r="I28" s="17">
        <v>0</v>
      </c>
      <c r="J28" s="17">
        <v>0</v>
      </c>
      <c r="K28" s="17">
        <v>0</v>
      </c>
      <c r="L28" s="17">
        <v>0</v>
      </c>
      <c r="M28" s="17">
        <v>0</v>
      </c>
      <c r="N28" s="17">
        <v>0</v>
      </c>
      <c r="O28" s="17">
        <v>0</v>
      </c>
      <c r="P28" s="17">
        <v>0</v>
      </c>
      <c r="Q28" s="17">
        <v>0</v>
      </c>
      <c r="R28" s="17">
        <v>0</v>
      </c>
      <c r="S28" s="17">
        <v>0</v>
      </c>
      <c r="T28" s="17">
        <v>0</v>
      </c>
      <c r="U28" s="17">
        <v>0</v>
      </c>
      <c r="V28" s="17">
        <v>0</v>
      </c>
      <c r="W28" s="17">
        <v>0</v>
      </c>
      <c r="X28" s="17">
        <v>0</v>
      </c>
      <c r="Y28" s="17">
        <v>0</v>
      </c>
      <c r="Z28" s="17">
        <v>0</v>
      </c>
      <c r="AA28" s="17">
        <v>0</v>
      </c>
      <c r="AB28" s="17">
        <v>0</v>
      </c>
      <c r="AC28" s="17">
        <v>0</v>
      </c>
      <c r="AD28" s="17">
        <v>0</v>
      </c>
      <c r="AE28" s="17">
        <v>12</v>
      </c>
      <c r="AF28" s="17">
        <v>18</v>
      </c>
      <c r="AG28" s="17">
        <v>31</v>
      </c>
      <c r="AH28" s="17">
        <v>75</v>
      </c>
      <c r="AI28" s="17">
        <v>114</v>
      </c>
      <c r="AJ28" s="17">
        <v>138</v>
      </c>
      <c r="AK28" s="17">
        <v>162</v>
      </c>
      <c r="AL28" s="17">
        <v>198</v>
      </c>
      <c r="AM28" s="17">
        <v>251</v>
      </c>
      <c r="AN28" s="17">
        <v>294</v>
      </c>
      <c r="AO28" s="17">
        <v>344</v>
      </c>
      <c r="AP28" s="17">
        <v>397</v>
      </c>
      <c r="AQ28" s="17">
        <v>451</v>
      </c>
      <c r="AR28" s="17">
        <v>533</v>
      </c>
      <c r="AS28" s="17">
        <v>604</v>
      </c>
      <c r="AT28" s="17">
        <v>709</v>
      </c>
      <c r="AU28" s="17">
        <v>838</v>
      </c>
      <c r="AV28" s="17">
        <v>993</v>
      </c>
      <c r="AW28" s="17">
        <v>1185</v>
      </c>
      <c r="AX28" s="17">
        <v>1380</v>
      </c>
      <c r="AY28" s="17">
        <v>1650</v>
      </c>
      <c r="AZ28" s="17">
        <v>1949</v>
      </c>
      <c r="BA28" s="17">
        <v>2273</v>
      </c>
      <c r="BB28" s="17">
        <v>2585</v>
      </c>
      <c r="BC28" s="17">
        <v>2973</v>
      </c>
      <c r="BD28" s="17">
        <v>3443</v>
      </c>
      <c r="BE28" s="17">
        <v>3913</v>
      </c>
      <c r="BF28" s="17">
        <v>4227</v>
      </c>
      <c r="BG28" s="17">
        <v>4547</v>
      </c>
      <c r="BH28" s="17">
        <v>4809</v>
      </c>
      <c r="BI28" s="17">
        <v>5085</v>
      </c>
      <c r="BJ28" s="17">
        <v>5351</v>
      </c>
      <c r="BK28" s="17">
        <v>5643</v>
      </c>
      <c r="BL28" s="17">
        <v>5906</v>
      </c>
      <c r="BM28" s="17">
        <v>6176</v>
      </c>
      <c r="BN28" s="17">
        <v>6466</v>
      </c>
      <c r="BO28" s="17">
        <v>6775</v>
      </c>
      <c r="BP28" s="17">
        <v>7068</v>
      </c>
      <c r="BQ28" s="17">
        <v>7335</v>
      </c>
      <c r="BR28" s="17">
        <v>7606</v>
      </c>
      <c r="BS28" s="17">
        <v>7833</v>
      </c>
      <c r="BT28" s="17">
        <v>8032</v>
      </c>
      <c r="BU28" s="17">
        <v>8189</v>
      </c>
      <c r="BV28" s="17">
        <v>8327</v>
      </c>
      <c r="BW28" s="17">
        <v>8428</v>
      </c>
      <c r="BX28" s="17">
        <v>8505</v>
      </c>
      <c r="BY28" s="17">
        <v>8573</v>
      </c>
      <c r="BZ28" s="17">
        <v>8643</v>
      </c>
      <c r="CA28" s="17">
        <v>8689</v>
      </c>
      <c r="CB28" s="17">
        <v>8722</v>
      </c>
      <c r="CC28" s="17">
        <v>8750</v>
      </c>
      <c r="CD28" s="17">
        <v>8759</v>
      </c>
      <c r="CE28" s="17">
        <v>8760</v>
      </c>
      <c r="CF28" s="17">
        <v>8760</v>
      </c>
      <c r="CG28" s="17">
        <v>8760</v>
      </c>
      <c r="CH28" s="17">
        <v>8760</v>
      </c>
      <c r="CI28" s="17">
        <v>8760</v>
      </c>
      <c r="CJ28" s="17">
        <v>8760</v>
      </c>
      <c r="CK28" s="17">
        <v>8760</v>
      </c>
      <c r="CL28" s="17">
        <v>8760</v>
      </c>
      <c r="CM28" s="17">
        <v>8760</v>
      </c>
      <c r="CN28" s="17">
        <v>8760</v>
      </c>
      <c r="CO28" s="17">
        <v>8760</v>
      </c>
      <c r="CP28" s="17">
        <v>8760</v>
      </c>
      <c r="CQ28" s="17">
        <v>8760</v>
      </c>
      <c r="CR28" s="17">
        <v>8760</v>
      </c>
      <c r="CS28" s="17">
        <v>8760</v>
      </c>
      <c r="CT28" s="17">
        <v>8760</v>
      </c>
      <c r="CU28" s="17">
        <v>8760</v>
      </c>
      <c r="CV28" s="17">
        <v>8760</v>
      </c>
      <c r="CW28" s="17">
        <v>8760</v>
      </c>
      <c r="CX28" s="17">
        <v>8760</v>
      </c>
      <c r="CY28" s="17">
        <v>8760</v>
      </c>
      <c r="CZ28" s="17">
        <v>8760</v>
      </c>
      <c r="DA28" s="17">
        <v>8760</v>
      </c>
      <c r="DB28" s="17">
        <v>8760</v>
      </c>
    </row>
    <row r="29" spans="1:106" s="17" customFormat="1" x14ac:dyDescent="0.25">
      <c r="A29" s="22" t="s">
        <v>47</v>
      </c>
      <c r="B29" s="17" t="s">
        <v>55</v>
      </c>
      <c r="C29" s="17" t="s">
        <v>438</v>
      </c>
      <c r="D29" s="17" t="s">
        <v>467</v>
      </c>
      <c r="E29" s="17" t="s">
        <v>468</v>
      </c>
      <c r="F29" s="17">
        <v>102128</v>
      </c>
      <c r="G29" s="17">
        <v>0</v>
      </c>
      <c r="H29" s="17">
        <v>0</v>
      </c>
      <c r="I29" s="17">
        <v>0</v>
      </c>
      <c r="J29" s="17">
        <v>0</v>
      </c>
      <c r="K29" s="17">
        <v>0</v>
      </c>
      <c r="L29" s="17">
        <v>0</v>
      </c>
      <c r="M29" s="17">
        <v>0</v>
      </c>
      <c r="N29" s="17">
        <v>0</v>
      </c>
      <c r="O29" s="17">
        <v>0</v>
      </c>
      <c r="P29" s="17">
        <v>0</v>
      </c>
      <c r="Q29" s="17">
        <v>0</v>
      </c>
      <c r="R29" s="17">
        <v>0</v>
      </c>
      <c r="S29" s="17">
        <v>0</v>
      </c>
      <c r="T29" s="17">
        <v>0</v>
      </c>
      <c r="U29" s="17">
        <v>0</v>
      </c>
      <c r="V29" s="17">
        <v>0</v>
      </c>
      <c r="W29" s="17">
        <v>0</v>
      </c>
      <c r="X29" s="17">
        <v>0</v>
      </c>
      <c r="Y29" s="17">
        <v>0</v>
      </c>
      <c r="Z29" s="17">
        <v>0</v>
      </c>
      <c r="AA29" s="17">
        <v>0</v>
      </c>
      <c r="AB29" s="17">
        <v>0</v>
      </c>
      <c r="AC29" s="17">
        <v>0</v>
      </c>
      <c r="AD29" s="17">
        <v>0</v>
      </c>
      <c r="AE29" s="17">
        <v>0</v>
      </c>
      <c r="AF29" s="17">
        <v>0</v>
      </c>
      <c r="AG29" s="17">
        <v>0</v>
      </c>
      <c r="AH29" s="17">
        <v>0</v>
      </c>
      <c r="AI29" s="17">
        <v>0</v>
      </c>
      <c r="AJ29" s="17">
        <v>0</v>
      </c>
      <c r="AK29" s="17">
        <v>0</v>
      </c>
      <c r="AL29" s="17">
        <v>0</v>
      </c>
      <c r="AM29" s="17">
        <v>0</v>
      </c>
      <c r="AN29" s="17">
        <v>0</v>
      </c>
      <c r="AO29" s="17">
        <v>0</v>
      </c>
      <c r="AP29" s="17">
        <v>6</v>
      </c>
      <c r="AQ29" s="17">
        <v>15</v>
      </c>
      <c r="AR29" s="17">
        <v>39</v>
      </c>
      <c r="AS29" s="17">
        <v>58</v>
      </c>
      <c r="AT29" s="17">
        <v>90</v>
      </c>
      <c r="AU29" s="17">
        <v>122</v>
      </c>
      <c r="AV29" s="17">
        <v>182</v>
      </c>
      <c r="AW29" s="17">
        <v>233</v>
      </c>
      <c r="AX29" s="17">
        <v>286</v>
      </c>
      <c r="AY29" s="17">
        <v>349</v>
      </c>
      <c r="AZ29" s="17">
        <v>431</v>
      </c>
      <c r="BA29" s="17">
        <v>571</v>
      </c>
      <c r="BB29" s="17">
        <v>739</v>
      </c>
      <c r="BC29" s="17">
        <v>934</v>
      </c>
      <c r="BD29" s="17">
        <v>1223</v>
      </c>
      <c r="BE29" s="17">
        <v>1586</v>
      </c>
      <c r="BF29" s="17">
        <v>1970</v>
      </c>
      <c r="BG29" s="17">
        <v>2394</v>
      </c>
      <c r="BH29" s="17">
        <v>2782</v>
      </c>
      <c r="BI29" s="17">
        <v>3240</v>
      </c>
      <c r="BJ29" s="17">
        <v>3643</v>
      </c>
      <c r="BK29" s="17">
        <v>4049</v>
      </c>
      <c r="BL29" s="17">
        <v>4371</v>
      </c>
      <c r="BM29" s="17">
        <v>4699</v>
      </c>
      <c r="BN29" s="17">
        <v>5127</v>
      </c>
      <c r="BO29" s="17">
        <v>5506</v>
      </c>
      <c r="BP29" s="17">
        <v>5876</v>
      </c>
      <c r="BQ29" s="17">
        <v>6309</v>
      </c>
      <c r="BR29" s="17">
        <v>6761</v>
      </c>
      <c r="BS29" s="17">
        <v>7173</v>
      </c>
      <c r="BT29" s="17">
        <v>7465</v>
      </c>
      <c r="BU29" s="17">
        <v>7757</v>
      </c>
      <c r="BV29" s="17">
        <v>7992</v>
      </c>
      <c r="BW29" s="17">
        <v>8160</v>
      </c>
      <c r="BX29" s="17">
        <v>8283</v>
      </c>
      <c r="BY29" s="17">
        <v>8407</v>
      </c>
      <c r="BZ29" s="17">
        <v>8497</v>
      </c>
      <c r="CA29" s="17">
        <v>8557</v>
      </c>
      <c r="CB29" s="17">
        <v>8611</v>
      </c>
      <c r="CC29" s="17">
        <v>8664</v>
      </c>
      <c r="CD29" s="17">
        <v>8708</v>
      </c>
      <c r="CE29" s="17">
        <v>8734</v>
      </c>
      <c r="CF29" s="17">
        <v>8743</v>
      </c>
      <c r="CG29" s="17">
        <v>8756</v>
      </c>
      <c r="CH29" s="17">
        <v>8760</v>
      </c>
      <c r="CI29" s="17">
        <v>8760</v>
      </c>
      <c r="CJ29" s="17">
        <v>8760</v>
      </c>
      <c r="CK29" s="17">
        <v>8760</v>
      </c>
      <c r="CL29" s="17">
        <v>8760</v>
      </c>
      <c r="CM29" s="17">
        <v>8760</v>
      </c>
      <c r="CN29" s="17">
        <v>8760</v>
      </c>
      <c r="CO29" s="17">
        <v>8760</v>
      </c>
      <c r="CP29" s="17">
        <v>8760</v>
      </c>
      <c r="CQ29" s="17">
        <v>8760</v>
      </c>
      <c r="CR29" s="17">
        <v>8760</v>
      </c>
      <c r="CS29" s="17">
        <v>8760</v>
      </c>
      <c r="CT29" s="17">
        <v>8760</v>
      </c>
      <c r="CU29" s="17">
        <v>8760</v>
      </c>
      <c r="CV29" s="17">
        <v>8760</v>
      </c>
      <c r="CW29" s="17">
        <v>8760</v>
      </c>
      <c r="CX29" s="17">
        <v>8760</v>
      </c>
      <c r="CY29" s="17">
        <v>8760</v>
      </c>
      <c r="CZ29" s="17">
        <v>8760</v>
      </c>
      <c r="DA29" s="17">
        <v>8760</v>
      </c>
      <c r="DB29" s="17">
        <v>8760</v>
      </c>
    </row>
    <row r="30" spans="1:106" s="17" customFormat="1" x14ac:dyDescent="0.25">
      <c r="A30" s="22" t="s">
        <v>48</v>
      </c>
      <c r="B30" s="17" t="s">
        <v>56</v>
      </c>
      <c r="C30" s="17" t="s">
        <v>438</v>
      </c>
      <c r="D30" s="17" t="s">
        <v>469</v>
      </c>
      <c r="E30" s="17" t="s">
        <v>470</v>
      </c>
      <c r="F30" s="17">
        <v>102006</v>
      </c>
      <c r="G30" s="17">
        <v>0</v>
      </c>
      <c r="H30" s="17">
        <v>0</v>
      </c>
      <c r="I30" s="17">
        <v>0</v>
      </c>
      <c r="J30" s="17">
        <v>0</v>
      </c>
      <c r="K30" s="17">
        <v>0</v>
      </c>
      <c r="L30" s="17">
        <v>0</v>
      </c>
      <c r="M30" s="17">
        <v>0</v>
      </c>
      <c r="N30" s="17">
        <v>0</v>
      </c>
      <c r="O30" s="17">
        <v>0</v>
      </c>
      <c r="P30" s="17">
        <v>0</v>
      </c>
      <c r="Q30" s="17">
        <v>0</v>
      </c>
      <c r="R30" s="17">
        <v>4</v>
      </c>
      <c r="S30" s="17">
        <v>8</v>
      </c>
      <c r="T30" s="17">
        <v>11</v>
      </c>
      <c r="U30" s="17">
        <v>12</v>
      </c>
      <c r="V30" s="17">
        <v>15</v>
      </c>
      <c r="W30" s="17">
        <v>19</v>
      </c>
      <c r="X30" s="17">
        <v>27</v>
      </c>
      <c r="Y30" s="17">
        <v>31</v>
      </c>
      <c r="Z30" s="17">
        <v>45</v>
      </c>
      <c r="AA30" s="17">
        <v>61</v>
      </c>
      <c r="AB30" s="17">
        <v>76</v>
      </c>
      <c r="AC30" s="17">
        <v>105</v>
      </c>
      <c r="AD30" s="17">
        <v>140</v>
      </c>
      <c r="AE30" s="17">
        <v>166</v>
      </c>
      <c r="AF30" s="17">
        <v>204</v>
      </c>
      <c r="AG30" s="17">
        <v>268</v>
      </c>
      <c r="AH30" s="17">
        <v>319</v>
      </c>
      <c r="AI30" s="17">
        <v>363</v>
      </c>
      <c r="AJ30" s="17">
        <v>424</v>
      </c>
      <c r="AK30" s="17">
        <v>480</v>
      </c>
      <c r="AL30" s="17">
        <v>529</v>
      </c>
      <c r="AM30" s="17">
        <v>579</v>
      </c>
      <c r="AN30" s="17">
        <v>658</v>
      </c>
      <c r="AO30" s="17">
        <v>737</v>
      </c>
      <c r="AP30" s="17">
        <v>833</v>
      </c>
      <c r="AQ30" s="17">
        <v>943</v>
      </c>
      <c r="AR30" s="17">
        <v>1034</v>
      </c>
      <c r="AS30" s="17">
        <v>1135</v>
      </c>
      <c r="AT30" s="17">
        <v>1264</v>
      </c>
      <c r="AU30" s="17">
        <v>1392</v>
      </c>
      <c r="AV30" s="17">
        <v>1559</v>
      </c>
      <c r="AW30" s="17">
        <v>1740</v>
      </c>
      <c r="AX30" s="17">
        <v>1901</v>
      </c>
      <c r="AY30" s="17">
        <v>2146</v>
      </c>
      <c r="AZ30" s="17">
        <v>2378</v>
      </c>
      <c r="BA30" s="17">
        <v>2605</v>
      </c>
      <c r="BB30" s="17">
        <v>2853</v>
      </c>
      <c r="BC30" s="17">
        <v>3163</v>
      </c>
      <c r="BD30" s="17">
        <v>3525</v>
      </c>
      <c r="BE30" s="17">
        <v>3910</v>
      </c>
      <c r="BF30" s="17">
        <v>4227</v>
      </c>
      <c r="BG30" s="17">
        <v>4521</v>
      </c>
      <c r="BH30" s="17">
        <v>4750</v>
      </c>
      <c r="BI30" s="17">
        <v>5000</v>
      </c>
      <c r="BJ30" s="17">
        <v>5255</v>
      </c>
      <c r="BK30" s="17">
        <v>5521</v>
      </c>
      <c r="BL30" s="17">
        <v>5751</v>
      </c>
      <c r="BM30" s="17">
        <v>6011</v>
      </c>
      <c r="BN30" s="17">
        <v>6290</v>
      </c>
      <c r="BO30" s="17">
        <v>6548</v>
      </c>
      <c r="BP30" s="17">
        <v>6820</v>
      </c>
      <c r="BQ30" s="17">
        <v>7108</v>
      </c>
      <c r="BR30" s="17">
        <v>7443</v>
      </c>
      <c r="BS30" s="17">
        <v>7763</v>
      </c>
      <c r="BT30" s="17">
        <v>8057</v>
      </c>
      <c r="BU30" s="17">
        <v>8249</v>
      </c>
      <c r="BV30" s="17">
        <v>8383</v>
      </c>
      <c r="BW30" s="17">
        <v>8501</v>
      </c>
      <c r="BX30" s="17">
        <v>8603</v>
      </c>
      <c r="BY30" s="17">
        <v>8673</v>
      </c>
      <c r="BZ30" s="17">
        <v>8721</v>
      </c>
      <c r="CA30" s="17">
        <v>8741</v>
      </c>
      <c r="CB30" s="17">
        <v>8749</v>
      </c>
      <c r="CC30" s="17">
        <v>8756</v>
      </c>
      <c r="CD30" s="17">
        <v>8759</v>
      </c>
      <c r="CE30" s="17">
        <v>8760</v>
      </c>
      <c r="CF30" s="17">
        <v>8760</v>
      </c>
      <c r="CG30" s="17">
        <v>8760</v>
      </c>
      <c r="CH30" s="17">
        <v>8760</v>
      </c>
      <c r="CI30" s="17">
        <v>8760</v>
      </c>
      <c r="CJ30" s="17">
        <v>8760</v>
      </c>
      <c r="CK30" s="17">
        <v>8760</v>
      </c>
      <c r="CL30" s="17">
        <v>8760</v>
      </c>
      <c r="CM30" s="17">
        <v>8760</v>
      </c>
      <c r="CN30" s="17">
        <v>8760</v>
      </c>
      <c r="CO30" s="17">
        <v>8760</v>
      </c>
      <c r="CP30" s="17">
        <v>8760</v>
      </c>
      <c r="CQ30" s="17">
        <v>8760</v>
      </c>
      <c r="CR30" s="17">
        <v>8760</v>
      </c>
      <c r="CS30" s="17">
        <v>8760</v>
      </c>
      <c r="CT30" s="17">
        <v>8760</v>
      </c>
      <c r="CU30" s="17">
        <v>8760</v>
      </c>
      <c r="CV30" s="17">
        <v>8760</v>
      </c>
      <c r="CW30" s="17">
        <v>8760</v>
      </c>
      <c r="CX30" s="17">
        <v>8760</v>
      </c>
      <c r="CY30" s="17">
        <v>8760</v>
      </c>
      <c r="CZ30" s="17">
        <v>8760</v>
      </c>
      <c r="DA30" s="17">
        <v>8760</v>
      </c>
      <c r="DB30" s="17">
        <v>8760</v>
      </c>
    </row>
    <row r="31" spans="1:106" s="17" customFormat="1" x14ac:dyDescent="0.25">
      <c r="A31" s="22" t="s">
        <v>49</v>
      </c>
      <c r="B31" s="17" t="s">
        <v>57</v>
      </c>
      <c r="C31" s="17" t="s">
        <v>438</v>
      </c>
      <c r="D31" s="17" t="s">
        <v>471</v>
      </c>
      <c r="E31" s="17" t="s">
        <v>472</v>
      </c>
      <c r="F31" s="17">
        <v>102243</v>
      </c>
      <c r="G31" s="17">
        <v>0</v>
      </c>
      <c r="H31" s="17">
        <v>0</v>
      </c>
      <c r="I31" s="17">
        <v>0</v>
      </c>
      <c r="J31" s="17">
        <v>0</v>
      </c>
      <c r="K31" s="17">
        <v>0</v>
      </c>
      <c r="L31" s="17">
        <v>0</v>
      </c>
      <c r="M31" s="17">
        <v>0</v>
      </c>
      <c r="N31" s="17">
        <v>0</v>
      </c>
      <c r="O31" s="17">
        <v>0</v>
      </c>
      <c r="P31" s="17">
        <v>0</v>
      </c>
      <c r="Q31" s="17">
        <v>0</v>
      </c>
      <c r="R31" s="17">
        <v>0</v>
      </c>
      <c r="S31" s="17">
        <v>0</v>
      </c>
      <c r="T31" s="17">
        <v>0</v>
      </c>
      <c r="U31" s="17">
        <v>0</v>
      </c>
      <c r="V31" s="17">
        <v>0</v>
      </c>
      <c r="W31" s="17">
        <v>0</v>
      </c>
      <c r="X31" s="17">
        <v>0</v>
      </c>
      <c r="Y31" s="17">
        <v>0</v>
      </c>
      <c r="Z31" s="17">
        <v>0</v>
      </c>
      <c r="AA31" s="17">
        <v>0</v>
      </c>
      <c r="AB31" s="17">
        <v>0</v>
      </c>
      <c r="AC31" s="17">
        <v>0</v>
      </c>
      <c r="AD31" s="17">
        <v>0</v>
      </c>
      <c r="AE31" s="17">
        <v>0</v>
      </c>
      <c r="AF31" s="17">
        <v>0</v>
      </c>
      <c r="AG31" s="17">
        <v>0</v>
      </c>
      <c r="AH31" s="17">
        <v>0</v>
      </c>
      <c r="AI31" s="17">
        <v>0</v>
      </c>
      <c r="AJ31" s="17">
        <v>0</v>
      </c>
      <c r="AK31" s="17">
        <v>0</v>
      </c>
      <c r="AL31" s="17">
        <v>0</v>
      </c>
      <c r="AM31" s="17">
        <v>0</v>
      </c>
      <c r="AN31" s="17">
        <v>0</v>
      </c>
      <c r="AO31" s="17">
        <v>3</v>
      </c>
      <c r="AP31" s="17">
        <v>16</v>
      </c>
      <c r="AQ31" s="17">
        <v>48</v>
      </c>
      <c r="AR31" s="17">
        <v>66</v>
      </c>
      <c r="AS31" s="17">
        <v>77</v>
      </c>
      <c r="AT31" s="17">
        <v>107</v>
      </c>
      <c r="AU31" s="17">
        <v>146</v>
      </c>
      <c r="AV31" s="17">
        <v>193</v>
      </c>
      <c r="AW31" s="17">
        <v>265</v>
      </c>
      <c r="AX31" s="17">
        <v>331</v>
      </c>
      <c r="AY31" s="17">
        <v>425</v>
      </c>
      <c r="AZ31" s="17">
        <v>534</v>
      </c>
      <c r="BA31" s="17">
        <v>731</v>
      </c>
      <c r="BB31" s="17">
        <v>936</v>
      </c>
      <c r="BC31" s="17">
        <v>1230</v>
      </c>
      <c r="BD31" s="17">
        <v>1531</v>
      </c>
      <c r="BE31" s="17">
        <v>1865</v>
      </c>
      <c r="BF31" s="17">
        <v>2228</v>
      </c>
      <c r="BG31" s="17">
        <v>2619</v>
      </c>
      <c r="BH31" s="17">
        <v>3095</v>
      </c>
      <c r="BI31" s="17">
        <v>3572</v>
      </c>
      <c r="BJ31" s="17">
        <v>3990</v>
      </c>
      <c r="BK31" s="17">
        <v>4427</v>
      </c>
      <c r="BL31" s="17">
        <v>4827</v>
      </c>
      <c r="BM31" s="17">
        <v>5129</v>
      </c>
      <c r="BN31" s="17">
        <v>5467</v>
      </c>
      <c r="BO31" s="17">
        <v>5799</v>
      </c>
      <c r="BP31" s="17">
        <v>6161</v>
      </c>
      <c r="BQ31" s="17">
        <v>6542</v>
      </c>
      <c r="BR31" s="17">
        <v>6909</v>
      </c>
      <c r="BS31" s="17">
        <v>7253</v>
      </c>
      <c r="BT31" s="17">
        <v>7574</v>
      </c>
      <c r="BU31" s="17">
        <v>7854</v>
      </c>
      <c r="BV31" s="17">
        <v>8116</v>
      </c>
      <c r="BW31" s="17">
        <v>8313</v>
      </c>
      <c r="BX31" s="17">
        <v>8454</v>
      </c>
      <c r="BY31" s="17">
        <v>8534</v>
      </c>
      <c r="BZ31" s="17">
        <v>8589</v>
      </c>
      <c r="CA31" s="17">
        <v>8643</v>
      </c>
      <c r="CB31" s="17">
        <v>8675</v>
      </c>
      <c r="CC31" s="17">
        <v>8707</v>
      </c>
      <c r="CD31" s="17">
        <v>8728</v>
      </c>
      <c r="CE31" s="17">
        <v>8741</v>
      </c>
      <c r="CF31" s="17">
        <v>8758</v>
      </c>
      <c r="CG31" s="17">
        <v>8759</v>
      </c>
      <c r="CH31" s="17">
        <v>8760</v>
      </c>
      <c r="CI31" s="17">
        <v>8760</v>
      </c>
      <c r="CJ31" s="17">
        <v>8760</v>
      </c>
      <c r="CK31" s="17">
        <v>8760</v>
      </c>
      <c r="CL31" s="17">
        <v>8760</v>
      </c>
      <c r="CM31" s="17">
        <v>8760</v>
      </c>
      <c r="CN31" s="17">
        <v>8760</v>
      </c>
      <c r="CO31" s="17">
        <v>8760</v>
      </c>
      <c r="CP31" s="17">
        <v>8760</v>
      </c>
      <c r="CQ31" s="17">
        <v>8760</v>
      </c>
      <c r="CR31" s="17">
        <v>8760</v>
      </c>
      <c r="CS31" s="17">
        <v>8760</v>
      </c>
      <c r="CT31" s="17">
        <v>8760</v>
      </c>
      <c r="CU31" s="17">
        <v>8760</v>
      </c>
      <c r="CV31" s="17">
        <v>8760</v>
      </c>
      <c r="CW31" s="17">
        <v>8760</v>
      </c>
      <c r="CX31" s="17">
        <v>8760</v>
      </c>
      <c r="CY31" s="17">
        <v>8760</v>
      </c>
      <c r="CZ31" s="17">
        <v>8760</v>
      </c>
      <c r="DA31" s="17">
        <v>8760</v>
      </c>
      <c r="DB31" s="17">
        <v>8760</v>
      </c>
    </row>
    <row r="32" spans="1:106" s="17" customFormat="1" x14ac:dyDescent="0.25">
      <c r="A32" s="22" t="s">
        <v>50</v>
      </c>
      <c r="B32" s="17" t="s">
        <v>58</v>
      </c>
      <c r="C32" s="17" t="s">
        <v>438</v>
      </c>
      <c r="D32" s="17" t="s">
        <v>473</v>
      </c>
      <c r="E32" s="17" t="s">
        <v>474</v>
      </c>
      <c r="F32" s="17">
        <v>102718</v>
      </c>
      <c r="G32" s="17">
        <v>0</v>
      </c>
      <c r="H32" s="17">
        <v>0</v>
      </c>
      <c r="I32" s="17">
        <v>0</v>
      </c>
      <c r="J32" s="17">
        <v>0</v>
      </c>
      <c r="K32" s="17">
        <v>0</v>
      </c>
      <c r="L32" s="17">
        <v>0</v>
      </c>
      <c r="M32" s="17">
        <v>0</v>
      </c>
      <c r="N32" s="17">
        <v>0</v>
      </c>
      <c r="O32" s="17">
        <v>0</v>
      </c>
      <c r="P32" s="17">
        <v>0</v>
      </c>
      <c r="Q32" s="17">
        <v>0</v>
      </c>
      <c r="R32" s="17">
        <v>0</v>
      </c>
      <c r="S32" s="17">
        <v>0</v>
      </c>
      <c r="T32" s="17">
        <v>0</v>
      </c>
      <c r="U32" s="17">
        <v>0</v>
      </c>
      <c r="V32" s="17">
        <v>0</v>
      </c>
      <c r="W32" s="17">
        <v>0</v>
      </c>
      <c r="X32" s="17">
        <v>0</v>
      </c>
      <c r="Y32" s="17">
        <v>0</v>
      </c>
      <c r="Z32" s="17">
        <v>0</v>
      </c>
      <c r="AA32" s="17">
        <v>0</v>
      </c>
      <c r="AB32" s="17">
        <v>0</v>
      </c>
      <c r="AC32" s="17">
        <v>0</v>
      </c>
      <c r="AD32" s="17">
        <v>0</v>
      </c>
      <c r="AE32" s="17">
        <v>0</v>
      </c>
      <c r="AF32" s="17">
        <v>0</v>
      </c>
      <c r="AG32" s="17">
        <v>0</v>
      </c>
      <c r="AH32" s="17">
        <v>7</v>
      </c>
      <c r="AI32" s="17">
        <v>14</v>
      </c>
      <c r="AJ32" s="17">
        <v>19</v>
      </c>
      <c r="AK32" s="17">
        <v>34</v>
      </c>
      <c r="AL32" s="17">
        <v>47</v>
      </c>
      <c r="AM32" s="17">
        <v>86</v>
      </c>
      <c r="AN32" s="17">
        <v>143</v>
      </c>
      <c r="AO32" s="17">
        <v>195</v>
      </c>
      <c r="AP32" s="17">
        <v>254</v>
      </c>
      <c r="AQ32" s="17">
        <v>325</v>
      </c>
      <c r="AR32" s="17">
        <v>418</v>
      </c>
      <c r="AS32" s="17">
        <v>507</v>
      </c>
      <c r="AT32" s="17">
        <v>581</v>
      </c>
      <c r="AU32" s="17">
        <v>665</v>
      </c>
      <c r="AV32" s="17">
        <v>767</v>
      </c>
      <c r="AW32" s="17">
        <v>897</v>
      </c>
      <c r="AX32" s="17">
        <v>1024</v>
      </c>
      <c r="AY32" s="17">
        <v>1161</v>
      </c>
      <c r="AZ32" s="17">
        <v>1356</v>
      </c>
      <c r="BA32" s="17">
        <v>1649</v>
      </c>
      <c r="BB32" s="17">
        <v>1926</v>
      </c>
      <c r="BC32" s="17">
        <v>2256</v>
      </c>
      <c r="BD32" s="17">
        <v>2656</v>
      </c>
      <c r="BE32" s="17">
        <v>3009</v>
      </c>
      <c r="BF32" s="17">
        <v>3400</v>
      </c>
      <c r="BG32" s="17">
        <v>3795</v>
      </c>
      <c r="BH32" s="17">
        <v>4148</v>
      </c>
      <c r="BI32" s="17">
        <v>4470</v>
      </c>
      <c r="BJ32" s="17">
        <v>4807</v>
      </c>
      <c r="BK32" s="17">
        <v>5102</v>
      </c>
      <c r="BL32" s="17">
        <v>5418</v>
      </c>
      <c r="BM32" s="17">
        <v>5744</v>
      </c>
      <c r="BN32" s="17">
        <v>6025</v>
      </c>
      <c r="BO32" s="17">
        <v>6331</v>
      </c>
      <c r="BP32" s="17">
        <v>6673</v>
      </c>
      <c r="BQ32" s="17">
        <v>7013</v>
      </c>
      <c r="BR32" s="17">
        <v>7310</v>
      </c>
      <c r="BS32" s="17">
        <v>7562</v>
      </c>
      <c r="BT32" s="17">
        <v>7820</v>
      </c>
      <c r="BU32" s="17">
        <v>8055</v>
      </c>
      <c r="BV32" s="17">
        <v>8212</v>
      </c>
      <c r="BW32" s="17">
        <v>8376</v>
      </c>
      <c r="BX32" s="17">
        <v>8471</v>
      </c>
      <c r="BY32" s="17">
        <v>8559</v>
      </c>
      <c r="BZ32" s="17">
        <v>8615</v>
      </c>
      <c r="CA32" s="17">
        <v>8654</v>
      </c>
      <c r="CB32" s="17">
        <v>8690</v>
      </c>
      <c r="CC32" s="17">
        <v>8722</v>
      </c>
      <c r="CD32" s="17">
        <v>8745</v>
      </c>
      <c r="CE32" s="17">
        <v>8754</v>
      </c>
      <c r="CF32" s="17">
        <v>8760</v>
      </c>
      <c r="CG32" s="17">
        <v>8760</v>
      </c>
      <c r="CH32" s="17">
        <v>8760</v>
      </c>
      <c r="CI32" s="17">
        <v>8760</v>
      </c>
      <c r="CJ32" s="17">
        <v>8760</v>
      </c>
      <c r="CK32" s="17">
        <v>8760</v>
      </c>
      <c r="CL32" s="17">
        <v>8760</v>
      </c>
      <c r="CM32" s="17">
        <v>8760</v>
      </c>
      <c r="CN32" s="17">
        <v>8760</v>
      </c>
      <c r="CO32" s="17">
        <v>8760</v>
      </c>
      <c r="CP32" s="17">
        <v>8760</v>
      </c>
      <c r="CQ32" s="17">
        <v>8760</v>
      </c>
      <c r="CR32" s="17">
        <v>8760</v>
      </c>
      <c r="CS32" s="17">
        <v>8760</v>
      </c>
      <c r="CT32" s="17">
        <v>8760</v>
      </c>
      <c r="CU32" s="17">
        <v>8760</v>
      </c>
      <c r="CV32" s="17">
        <v>8760</v>
      </c>
      <c r="CW32" s="17">
        <v>8760</v>
      </c>
      <c r="CX32" s="17">
        <v>8760</v>
      </c>
      <c r="CY32" s="17">
        <v>8760</v>
      </c>
      <c r="CZ32" s="17">
        <v>8760</v>
      </c>
      <c r="DA32" s="17">
        <v>8760</v>
      </c>
      <c r="DB32" s="17">
        <v>8760</v>
      </c>
    </row>
    <row r="33" spans="1:106" s="17" customFormat="1" x14ac:dyDescent="0.25">
      <c r="A33" s="22" t="s">
        <v>51</v>
      </c>
      <c r="B33" s="17" t="s">
        <v>353</v>
      </c>
    </row>
    <row r="34" spans="1:106" s="17" customFormat="1" x14ac:dyDescent="0.25">
      <c r="A34" s="22" t="s">
        <v>52</v>
      </c>
      <c r="B34" s="17" t="s">
        <v>60</v>
      </c>
      <c r="C34" s="17" t="s">
        <v>438</v>
      </c>
      <c r="D34" s="17" t="s">
        <v>475</v>
      </c>
      <c r="E34" s="17" t="s">
        <v>476</v>
      </c>
      <c r="F34" s="17">
        <v>102308</v>
      </c>
      <c r="G34" s="17">
        <v>0</v>
      </c>
      <c r="H34" s="17">
        <v>0</v>
      </c>
      <c r="I34" s="17">
        <v>0</v>
      </c>
      <c r="J34" s="17">
        <v>0</v>
      </c>
      <c r="K34" s="17">
        <v>0</v>
      </c>
      <c r="L34" s="17">
        <v>0</v>
      </c>
      <c r="M34" s="17">
        <v>0</v>
      </c>
      <c r="N34" s="17">
        <v>0</v>
      </c>
      <c r="O34" s="17">
        <v>0</v>
      </c>
      <c r="P34" s="17">
        <v>0</v>
      </c>
      <c r="Q34" s="17">
        <v>0</v>
      </c>
      <c r="R34" s="17">
        <v>0</v>
      </c>
      <c r="S34" s="17">
        <v>0</v>
      </c>
      <c r="T34" s="17">
        <v>0</v>
      </c>
      <c r="U34" s="17">
        <v>0</v>
      </c>
      <c r="V34" s="17">
        <v>0</v>
      </c>
      <c r="W34" s="17">
        <v>0</v>
      </c>
      <c r="X34" s="17">
        <v>0</v>
      </c>
      <c r="Y34" s="17">
        <v>0</v>
      </c>
      <c r="Z34" s="17">
        <v>0</v>
      </c>
      <c r="AA34" s="17">
        <v>0</v>
      </c>
      <c r="AB34" s="17">
        <v>0</v>
      </c>
      <c r="AC34" s="17">
        <v>0</v>
      </c>
      <c r="AD34" s="17">
        <v>0</v>
      </c>
      <c r="AE34" s="17">
        <v>0</v>
      </c>
      <c r="AF34" s="17">
        <v>0</v>
      </c>
      <c r="AG34" s="17">
        <v>0</v>
      </c>
      <c r="AH34" s="17">
        <v>0</v>
      </c>
      <c r="AI34" s="17">
        <v>0</v>
      </c>
      <c r="AJ34" s="17">
        <v>0</v>
      </c>
      <c r="AK34" s="17">
        <v>0</v>
      </c>
      <c r="AL34" s="17">
        <v>0</v>
      </c>
      <c r="AM34" s="17">
        <v>0</v>
      </c>
      <c r="AN34" s="17">
        <v>0</v>
      </c>
      <c r="AO34" s="17">
        <v>0</v>
      </c>
      <c r="AP34" s="17">
        <v>0</v>
      </c>
      <c r="AQ34" s="17">
        <v>0</v>
      </c>
      <c r="AR34" s="17">
        <v>2</v>
      </c>
      <c r="AS34" s="17">
        <v>15</v>
      </c>
      <c r="AT34" s="17">
        <v>37</v>
      </c>
      <c r="AU34" s="17">
        <v>70</v>
      </c>
      <c r="AV34" s="17">
        <v>130</v>
      </c>
      <c r="AW34" s="17">
        <v>210</v>
      </c>
      <c r="AX34" s="17">
        <v>279</v>
      </c>
      <c r="AY34" s="17">
        <v>385</v>
      </c>
      <c r="AZ34" s="17">
        <v>506</v>
      </c>
      <c r="BA34" s="17">
        <v>639</v>
      </c>
      <c r="BB34" s="17">
        <v>798</v>
      </c>
      <c r="BC34" s="17">
        <v>990</v>
      </c>
      <c r="BD34" s="17">
        <v>1226</v>
      </c>
      <c r="BE34" s="17">
        <v>1653</v>
      </c>
      <c r="BF34" s="17">
        <v>2125</v>
      </c>
      <c r="BG34" s="17">
        <v>2621</v>
      </c>
      <c r="BH34" s="17">
        <v>3062</v>
      </c>
      <c r="BI34" s="17">
        <v>3507</v>
      </c>
      <c r="BJ34" s="17">
        <v>3924</v>
      </c>
      <c r="BK34" s="17">
        <v>4265</v>
      </c>
      <c r="BL34" s="17">
        <v>4597</v>
      </c>
      <c r="BM34" s="17">
        <v>4937</v>
      </c>
      <c r="BN34" s="17">
        <v>5271</v>
      </c>
      <c r="BO34" s="17">
        <v>5603</v>
      </c>
      <c r="BP34" s="17">
        <v>5940</v>
      </c>
      <c r="BQ34" s="17">
        <v>6317</v>
      </c>
      <c r="BR34" s="17">
        <v>6661</v>
      </c>
      <c r="BS34" s="17">
        <v>7010</v>
      </c>
      <c r="BT34" s="17">
        <v>7338</v>
      </c>
      <c r="BU34" s="17">
        <v>7635</v>
      </c>
      <c r="BV34" s="17">
        <v>7914</v>
      </c>
      <c r="BW34" s="17">
        <v>8142</v>
      </c>
      <c r="BX34" s="17">
        <v>8304</v>
      </c>
      <c r="BY34" s="17">
        <v>8430</v>
      </c>
      <c r="BZ34" s="17">
        <v>8530</v>
      </c>
      <c r="CA34" s="17">
        <v>8610</v>
      </c>
      <c r="CB34" s="17">
        <v>8667</v>
      </c>
      <c r="CC34" s="17">
        <v>8702</v>
      </c>
      <c r="CD34" s="17">
        <v>8724</v>
      </c>
      <c r="CE34" s="17">
        <v>8741</v>
      </c>
      <c r="CF34" s="17">
        <v>8754</v>
      </c>
      <c r="CG34" s="17">
        <v>8758</v>
      </c>
      <c r="CH34" s="17">
        <v>8759</v>
      </c>
      <c r="CI34" s="17">
        <v>8760</v>
      </c>
      <c r="CJ34" s="17">
        <v>8760</v>
      </c>
      <c r="CK34" s="17">
        <v>8760</v>
      </c>
      <c r="CL34" s="17">
        <v>8760</v>
      </c>
      <c r="CM34" s="17">
        <v>8760</v>
      </c>
      <c r="CN34" s="17">
        <v>8760</v>
      </c>
      <c r="CO34" s="17">
        <v>8760</v>
      </c>
      <c r="CP34" s="17">
        <v>8760</v>
      </c>
      <c r="CQ34" s="17">
        <v>8760</v>
      </c>
      <c r="CR34" s="17">
        <v>8760</v>
      </c>
      <c r="CS34" s="17">
        <v>8760</v>
      </c>
      <c r="CT34" s="17">
        <v>8760</v>
      </c>
      <c r="CU34" s="17">
        <v>8760</v>
      </c>
      <c r="CV34" s="17">
        <v>8760</v>
      </c>
      <c r="CW34" s="17">
        <v>8760</v>
      </c>
      <c r="CX34" s="17">
        <v>8760</v>
      </c>
      <c r="CY34" s="17">
        <v>8760</v>
      </c>
      <c r="CZ34" s="17">
        <v>8760</v>
      </c>
      <c r="DA34" s="17">
        <v>8760</v>
      </c>
      <c r="DB34" s="17">
        <v>8760</v>
      </c>
    </row>
    <row r="35" spans="1:106" s="17" customFormat="1" x14ac:dyDescent="0.25">
      <c r="A35" s="22" t="s">
        <v>53</v>
      </c>
      <c r="B35" s="17" t="s">
        <v>61</v>
      </c>
      <c r="C35" s="17" t="s">
        <v>438</v>
      </c>
      <c r="D35" s="17" t="s">
        <v>477</v>
      </c>
      <c r="E35" s="17" t="s">
        <v>478</v>
      </c>
      <c r="F35" s="17">
        <v>102707</v>
      </c>
      <c r="G35" s="17">
        <v>0</v>
      </c>
      <c r="H35" s="17">
        <v>0</v>
      </c>
      <c r="I35" s="17">
        <v>0</v>
      </c>
      <c r="J35" s="17">
        <v>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0</v>
      </c>
      <c r="AC35" s="17">
        <v>4</v>
      </c>
      <c r="AD35" s="17">
        <v>9</v>
      </c>
      <c r="AE35" s="17">
        <v>14</v>
      </c>
      <c r="AF35" s="17">
        <v>16</v>
      </c>
      <c r="AG35" s="17">
        <v>18</v>
      </c>
      <c r="AH35" s="17">
        <v>20</v>
      </c>
      <c r="AI35" s="17">
        <v>30</v>
      </c>
      <c r="AJ35" s="17">
        <v>48</v>
      </c>
      <c r="AK35" s="17">
        <v>64</v>
      </c>
      <c r="AL35" s="17">
        <v>75</v>
      </c>
      <c r="AM35" s="17">
        <v>90</v>
      </c>
      <c r="AN35" s="17">
        <v>116</v>
      </c>
      <c r="AO35" s="17">
        <v>145</v>
      </c>
      <c r="AP35" s="17">
        <v>188</v>
      </c>
      <c r="AQ35" s="17">
        <v>252</v>
      </c>
      <c r="AR35" s="17">
        <v>302</v>
      </c>
      <c r="AS35" s="17">
        <v>373</v>
      </c>
      <c r="AT35" s="17">
        <v>458</v>
      </c>
      <c r="AU35" s="17">
        <v>564</v>
      </c>
      <c r="AV35" s="17">
        <v>654</v>
      </c>
      <c r="AW35" s="17">
        <v>768</v>
      </c>
      <c r="AX35" s="17">
        <v>889</v>
      </c>
      <c r="AY35" s="17">
        <v>1041</v>
      </c>
      <c r="AZ35" s="17">
        <v>1216</v>
      </c>
      <c r="BA35" s="17">
        <v>1474</v>
      </c>
      <c r="BB35" s="17">
        <v>1754</v>
      </c>
      <c r="BC35" s="17">
        <v>2039</v>
      </c>
      <c r="BD35" s="17">
        <v>2357</v>
      </c>
      <c r="BE35" s="17">
        <v>2659</v>
      </c>
      <c r="BF35" s="17">
        <v>2998</v>
      </c>
      <c r="BG35" s="17">
        <v>3321</v>
      </c>
      <c r="BH35" s="17">
        <v>3644</v>
      </c>
      <c r="BI35" s="17">
        <v>3954</v>
      </c>
      <c r="BJ35" s="17">
        <v>4270</v>
      </c>
      <c r="BK35" s="17">
        <v>4589</v>
      </c>
      <c r="BL35" s="17">
        <v>4937</v>
      </c>
      <c r="BM35" s="17">
        <v>5308</v>
      </c>
      <c r="BN35" s="17">
        <v>5690</v>
      </c>
      <c r="BO35" s="17">
        <v>6107</v>
      </c>
      <c r="BP35" s="17">
        <v>6498</v>
      </c>
      <c r="BQ35" s="17">
        <v>6875</v>
      </c>
      <c r="BR35" s="17">
        <v>7213</v>
      </c>
      <c r="BS35" s="17">
        <v>7498</v>
      </c>
      <c r="BT35" s="17">
        <v>7764</v>
      </c>
      <c r="BU35" s="17">
        <v>7976</v>
      </c>
      <c r="BV35" s="17">
        <v>8177</v>
      </c>
      <c r="BW35" s="17">
        <v>8331</v>
      </c>
      <c r="BX35" s="17">
        <v>8449</v>
      </c>
      <c r="BY35" s="17">
        <v>8558</v>
      </c>
      <c r="BZ35" s="17">
        <v>8619</v>
      </c>
      <c r="CA35" s="17">
        <v>8657</v>
      </c>
      <c r="CB35" s="17">
        <v>8681</v>
      </c>
      <c r="CC35" s="17">
        <v>8697</v>
      </c>
      <c r="CD35" s="17">
        <v>8712</v>
      </c>
      <c r="CE35" s="17">
        <v>8734</v>
      </c>
      <c r="CF35" s="17">
        <v>8747</v>
      </c>
      <c r="CG35" s="17">
        <v>8760</v>
      </c>
      <c r="CH35" s="17">
        <v>8760</v>
      </c>
      <c r="CI35" s="17">
        <v>8760</v>
      </c>
      <c r="CJ35" s="17">
        <v>8760</v>
      </c>
      <c r="CK35" s="17">
        <v>8760</v>
      </c>
      <c r="CL35" s="17">
        <v>8760</v>
      </c>
      <c r="CM35" s="17">
        <v>8760</v>
      </c>
      <c r="CN35" s="17">
        <v>8760</v>
      </c>
      <c r="CO35" s="17">
        <v>8760</v>
      </c>
      <c r="CP35" s="17">
        <v>8760</v>
      </c>
      <c r="CQ35" s="17">
        <v>8760</v>
      </c>
      <c r="CR35" s="17">
        <v>8760</v>
      </c>
      <c r="CS35" s="17">
        <v>8760</v>
      </c>
      <c r="CT35" s="17">
        <v>8760</v>
      </c>
      <c r="CU35" s="17">
        <v>8760</v>
      </c>
      <c r="CV35" s="17">
        <v>8760</v>
      </c>
      <c r="CW35" s="17">
        <v>8760</v>
      </c>
      <c r="CX35" s="17">
        <v>8760</v>
      </c>
      <c r="CY35" s="17">
        <v>8760</v>
      </c>
      <c r="CZ35" s="17">
        <v>8760</v>
      </c>
      <c r="DA35" s="17">
        <v>8760</v>
      </c>
      <c r="DB35" s="17">
        <v>8760</v>
      </c>
    </row>
    <row r="36" spans="1:106" s="17" customFormat="1" x14ac:dyDescent="0.25">
      <c r="A36" s="22" t="s">
        <v>54</v>
      </c>
      <c r="B36" s="17" t="s">
        <v>59</v>
      </c>
      <c r="C36" s="17" t="s">
        <v>438</v>
      </c>
      <c r="D36" s="17" t="s">
        <v>479</v>
      </c>
      <c r="E36" s="17" t="s">
        <v>480</v>
      </c>
      <c r="F36" s="17">
        <v>102206</v>
      </c>
      <c r="G36" s="17">
        <v>0</v>
      </c>
      <c r="H36" s="17">
        <v>0</v>
      </c>
      <c r="I36" s="17">
        <v>0</v>
      </c>
      <c r="J36" s="17">
        <v>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0</v>
      </c>
      <c r="AC36" s="17">
        <v>0</v>
      </c>
      <c r="AD36" s="17">
        <v>0</v>
      </c>
      <c r="AE36" s="17">
        <v>0</v>
      </c>
      <c r="AF36" s="17">
        <v>0</v>
      </c>
      <c r="AG36" s="17">
        <v>0</v>
      </c>
      <c r="AH36" s="17">
        <v>0</v>
      </c>
      <c r="AI36" s="17">
        <v>0</v>
      </c>
      <c r="AJ36" s="17">
        <v>0</v>
      </c>
      <c r="AK36" s="17">
        <v>0</v>
      </c>
      <c r="AL36" s="17">
        <v>0</v>
      </c>
      <c r="AM36" s="17">
        <v>1</v>
      </c>
      <c r="AN36" s="17">
        <v>4</v>
      </c>
      <c r="AO36" s="17">
        <v>10</v>
      </c>
      <c r="AP36" s="17">
        <v>23</v>
      </c>
      <c r="AQ36" s="17">
        <v>36</v>
      </c>
      <c r="AR36" s="17">
        <v>55</v>
      </c>
      <c r="AS36" s="17">
        <v>73</v>
      </c>
      <c r="AT36" s="17">
        <v>94</v>
      </c>
      <c r="AU36" s="17">
        <v>139</v>
      </c>
      <c r="AV36" s="17">
        <v>192</v>
      </c>
      <c r="AW36" s="17">
        <v>268</v>
      </c>
      <c r="AX36" s="17">
        <v>368</v>
      </c>
      <c r="AY36" s="17">
        <v>513</v>
      </c>
      <c r="AZ36" s="17">
        <v>679</v>
      </c>
      <c r="BA36" s="17">
        <v>872</v>
      </c>
      <c r="BB36" s="17">
        <v>1093</v>
      </c>
      <c r="BC36" s="17">
        <v>1363</v>
      </c>
      <c r="BD36" s="17">
        <v>1657</v>
      </c>
      <c r="BE36" s="17">
        <v>2034</v>
      </c>
      <c r="BF36" s="17">
        <v>2478</v>
      </c>
      <c r="BG36" s="17">
        <v>2991</v>
      </c>
      <c r="BH36" s="17">
        <v>3397</v>
      </c>
      <c r="BI36" s="17">
        <v>3776</v>
      </c>
      <c r="BJ36" s="17">
        <v>4181</v>
      </c>
      <c r="BK36" s="17">
        <v>4584</v>
      </c>
      <c r="BL36" s="17">
        <v>4954</v>
      </c>
      <c r="BM36" s="17">
        <v>5286</v>
      </c>
      <c r="BN36" s="17">
        <v>5678</v>
      </c>
      <c r="BO36" s="17">
        <v>6052</v>
      </c>
      <c r="BP36" s="17">
        <v>6479</v>
      </c>
      <c r="BQ36" s="17">
        <v>6820</v>
      </c>
      <c r="BR36" s="17">
        <v>7196</v>
      </c>
      <c r="BS36" s="17">
        <v>7544</v>
      </c>
      <c r="BT36" s="17">
        <v>7791</v>
      </c>
      <c r="BU36" s="17">
        <v>8046</v>
      </c>
      <c r="BV36" s="17">
        <v>8243</v>
      </c>
      <c r="BW36" s="17">
        <v>8381</v>
      </c>
      <c r="BX36" s="17">
        <v>8470</v>
      </c>
      <c r="BY36" s="17">
        <v>8533</v>
      </c>
      <c r="BZ36" s="17">
        <v>8595</v>
      </c>
      <c r="CA36" s="17">
        <v>8644</v>
      </c>
      <c r="CB36" s="17">
        <v>8682</v>
      </c>
      <c r="CC36" s="17">
        <v>8718</v>
      </c>
      <c r="CD36" s="17">
        <v>8741</v>
      </c>
      <c r="CE36" s="17">
        <v>8756</v>
      </c>
      <c r="CF36" s="17">
        <v>8760</v>
      </c>
      <c r="CG36" s="17">
        <v>8760</v>
      </c>
      <c r="CH36" s="17">
        <v>8760</v>
      </c>
      <c r="CI36" s="17">
        <v>8760</v>
      </c>
      <c r="CJ36" s="17">
        <v>8760</v>
      </c>
      <c r="CK36" s="17">
        <v>8760</v>
      </c>
      <c r="CL36" s="17">
        <v>8760</v>
      </c>
      <c r="CM36" s="17">
        <v>8760</v>
      </c>
      <c r="CN36" s="17">
        <v>8760</v>
      </c>
      <c r="CO36" s="17">
        <v>8760</v>
      </c>
      <c r="CP36" s="17">
        <v>8760</v>
      </c>
      <c r="CQ36" s="17">
        <v>8760</v>
      </c>
      <c r="CR36" s="17">
        <v>8760</v>
      </c>
      <c r="CS36" s="17">
        <v>8760</v>
      </c>
      <c r="CT36" s="17">
        <v>8760</v>
      </c>
      <c r="CU36" s="17">
        <v>8760</v>
      </c>
      <c r="CV36" s="17">
        <v>8760</v>
      </c>
      <c r="CW36" s="17">
        <v>8760</v>
      </c>
      <c r="CX36" s="17">
        <v>8760</v>
      </c>
      <c r="CY36" s="17">
        <v>8760</v>
      </c>
      <c r="CZ36" s="17">
        <v>8760</v>
      </c>
      <c r="DA36" s="17">
        <v>8760</v>
      </c>
      <c r="DB36" s="17">
        <v>8760</v>
      </c>
    </row>
    <row r="37" spans="1:106" s="17" customFormat="1" x14ac:dyDescent="0.25">
      <c r="A37" s="22" t="s">
        <v>55</v>
      </c>
      <c r="B37" s="17" t="s">
        <v>355</v>
      </c>
      <c r="C37" s="17" t="s">
        <v>438</v>
      </c>
      <c r="D37" s="17" t="s">
        <v>481</v>
      </c>
      <c r="E37" s="17" t="s">
        <v>482</v>
      </c>
      <c r="F37" s="17">
        <v>102623</v>
      </c>
      <c r="G37" s="17">
        <v>0</v>
      </c>
      <c r="H37" s="17">
        <v>0</v>
      </c>
      <c r="I37" s="17">
        <v>0</v>
      </c>
      <c r="J37" s="17">
        <v>0</v>
      </c>
      <c r="K37" s="17">
        <v>0</v>
      </c>
      <c r="L37" s="17">
        <v>0</v>
      </c>
      <c r="M37" s="17">
        <v>0</v>
      </c>
      <c r="N37" s="17">
        <v>0</v>
      </c>
      <c r="O37" s="17">
        <v>0</v>
      </c>
      <c r="P37" s="17">
        <v>0</v>
      </c>
      <c r="Q37" s="17">
        <v>0</v>
      </c>
      <c r="R37" s="17">
        <v>0</v>
      </c>
      <c r="S37" s="17">
        <v>0</v>
      </c>
      <c r="T37" s="17">
        <v>0</v>
      </c>
      <c r="U37" s="17">
        <v>0</v>
      </c>
      <c r="V37" s="17">
        <v>0</v>
      </c>
      <c r="W37" s="17">
        <v>0</v>
      </c>
      <c r="X37" s="17">
        <v>0</v>
      </c>
      <c r="Y37" s="17">
        <v>0</v>
      </c>
      <c r="Z37" s="17">
        <v>0</v>
      </c>
      <c r="AA37" s="17">
        <v>0</v>
      </c>
      <c r="AB37" s="17">
        <v>0</v>
      </c>
      <c r="AC37" s="17">
        <v>0</v>
      </c>
      <c r="AD37" s="17">
        <v>0</v>
      </c>
      <c r="AE37" s="17">
        <v>0</v>
      </c>
      <c r="AF37" s="17">
        <v>0</v>
      </c>
      <c r="AG37" s="17">
        <v>0</v>
      </c>
      <c r="AH37" s="17">
        <v>0</v>
      </c>
      <c r="AI37" s="17">
        <v>0</v>
      </c>
      <c r="AJ37" s="17">
        <v>0</v>
      </c>
      <c r="AK37" s="17">
        <v>0</v>
      </c>
      <c r="AL37" s="17">
        <v>0</v>
      </c>
      <c r="AM37" s="17">
        <v>0</v>
      </c>
      <c r="AN37" s="17">
        <v>0</v>
      </c>
      <c r="AO37" s="17">
        <v>0</v>
      </c>
      <c r="AP37" s="17">
        <v>1</v>
      </c>
      <c r="AQ37" s="17">
        <v>12</v>
      </c>
      <c r="AR37" s="17">
        <v>19</v>
      </c>
      <c r="AS37" s="17">
        <v>47</v>
      </c>
      <c r="AT37" s="17">
        <v>86</v>
      </c>
      <c r="AU37" s="17">
        <v>129</v>
      </c>
      <c r="AV37" s="17">
        <v>178</v>
      </c>
      <c r="AW37" s="17">
        <v>263</v>
      </c>
      <c r="AX37" s="17">
        <v>378</v>
      </c>
      <c r="AY37" s="17">
        <v>506</v>
      </c>
      <c r="AZ37" s="17">
        <v>704</v>
      </c>
      <c r="BA37" s="17">
        <v>860</v>
      </c>
      <c r="BB37" s="17">
        <v>1060</v>
      </c>
      <c r="BC37" s="17">
        <v>1299</v>
      </c>
      <c r="BD37" s="17">
        <v>1609</v>
      </c>
      <c r="BE37" s="17">
        <v>2023</v>
      </c>
      <c r="BF37" s="17">
        <v>2480</v>
      </c>
      <c r="BG37" s="17">
        <v>2970</v>
      </c>
      <c r="BH37" s="17">
        <v>3375</v>
      </c>
      <c r="BI37" s="17">
        <v>3828</v>
      </c>
      <c r="BJ37" s="17">
        <v>4252</v>
      </c>
      <c r="BK37" s="17">
        <v>4605</v>
      </c>
      <c r="BL37" s="17">
        <v>4884</v>
      </c>
      <c r="BM37" s="17">
        <v>5155</v>
      </c>
      <c r="BN37" s="17">
        <v>5478</v>
      </c>
      <c r="BO37" s="17">
        <v>5844</v>
      </c>
      <c r="BP37" s="17">
        <v>6255</v>
      </c>
      <c r="BQ37" s="17">
        <v>6617</v>
      </c>
      <c r="BR37" s="17">
        <v>6988</v>
      </c>
      <c r="BS37" s="17">
        <v>7314</v>
      </c>
      <c r="BT37" s="17">
        <v>7657</v>
      </c>
      <c r="BU37" s="17">
        <v>7940</v>
      </c>
      <c r="BV37" s="17">
        <v>8165</v>
      </c>
      <c r="BW37" s="17">
        <v>8324</v>
      </c>
      <c r="BX37" s="17">
        <v>8463</v>
      </c>
      <c r="BY37" s="17">
        <v>8562</v>
      </c>
      <c r="BZ37" s="17">
        <v>8644</v>
      </c>
      <c r="CA37" s="17">
        <v>8701</v>
      </c>
      <c r="CB37" s="17">
        <v>8733</v>
      </c>
      <c r="CC37" s="17">
        <v>8756</v>
      </c>
      <c r="CD37" s="17">
        <v>8760</v>
      </c>
      <c r="CE37" s="17">
        <v>8760</v>
      </c>
      <c r="CF37" s="17">
        <v>8760</v>
      </c>
      <c r="CG37" s="17">
        <v>8760</v>
      </c>
      <c r="CH37" s="17">
        <v>8760</v>
      </c>
      <c r="CI37" s="17">
        <v>8760</v>
      </c>
      <c r="CJ37" s="17">
        <v>8760</v>
      </c>
      <c r="CK37" s="17">
        <v>8760</v>
      </c>
      <c r="CL37" s="17">
        <v>8760</v>
      </c>
      <c r="CM37" s="17">
        <v>8760</v>
      </c>
      <c r="CN37" s="17">
        <v>8760</v>
      </c>
      <c r="CO37" s="17">
        <v>8760</v>
      </c>
      <c r="CP37" s="17">
        <v>8760</v>
      </c>
      <c r="CQ37" s="17">
        <v>8760</v>
      </c>
      <c r="CR37" s="17">
        <v>8760</v>
      </c>
      <c r="CS37" s="17">
        <v>8760</v>
      </c>
      <c r="CT37" s="17">
        <v>8760</v>
      </c>
      <c r="CU37" s="17">
        <v>8760</v>
      </c>
      <c r="CV37" s="17">
        <v>8760</v>
      </c>
      <c r="CW37" s="17">
        <v>8760</v>
      </c>
      <c r="CX37" s="17">
        <v>8760</v>
      </c>
      <c r="CY37" s="17">
        <v>8760</v>
      </c>
      <c r="CZ37" s="17">
        <v>8760</v>
      </c>
      <c r="DA37" s="17">
        <v>8760</v>
      </c>
      <c r="DB37" s="17">
        <v>8760</v>
      </c>
    </row>
    <row r="38" spans="1:106" s="17" customFormat="1" x14ac:dyDescent="0.25">
      <c r="A38" s="22" t="s">
        <v>56</v>
      </c>
      <c r="B38" s="17" t="s">
        <v>64</v>
      </c>
      <c r="C38" s="17" t="s">
        <v>438</v>
      </c>
      <c r="D38" s="17" t="s">
        <v>483</v>
      </c>
      <c r="E38" s="17" t="s">
        <v>484</v>
      </c>
      <c r="F38" s="17">
        <v>102130</v>
      </c>
      <c r="G38" s="17">
        <v>0</v>
      </c>
      <c r="H38" s="17">
        <v>0</v>
      </c>
      <c r="I38" s="17">
        <v>0</v>
      </c>
      <c r="J38" s="17">
        <v>0</v>
      </c>
      <c r="K38" s="17">
        <v>0</v>
      </c>
      <c r="L38" s="17">
        <v>0</v>
      </c>
      <c r="M38" s="17">
        <v>0</v>
      </c>
      <c r="N38" s="17">
        <v>0</v>
      </c>
      <c r="O38" s="17">
        <v>0</v>
      </c>
      <c r="P38" s="17">
        <v>0</v>
      </c>
      <c r="Q38" s="17">
        <v>0</v>
      </c>
      <c r="R38" s="17">
        <v>0</v>
      </c>
      <c r="S38" s="17">
        <v>0</v>
      </c>
      <c r="T38" s="17">
        <v>0</v>
      </c>
      <c r="U38" s="17">
        <v>0</v>
      </c>
      <c r="V38" s="17">
        <v>0</v>
      </c>
      <c r="W38" s="17">
        <v>0</v>
      </c>
      <c r="X38" s="17">
        <v>0</v>
      </c>
      <c r="Y38" s="17">
        <v>0</v>
      </c>
      <c r="Z38" s="17">
        <v>0</v>
      </c>
      <c r="AA38" s="17">
        <v>0</v>
      </c>
      <c r="AB38" s="17">
        <v>0</v>
      </c>
      <c r="AC38" s="17">
        <v>0</v>
      </c>
      <c r="AD38" s="17">
        <v>0</v>
      </c>
      <c r="AE38" s="17">
        <v>0</v>
      </c>
      <c r="AF38" s="17">
        <v>0</v>
      </c>
      <c r="AG38" s="17">
        <v>0</v>
      </c>
      <c r="AH38" s="17">
        <v>0</v>
      </c>
      <c r="AI38" s="17">
        <v>0</v>
      </c>
      <c r="AJ38" s="17">
        <v>0</v>
      </c>
      <c r="AK38" s="17">
        <v>0</v>
      </c>
      <c r="AL38" s="17">
        <v>0</v>
      </c>
      <c r="AM38" s="17">
        <v>0</v>
      </c>
      <c r="AN38" s="17">
        <v>1</v>
      </c>
      <c r="AO38" s="17">
        <v>5</v>
      </c>
      <c r="AP38" s="17">
        <v>8</v>
      </c>
      <c r="AQ38" s="17">
        <v>22</v>
      </c>
      <c r="AR38" s="17">
        <v>31</v>
      </c>
      <c r="AS38" s="17">
        <v>37</v>
      </c>
      <c r="AT38" s="17">
        <v>53</v>
      </c>
      <c r="AU38" s="17">
        <v>78</v>
      </c>
      <c r="AV38" s="17">
        <v>106</v>
      </c>
      <c r="AW38" s="17">
        <v>148</v>
      </c>
      <c r="AX38" s="17">
        <v>194</v>
      </c>
      <c r="AY38" s="17">
        <v>255</v>
      </c>
      <c r="AZ38" s="17">
        <v>361</v>
      </c>
      <c r="BA38" s="17">
        <v>548</v>
      </c>
      <c r="BB38" s="17">
        <v>780</v>
      </c>
      <c r="BC38" s="17">
        <v>995</v>
      </c>
      <c r="BD38" s="17">
        <v>1228</v>
      </c>
      <c r="BE38" s="17">
        <v>1563</v>
      </c>
      <c r="BF38" s="17">
        <v>1988</v>
      </c>
      <c r="BG38" s="17">
        <v>2388</v>
      </c>
      <c r="BH38" s="17">
        <v>2961</v>
      </c>
      <c r="BI38" s="17">
        <v>3429</v>
      </c>
      <c r="BJ38" s="17">
        <v>3843</v>
      </c>
      <c r="BK38" s="17">
        <v>4246</v>
      </c>
      <c r="BL38" s="17">
        <v>4581</v>
      </c>
      <c r="BM38" s="17">
        <v>4893</v>
      </c>
      <c r="BN38" s="17">
        <v>5252</v>
      </c>
      <c r="BO38" s="17">
        <v>5605</v>
      </c>
      <c r="BP38" s="17">
        <v>6035</v>
      </c>
      <c r="BQ38" s="17">
        <v>6463</v>
      </c>
      <c r="BR38" s="17">
        <v>6808</v>
      </c>
      <c r="BS38" s="17">
        <v>7146</v>
      </c>
      <c r="BT38" s="17">
        <v>7481</v>
      </c>
      <c r="BU38" s="17">
        <v>7768</v>
      </c>
      <c r="BV38" s="17">
        <v>7989</v>
      </c>
      <c r="BW38" s="17">
        <v>8165</v>
      </c>
      <c r="BX38" s="17">
        <v>8319</v>
      </c>
      <c r="BY38" s="17">
        <v>8413</v>
      </c>
      <c r="BZ38" s="17">
        <v>8484</v>
      </c>
      <c r="CA38" s="17">
        <v>8578</v>
      </c>
      <c r="CB38" s="17">
        <v>8622</v>
      </c>
      <c r="CC38" s="17">
        <v>8673</v>
      </c>
      <c r="CD38" s="17">
        <v>8702</v>
      </c>
      <c r="CE38" s="17">
        <v>8721</v>
      </c>
      <c r="CF38" s="17">
        <v>8735</v>
      </c>
      <c r="CG38" s="17">
        <v>8748</v>
      </c>
      <c r="CH38" s="17">
        <v>8758</v>
      </c>
      <c r="CI38" s="17">
        <v>8760</v>
      </c>
      <c r="CJ38" s="17">
        <v>8760</v>
      </c>
      <c r="CK38" s="17">
        <v>8760</v>
      </c>
      <c r="CL38" s="17">
        <v>8760</v>
      </c>
      <c r="CM38" s="17">
        <v>8760</v>
      </c>
      <c r="CN38" s="17">
        <v>8760</v>
      </c>
      <c r="CO38" s="17">
        <v>8760</v>
      </c>
      <c r="CP38" s="17">
        <v>8760</v>
      </c>
      <c r="CQ38" s="17">
        <v>8760</v>
      </c>
      <c r="CR38" s="17">
        <v>8760</v>
      </c>
      <c r="CS38" s="17">
        <v>8760</v>
      </c>
      <c r="CT38" s="17">
        <v>8760</v>
      </c>
      <c r="CU38" s="17">
        <v>8760</v>
      </c>
      <c r="CV38" s="17">
        <v>8760</v>
      </c>
      <c r="CW38" s="17">
        <v>8760</v>
      </c>
      <c r="CX38" s="17">
        <v>8760</v>
      </c>
      <c r="CY38" s="17">
        <v>8760</v>
      </c>
      <c r="CZ38" s="17">
        <v>8760</v>
      </c>
      <c r="DA38" s="17">
        <v>8760</v>
      </c>
      <c r="DB38" s="17">
        <v>8760</v>
      </c>
    </row>
    <row r="39" spans="1:106" s="17" customFormat="1" x14ac:dyDescent="0.25">
      <c r="A39" s="22" t="s">
        <v>57</v>
      </c>
      <c r="B39" s="17" t="s">
        <v>65</v>
      </c>
      <c r="C39" s="17" t="s">
        <v>438</v>
      </c>
      <c r="D39" s="17" t="s">
        <v>485</v>
      </c>
      <c r="E39" s="17" t="s">
        <v>486</v>
      </c>
      <c r="F39" s="17">
        <v>102114</v>
      </c>
      <c r="G39" s="17">
        <v>0</v>
      </c>
      <c r="H39" s="17">
        <v>0</v>
      </c>
      <c r="I39" s="17">
        <v>0</v>
      </c>
      <c r="J39" s="17">
        <v>0</v>
      </c>
      <c r="K39" s="17">
        <v>0</v>
      </c>
      <c r="L39" s="17">
        <v>0</v>
      </c>
      <c r="M39" s="17">
        <v>0</v>
      </c>
      <c r="N39" s="17">
        <v>0</v>
      </c>
      <c r="O39" s="17">
        <v>0</v>
      </c>
      <c r="P39" s="17">
        <v>0</v>
      </c>
      <c r="Q39" s="17">
        <v>0</v>
      </c>
      <c r="R39" s="17">
        <v>0</v>
      </c>
      <c r="S39" s="17">
        <v>0</v>
      </c>
      <c r="T39" s="17">
        <v>0</v>
      </c>
      <c r="U39" s="17">
        <v>0</v>
      </c>
      <c r="V39" s="17">
        <v>0</v>
      </c>
      <c r="W39" s="17">
        <v>0</v>
      </c>
      <c r="X39" s="17">
        <v>0</v>
      </c>
      <c r="Y39" s="17">
        <v>0</v>
      </c>
      <c r="Z39" s="17">
        <v>0</v>
      </c>
      <c r="AA39" s="17">
        <v>0</v>
      </c>
      <c r="AB39" s="17">
        <v>0</v>
      </c>
      <c r="AC39" s="17">
        <v>0</v>
      </c>
      <c r="AD39" s="17">
        <v>0</v>
      </c>
      <c r="AE39" s="17">
        <v>0</v>
      </c>
      <c r="AF39" s="17">
        <v>0</v>
      </c>
      <c r="AG39" s="17">
        <v>0</v>
      </c>
      <c r="AH39" s="17">
        <v>0</v>
      </c>
      <c r="AI39" s="17">
        <v>0</v>
      </c>
      <c r="AJ39" s="17">
        <v>0</v>
      </c>
      <c r="AK39" s="17">
        <v>0</v>
      </c>
      <c r="AL39" s="17">
        <v>0</v>
      </c>
      <c r="AM39" s="17">
        <v>0</v>
      </c>
      <c r="AN39" s="17">
        <v>0</v>
      </c>
      <c r="AO39" s="17">
        <v>0</v>
      </c>
      <c r="AP39" s="17">
        <v>0</v>
      </c>
      <c r="AQ39" s="17">
        <v>0</v>
      </c>
      <c r="AR39" s="17">
        <v>0</v>
      </c>
      <c r="AS39" s="17">
        <v>2</v>
      </c>
      <c r="AT39" s="17">
        <v>9</v>
      </c>
      <c r="AU39" s="17">
        <v>23</v>
      </c>
      <c r="AV39" s="17">
        <v>47</v>
      </c>
      <c r="AW39" s="17">
        <v>69</v>
      </c>
      <c r="AX39" s="17">
        <v>118</v>
      </c>
      <c r="AY39" s="17">
        <v>178</v>
      </c>
      <c r="AZ39" s="17">
        <v>264</v>
      </c>
      <c r="BA39" s="17">
        <v>381</v>
      </c>
      <c r="BB39" s="17">
        <v>597</v>
      </c>
      <c r="BC39" s="17">
        <v>849</v>
      </c>
      <c r="BD39" s="17">
        <v>1146</v>
      </c>
      <c r="BE39" s="17">
        <v>1524</v>
      </c>
      <c r="BF39" s="17">
        <v>1885</v>
      </c>
      <c r="BG39" s="17">
        <v>2351</v>
      </c>
      <c r="BH39" s="17">
        <v>2869</v>
      </c>
      <c r="BI39" s="17">
        <v>3472</v>
      </c>
      <c r="BJ39" s="17">
        <v>3825</v>
      </c>
      <c r="BK39" s="17">
        <v>4145</v>
      </c>
      <c r="BL39" s="17">
        <v>4466</v>
      </c>
      <c r="BM39" s="17">
        <v>4756</v>
      </c>
      <c r="BN39" s="17">
        <v>5017</v>
      </c>
      <c r="BO39" s="17">
        <v>5358</v>
      </c>
      <c r="BP39" s="17">
        <v>5801</v>
      </c>
      <c r="BQ39" s="17">
        <v>6237</v>
      </c>
      <c r="BR39" s="17">
        <v>6677</v>
      </c>
      <c r="BS39" s="17">
        <v>7034</v>
      </c>
      <c r="BT39" s="17">
        <v>7380</v>
      </c>
      <c r="BU39" s="17">
        <v>7674</v>
      </c>
      <c r="BV39" s="17">
        <v>7915</v>
      </c>
      <c r="BW39" s="17">
        <v>8121</v>
      </c>
      <c r="BX39" s="17">
        <v>8303</v>
      </c>
      <c r="BY39" s="17">
        <v>8461</v>
      </c>
      <c r="BZ39" s="17">
        <v>8576</v>
      </c>
      <c r="CA39" s="17">
        <v>8655</v>
      </c>
      <c r="CB39" s="17">
        <v>8702</v>
      </c>
      <c r="CC39" s="17">
        <v>8733</v>
      </c>
      <c r="CD39" s="17">
        <v>8750</v>
      </c>
      <c r="CE39" s="17">
        <v>8757</v>
      </c>
      <c r="CF39" s="17">
        <v>8759</v>
      </c>
      <c r="CG39" s="17">
        <v>8760</v>
      </c>
      <c r="CH39" s="17">
        <v>8760</v>
      </c>
      <c r="CI39" s="17">
        <v>8760</v>
      </c>
      <c r="CJ39" s="17">
        <v>8760</v>
      </c>
      <c r="CK39" s="17">
        <v>8760</v>
      </c>
      <c r="CL39" s="17">
        <v>8760</v>
      </c>
      <c r="CM39" s="17">
        <v>8760</v>
      </c>
      <c r="CN39" s="17">
        <v>8760</v>
      </c>
      <c r="CO39" s="17">
        <v>8760</v>
      </c>
      <c r="CP39" s="17">
        <v>8760</v>
      </c>
      <c r="CQ39" s="17">
        <v>8760</v>
      </c>
      <c r="CR39" s="17">
        <v>8760</v>
      </c>
      <c r="CS39" s="17">
        <v>8760</v>
      </c>
      <c r="CT39" s="17">
        <v>8760</v>
      </c>
      <c r="CU39" s="17">
        <v>8760</v>
      </c>
      <c r="CV39" s="17">
        <v>8760</v>
      </c>
      <c r="CW39" s="17">
        <v>8760</v>
      </c>
      <c r="CX39" s="17">
        <v>8760</v>
      </c>
      <c r="CY39" s="17">
        <v>8760</v>
      </c>
      <c r="CZ39" s="17">
        <v>8760</v>
      </c>
      <c r="DA39" s="17">
        <v>8760</v>
      </c>
      <c r="DB39" s="17">
        <v>8760</v>
      </c>
    </row>
    <row r="40" spans="1:106" s="17" customFormat="1" x14ac:dyDescent="0.25">
      <c r="A40" s="22" t="s">
        <v>58</v>
      </c>
      <c r="B40" s="17" t="s">
        <v>356</v>
      </c>
    </row>
    <row r="41" spans="1:106" s="17" customFormat="1" x14ac:dyDescent="0.25">
      <c r="A41" s="22" t="s">
        <v>59</v>
      </c>
      <c r="B41" s="17" t="s">
        <v>63</v>
      </c>
      <c r="C41" s="17" t="s">
        <v>438</v>
      </c>
      <c r="D41" s="17" t="s">
        <v>487</v>
      </c>
      <c r="E41" s="17" t="s">
        <v>488</v>
      </c>
      <c r="F41" s="17">
        <v>102803</v>
      </c>
      <c r="G41" s="17">
        <v>0</v>
      </c>
      <c r="H41" s="17">
        <v>0</v>
      </c>
      <c r="I41" s="17">
        <v>0</v>
      </c>
      <c r="J41" s="17">
        <v>0</v>
      </c>
      <c r="K41" s="17">
        <v>0</v>
      </c>
      <c r="L41" s="17">
        <v>0</v>
      </c>
      <c r="M41" s="17">
        <v>0</v>
      </c>
      <c r="N41" s="17">
        <v>0</v>
      </c>
      <c r="O41" s="17">
        <v>0</v>
      </c>
      <c r="P41" s="17">
        <v>0</v>
      </c>
      <c r="Q41" s="17">
        <v>0</v>
      </c>
      <c r="R41" s="17">
        <v>0</v>
      </c>
      <c r="S41" s="17">
        <v>0</v>
      </c>
      <c r="T41" s="17">
        <v>0</v>
      </c>
      <c r="U41" s="17">
        <v>0</v>
      </c>
      <c r="V41" s="17">
        <v>0</v>
      </c>
      <c r="W41" s="17">
        <v>0</v>
      </c>
      <c r="X41" s="17">
        <v>0</v>
      </c>
      <c r="Y41" s="17">
        <v>0</v>
      </c>
      <c r="Z41" s="17">
        <v>0</v>
      </c>
      <c r="AA41" s="17">
        <v>0</v>
      </c>
      <c r="AB41" s="17">
        <v>0</v>
      </c>
      <c r="AC41" s="17">
        <v>1</v>
      </c>
      <c r="AD41" s="17">
        <v>5</v>
      </c>
      <c r="AE41" s="17">
        <v>20</v>
      </c>
      <c r="AF41" s="17">
        <v>31</v>
      </c>
      <c r="AG41" s="17">
        <v>43</v>
      </c>
      <c r="AH41" s="17">
        <v>54</v>
      </c>
      <c r="AI41" s="17">
        <v>64</v>
      </c>
      <c r="AJ41" s="17">
        <v>78</v>
      </c>
      <c r="AK41" s="17">
        <v>101</v>
      </c>
      <c r="AL41" s="17">
        <v>123</v>
      </c>
      <c r="AM41" s="17">
        <v>139</v>
      </c>
      <c r="AN41" s="17">
        <v>170</v>
      </c>
      <c r="AO41" s="17">
        <v>220</v>
      </c>
      <c r="AP41" s="17">
        <v>283</v>
      </c>
      <c r="AQ41" s="17">
        <v>367</v>
      </c>
      <c r="AR41" s="17">
        <v>473</v>
      </c>
      <c r="AS41" s="17">
        <v>589</v>
      </c>
      <c r="AT41" s="17">
        <v>730</v>
      </c>
      <c r="AU41" s="17">
        <v>865</v>
      </c>
      <c r="AV41" s="17">
        <v>1009</v>
      </c>
      <c r="AW41" s="17">
        <v>1214</v>
      </c>
      <c r="AX41" s="17">
        <v>1501</v>
      </c>
      <c r="AY41" s="17">
        <v>1767</v>
      </c>
      <c r="AZ41" s="17">
        <v>2009</v>
      </c>
      <c r="BA41" s="17">
        <v>2273</v>
      </c>
      <c r="BB41" s="17">
        <v>2600</v>
      </c>
      <c r="BC41" s="17">
        <v>2963</v>
      </c>
      <c r="BD41" s="17">
        <v>3323</v>
      </c>
      <c r="BE41" s="17">
        <v>3697</v>
      </c>
      <c r="BF41" s="17">
        <v>4074</v>
      </c>
      <c r="BG41" s="17">
        <v>4398</v>
      </c>
      <c r="BH41" s="17">
        <v>4706</v>
      </c>
      <c r="BI41" s="17">
        <v>4982</v>
      </c>
      <c r="BJ41" s="17">
        <v>5274</v>
      </c>
      <c r="BK41" s="17">
        <v>5578</v>
      </c>
      <c r="BL41" s="17">
        <v>5958</v>
      </c>
      <c r="BM41" s="17">
        <v>6280</v>
      </c>
      <c r="BN41" s="17">
        <v>6633</v>
      </c>
      <c r="BO41" s="17">
        <v>6949</v>
      </c>
      <c r="BP41" s="17">
        <v>7236</v>
      </c>
      <c r="BQ41" s="17">
        <v>7491</v>
      </c>
      <c r="BR41" s="17">
        <v>7766</v>
      </c>
      <c r="BS41" s="17">
        <v>7956</v>
      </c>
      <c r="BT41" s="17">
        <v>8116</v>
      </c>
      <c r="BU41" s="17">
        <v>8260</v>
      </c>
      <c r="BV41" s="17">
        <v>8385</v>
      </c>
      <c r="BW41" s="17">
        <v>8483</v>
      </c>
      <c r="BX41" s="17">
        <v>8573</v>
      </c>
      <c r="BY41" s="17">
        <v>8633</v>
      </c>
      <c r="BZ41" s="17">
        <v>8680</v>
      </c>
      <c r="CA41" s="17">
        <v>8703</v>
      </c>
      <c r="CB41" s="17">
        <v>8716</v>
      </c>
      <c r="CC41" s="17">
        <v>8732</v>
      </c>
      <c r="CD41" s="17">
        <v>8746</v>
      </c>
      <c r="CE41" s="17">
        <v>8760</v>
      </c>
      <c r="CF41" s="17">
        <v>8760</v>
      </c>
      <c r="CG41" s="17">
        <v>8760</v>
      </c>
      <c r="CH41" s="17">
        <v>8760</v>
      </c>
      <c r="CI41" s="17">
        <v>8760</v>
      </c>
      <c r="CJ41" s="17">
        <v>8760</v>
      </c>
      <c r="CK41" s="17">
        <v>8760</v>
      </c>
      <c r="CL41" s="17">
        <v>8760</v>
      </c>
      <c r="CM41" s="17">
        <v>8760</v>
      </c>
      <c r="CN41" s="17">
        <v>8760</v>
      </c>
      <c r="CO41" s="17">
        <v>8760</v>
      </c>
      <c r="CP41" s="17">
        <v>8760</v>
      </c>
      <c r="CQ41" s="17">
        <v>8760</v>
      </c>
      <c r="CR41" s="17">
        <v>8760</v>
      </c>
      <c r="CS41" s="17">
        <v>8760</v>
      </c>
      <c r="CT41" s="17">
        <v>8760</v>
      </c>
      <c r="CU41" s="17">
        <v>8760</v>
      </c>
      <c r="CV41" s="17">
        <v>8760</v>
      </c>
      <c r="CW41" s="17">
        <v>8760</v>
      </c>
      <c r="CX41" s="17">
        <v>8760</v>
      </c>
      <c r="CY41" s="17">
        <v>8760</v>
      </c>
      <c r="CZ41" s="17">
        <v>8760</v>
      </c>
      <c r="DA41" s="17">
        <v>8760</v>
      </c>
      <c r="DB41" s="17">
        <v>8760</v>
      </c>
    </row>
    <row r="42" spans="1:106" s="17" customFormat="1" x14ac:dyDescent="0.25">
      <c r="A42" s="22" t="s">
        <v>60</v>
      </c>
      <c r="B42" s="17" t="s">
        <v>358</v>
      </c>
      <c r="C42" s="17" t="s">
        <v>438</v>
      </c>
      <c r="D42" s="17" t="s">
        <v>489</v>
      </c>
      <c r="E42" s="17" t="s">
        <v>490</v>
      </c>
      <c r="F42" s="17">
        <v>102138</v>
      </c>
      <c r="G42" s="17">
        <v>0</v>
      </c>
      <c r="H42" s="17">
        <v>0</v>
      </c>
      <c r="I42" s="17">
        <v>0</v>
      </c>
      <c r="J42" s="17">
        <v>0</v>
      </c>
      <c r="K42" s="17">
        <v>0</v>
      </c>
      <c r="L42" s="17">
        <v>0</v>
      </c>
      <c r="M42" s="17">
        <v>0</v>
      </c>
      <c r="N42" s="17">
        <v>0</v>
      </c>
      <c r="O42" s="17">
        <v>0</v>
      </c>
      <c r="P42" s="17">
        <v>0</v>
      </c>
      <c r="Q42" s="17">
        <v>0</v>
      </c>
      <c r="R42" s="17">
        <v>0</v>
      </c>
      <c r="S42" s="17">
        <v>0</v>
      </c>
      <c r="T42" s="17">
        <v>0</v>
      </c>
      <c r="U42" s="17">
        <v>0</v>
      </c>
      <c r="V42" s="17">
        <v>0</v>
      </c>
      <c r="W42" s="17">
        <v>0</v>
      </c>
      <c r="X42" s="17">
        <v>0</v>
      </c>
      <c r="Y42" s="17">
        <v>0</v>
      </c>
      <c r="Z42" s="17">
        <v>0</v>
      </c>
      <c r="AA42" s="17">
        <v>0</v>
      </c>
      <c r="AB42" s="17">
        <v>0</v>
      </c>
      <c r="AC42" s="17">
        <v>0</v>
      </c>
      <c r="AD42" s="17">
        <v>0</v>
      </c>
      <c r="AE42" s="17">
        <v>0</v>
      </c>
      <c r="AF42" s="17">
        <v>0</v>
      </c>
      <c r="AG42" s="17">
        <v>0</v>
      </c>
      <c r="AH42" s="17">
        <v>0</v>
      </c>
      <c r="AI42" s="17">
        <v>0</v>
      </c>
      <c r="AJ42" s="17">
        <v>0</v>
      </c>
      <c r="AK42" s="17">
        <v>0</v>
      </c>
      <c r="AL42" s="17">
        <v>0</v>
      </c>
      <c r="AM42" s="17">
        <v>0</v>
      </c>
      <c r="AN42" s="17">
        <v>0</v>
      </c>
      <c r="AO42" s="17">
        <v>0</v>
      </c>
      <c r="AP42" s="17">
        <v>0</v>
      </c>
      <c r="AQ42" s="17">
        <v>0</v>
      </c>
      <c r="AR42" s="17">
        <v>0</v>
      </c>
      <c r="AS42" s="17">
        <v>0</v>
      </c>
      <c r="AT42" s="17">
        <v>9</v>
      </c>
      <c r="AU42" s="17">
        <v>13</v>
      </c>
      <c r="AV42" s="17">
        <v>20</v>
      </c>
      <c r="AW42" s="17">
        <v>36</v>
      </c>
      <c r="AX42" s="17">
        <v>61</v>
      </c>
      <c r="AY42" s="17">
        <v>79</v>
      </c>
      <c r="AZ42" s="17">
        <v>127</v>
      </c>
      <c r="BA42" s="17">
        <v>221</v>
      </c>
      <c r="BB42" s="17">
        <v>331</v>
      </c>
      <c r="BC42" s="17">
        <v>490</v>
      </c>
      <c r="BD42" s="17">
        <v>739</v>
      </c>
      <c r="BE42" s="17">
        <v>1069</v>
      </c>
      <c r="BF42" s="17">
        <v>1500</v>
      </c>
      <c r="BG42" s="17">
        <v>2005</v>
      </c>
      <c r="BH42" s="17">
        <v>2540</v>
      </c>
      <c r="BI42" s="17">
        <v>3077</v>
      </c>
      <c r="BJ42" s="17">
        <v>3534</v>
      </c>
      <c r="BK42" s="17">
        <v>3931</v>
      </c>
      <c r="BL42" s="17">
        <v>4278</v>
      </c>
      <c r="BM42" s="17">
        <v>4586</v>
      </c>
      <c r="BN42" s="17">
        <v>4948</v>
      </c>
      <c r="BO42" s="17">
        <v>5304</v>
      </c>
      <c r="BP42" s="17">
        <v>5716</v>
      </c>
      <c r="BQ42" s="17">
        <v>6159</v>
      </c>
      <c r="BR42" s="17">
        <v>6574</v>
      </c>
      <c r="BS42" s="17">
        <v>7018</v>
      </c>
      <c r="BT42" s="17">
        <v>7425</v>
      </c>
      <c r="BU42" s="17">
        <v>7749</v>
      </c>
      <c r="BV42" s="17">
        <v>7988</v>
      </c>
      <c r="BW42" s="17">
        <v>8173</v>
      </c>
      <c r="BX42" s="17">
        <v>8321</v>
      </c>
      <c r="BY42" s="17">
        <v>8452</v>
      </c>
      <c r="BZ42" s="17">
        <v>8546</v>
      </c>
      <c r="CA42" s="17">
        <v>8602</v>
      </c>
      <c r="CB42" s="17">
        <v>8652</v>
      </c>
      <c r="CC42" s="17">
        <v>8688</v>
      </c>
      <c r="CD42" s="17">
        <v>8718</v>
      </c>
      <c r="CE42" s="17">
        <v>8743</v>
      </c>
      <c r="CF42" s="17">
        <v>8753</v>
      </c>
      <c r="CG42" s="17">
        <v>8760</v>
      </c>
      <c r="CH42" s="17">
        <v>8760</v>
      </c>
      <c r="CI42" s="17">
        <v>8760</v>
      </c>
      <c r="CJ42" s="17">
        <v>8760</v>
      </c>
      <c r="CK42" s="17">
        <v>8760</v>
      </c>
      <c r="CL42" s="17">
        <v>8760</v>
      </c>
      <c r="CM42" s="17">
        <v>8760</v>
      </c>
      <c r="CN42" s="17">
        <v>8760</v>
      </c>
      <c r="CO42" s="17">
        <v>8760</v>
      </c>
      <c r="CP42" s="17">
        <v>8760</v>
      </c>
      <c r="CQ42" s="17">
        <v>8760</v>
      </c>
      <c r="CR42" s="17">
        <v>8760</v>
      </c>
      <c r="CS42" s="17">
        <v>8760</v>
      </c>
      <c r="CT42" s="17">
        <v>8760</v>
      </c>
      <c r="CU42" s="17">
        <v>8760</v>
      </c>
      <c r="CV42" s="17">
        <v>8760</v>
      </c>
      <c r="CW42" s="17">
        <v>8760</v>
      </c>
      <c r="CX42" s="17">
        <v>8760</v>
      </c>
      <c r="CY42" s="17">
        <v>8760</v>
      </c>
      <c r="CZ42" s="17">
        <v>8760</v>
      </c>
      <c r="DA42" s="17">
        <v>8760</v>
      </c>
      <c r="DB42" s="17">
        <v>8760</v>
      </c>
    </row>
    <row r="43" spans="1:106" s="17" customFormat="1" x14ac:dyDescent="0.25">
      <c r="A43" s="22" t="s">
        <v>61</v>
      </c>
      <c r="B43" s="17" t="s">
        <v>52</v>
      </c>
      <c r="C43" s="17" t="s">
        <v>438</v>
      </c>
      <c r="D43" s="17" t="s">
        <v>491</v>
      </c>
      <c r="E43" s="17" t="s">
        <v>492</v>
      </c>
      <c r="F43" s="17">
        <v>102132</v>
      </c>
      <c r="G43" s="17">
        <v>0</v>
      </c>
      <c r="H43" s="17">
        <v>0</v>
      </c>
      <c r="I43" s="17">
        <v>0</v>
      </c>
      <c r="J43" s="17">
        <v>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0</v>
      </c>
      <c r="AC43" s="17">
        <v>0</v>
      </c>
      <c r="AD43" s="17">
        <v>0</v>
      </c>
      <c r="AE43" s="17">
        <v>0</v>
      </c>
      <c r="AF43" s="17">
        <v>0</v>
      </c>
      <c r="AG43" s="17">
        <v>0</v>
      </c>
      <c r="AH43" s="17">
        <v>0</v>
      </c>
      <c r="AI43" s="17">
        <v>0</v>
      </c>
      <c r="AJ43" s="17">
        <v>0</v>
      </c>
      <c r="AK43" s="17">
        <v>0</v>
      </c>
      <c r="AL43" s="17">
        <v>0</v>
      </c>
      <c r="AM43" s="17">
        <v>0</v>
      </c>
      <c r="AN43" s="17">
        <v>0</v>
      </c>
      <c r="AO43" s="17">
        <v>0</v>
      </c>
      <c r="AP43" s="17">
        <v>0</v>
      </c>
      <c r="AQ43" s="17">
        <v>0</v>
      </c>
      <c r="AR43" s="17">
        <v>6</v>
      </c>
      <c r="AS43" s="17">
        <v>16</v>
      </c>
      <c r="AT43" s="17">
        <v>29</v>
      </c>
      <c r="AU43" s="17">
        <v>41</v>
      </c>
      <c r="AV43" s="17">
        <v>48</v>
      </c>
      <c r="AW43" s="17">
        <v>55</v>
      </c>
      <c r="AX43" s="17">
        <v>75</v>
      </c>
      <c r="AY43" s="17">
        <v>95</v>
      </c>
      <c r="AZ43" s="17">
        <v>159</v>
      </c>
      <c r="BA43" s="17">
        <v>254</v>
      </c>
      <c r="BB43" s="17">
        <v>416</v>
      </c>
      <c r="BC43" s="17">
        <v>727</v>
      </c>
      <c r="BD43" s="17">
        <v>1047</v>
      </c>
      <c r="BE43" s="17">
        <v>1389</v>
      </c>
      <c r="BF43" s="17">
        <v>1796</v>
      </c>
      <c r="BG43" s="17">
        <v>2235</v>
      </c>
      <c r="BH43" s="17">
        <v>2792</v>
      </c>
      <c r="BI43" s="17">
        <v>3365</v>
      </c>
      <c r="BJ43" s="17">
        <v>3817</v>
      </c>
      <c r="BK43" s="17">
        <v>4258</v>
      </c>
      <c r="BL43" s="17">
        <v>4577</v>
      </c>
      <c r="BM43" s="17">
        <v>4840</v>
      </c>
      <c r="BN43" s="17">
        <v>5094</v>
      </c>
      <c r="BO43" s="17">
        <v>5397</v>
      </c>
      <c r="BP43" s="17">
        <v>5820</v>
      </c>
      <c r="BQ43" s="17">
        <v>6244</v>
      </c>
      <c r="BR43" s="17">
        <v>6696</v>
      </c>
      <c r="BS43" s="17">
        <v>7148</v>
      </c>
      <c r="BT43" s="17">
        <v>7534</v>
      </c>
      <c r="BU43" s="17">
        <v>7871</v>
      </c>
      <c r="BV43" s="17">
        <v>8119</v>
      </c>
      <c r="BW43" s="17">
        <v>8323</v>
      </c>
      <c r="BX43" s="17">
        <v>8448</v>
      </c>
      <c r="BY43" s="17">
        <v>8537</v>
      </c>
      <c r="BZ43" s="17">
        <v>8587</v>
      </c>
      <c r="CA43" s="17">
        <v>8629</v>
      </c>
      <c r="CB43" s="17">
        <v>8665</v>
      </c>
      <c r="CC43" s="17">
        <v>8701</v>
      </c>
      <c r="CD43" s="17">
        <v>8717</v>
      </c>
      <c r="CE43" s="17">
        <v>8730</v>
      </c>
      <c r="CF43" s="17">
        <v>8743</v>
      </c>
      <c r="CG43" s="17">
        <v>8754</v>
      </c>
      <c r="CH43" s="17">
        <v>8760</v>
      </c>
      <c r="CI43" s="17">
        <v>8760</v>
      </c>
      <c r="CJ43" s="17">
        <v>8760</v>
      </c>
      <c r="CK43" s="17">
        <v>8760</v>
      </c>
      <c r="CL43" s="17">
        <v>8760</v>
      </c>
      <c r="CM43" s="17">
        <v>8760</v>
      </c>
      <c r="CN43" s="17">
        <v>8760</v>
      </c>
      <c r="CO43" s="17">
        <v>8760</v>
      </c>
      <c r="CP43" s="17">
        <v>8760</v>
      </c>
      <c r="CQ43" s="17">
        <v>8760</v>
      </c>
      <c r="CR43" s="17">
        <v>8760</v>
      </c>
      <c r="CS43" s="17">
        <v>8760</v>
      </c>
      <c r="CT43" s="17">
        <v>8760</v>
      </c>
      <c r="CU43" s="17">
        <v>8760</v>
      </c>
      <c r="CV43" s="17">
        <v>8760</v>
      </c>
      <c r="CW43" s="17">
        <v>8760</v>
      </c>
      <c r="CX43" s="17">
        <v>8760</v>
      </c>
      <c r="CY43" s="17">
        <v>8760</v>
      </c>
      <c r="CZ43" s="17">
        <v>8760</v>
      </c>
      <c r="DA43" s="17">
        <v>8760</v>
      </c>
      <c r="DB43" s="17">
        <v>8760</v>
      </c>
    </row>
    <row r="44" spans="1:106" s="17" customFormat="1" x14ac:dyDescent="0.25">
      <c r="A44" s="22" t="s">
        <v>62</v>
      </c>
      <c r="B44" s="17" t="s">
        <v>67</v>
      </c>
      <c r="C44" s="17" t="s">
        <v>438</v>
      </c>
      <c r="D44" s="17" t="s">
        <v>493</v>
      </c>
      <c r="E44" s="17" t="s">
        <v>494</v>
      </c>
      <c r="F44" s="17">
        <v>102521</v>
      </c>
      <c r="G44" s="17">
        <v>0</v>
      </c>
      <c r="H44" s="17">
        <v>0</v>
      </c>
      <c r="I44" s="17">
        <v>0</v>
      </c>
      <c r="J44" s="17">
        <v>0</v>
      </c>
      <c r="K44" s="17">
        <v>0</v>
      </c>
      <c r="L44" s="17">
        <v>0</v>
      </c>
      <c r="M44" s="17">
        <v>0</v>
      </c>
      <c r="N44" s="17">
        <v>0</v>
      </c>
      <c r="O44" s="17">
        <v>0</v>
      </c>
      <c r="P44" s="17">
        <v>0</v>
      </c>
      <c r="Q44" s="17">
        <v>0</v>
      </c>
      <c r="R44" s="17">
        <v>0</v>
      </c>
      <c r="S44" s="17">
        <v>0</v>
      </c>
      <c r="T44" s="17">
        <v>0</v>
      </c>
      <c r="U44" s="17">
        <v>0</v>
      </c>
      <c r="V44" s="17">
        <v>0</v>
      </c>
      <c r="W44" s="17">
        <v>0</v>
      </c>
      <c r="X44" s="17">
        <v>0</v>
      </c>
      <c r="Y44" s="17">
        <v>0</v>
      </c>
      <c r="Z44" s="17">
        <v>0</v>
      </c>
      <c r="AA44" s="17">
        <v>0</v>
      </c>
      <c r="AB44" s="17">
        <v>0</v>
      </c>
      <c r="AC44" s="17">
        <v>0</v>
      </c>
      <c r="AD44" s="17">
        <v>0</v>
      </c>
      <c r="AE44" s="17">
        <v>0</v>
      </c>
      <c r="AF44" s="17">
        <v>0</v>
      </c>
      <c r="AG44" s="17">
        <v>0</v>
      </c>
      <c r="AH44" s="17">
        <v>0</v>
      </c>
      <c r="AI44" s="17">
        <v>1</v>
      </c>
      <c r="AJ44" s="17">
        <v>7</v>
      </c>
      <c r="AK44" s="17">
        <v>15</v>
      </c>
      <c r="AL44" s="17">
        <v>31</v>
      </c>
      <c r="AM44" s="17">
        <v>39</v>
      </c>
      <c r="AN44" s="17">
        <v>60</v>
      </c>
      <c r="AO44" s="17">
        <v>89</v>
      </c>
      <c r="AP44" s="17">
        <v>134</v>
      </c>
      <c r="AQ44" s="17">
        <v>179</v>
      </c>
      <c r="AR44" s="17">
        <v>238</v>
      </c>
      <c r="AS44" s="17">
        <v>309</v>
      </c>
      <c r="AT44" s="17">
        <v>375</v>
      </c>
      <c r="AU44" s="17">
        <v>458</v>
      </c>
      <c r="AV44" s="17">
        <v>537</v>
      </c>
      <c r="AW44" s="17">
        <v>649</v>
      </c>
      <c r="AX44" s="17">
        <v>778</v>
      </c>
      <c r="AY44" s="17">
        <v>958</v>
      </c>
      <c r="AZ44" s="17">
        <v>1163</v>
      </c>
      <c r="BA44" s="17">
        <v>1393</v>
      </c>
      <c r="BB44" s="17">
        <v>1674</v>
      </c>
      <c r="BC44" s="17">
        <v>1982</v>
      </c>
      <c r="BD44" s="17">
        <v>2397</v>
      </c>
      <c r="BE44" s="17">
        <v>2848</v>
      </c>
      <c r="BF44" s="17">
        <v>3240</v>
      </c>
      <c r="BG44" s="17">
        <v>3563</v>
      </c>
      <c r="BH44" s="17">
        <v>3882</v>
      </c>
      <c r="BI44" s="17">
        <v>4249</v>
      </c>
      <c r="BJ44" s="17">
        <v>4570</v>
      </c>
      <c r="BK44" s="17">
        <v>4857</v>
      </c>
      <c r="BL44" s="17">
        <v>5163</v>
      </c>
      <c r="BM44" s="17">
        <v>5462</v>
      </c>
      <c r="BN44" s="17">
        <v>5819</v>
      </c>
      <c r="BO44" s="17">
        <v>6203</v>
      </c>
      <c r="BP44" s="17">
        <v>6584</v>
      </c>
      <c r="BQ44" s="17">
        <v>6944</v>
      </c>
      <c r="BR44" s="17">
        <v>7263</v>
      </c>
      <c r="BS44" s="17">
        <v>7524</v>
      </c>
      <c r="BT44" s="17">
        <v>7754</v>
      </c>
      <c r="BU44" s="17">
        <v>7947</v>
      </c>
      <c r="BV44" s="17">
        <v>8093</v>
      </c>
      <c r="BW44" s="17">
        <v>8234</v>
      </c>
      <c r="BX44" s="17">
        <v>8362</v>
      </c>
      <c r="BY44" s="17">
        <v>8452</v>
      </c>
      <c r="BZ44" s="17">
        <v>8540</v>
      </c>
      <c r="CA44" s="17">
        <v>8608</v>
      </c>
      <c r="CB44" s="17">
        <v>8673</v>
      </c>
      <c r="CC44" s="17">
        <v>8707</v>
      </c>
      <c r="CD44" s="17">
        <v>8739</v>
      </c>
      <c r="CE44" s="17">
        <v>8752</v>
      </c>
      <c r="CF44" s="17">
        <v>8759</v>
      </c>
      <c r="CG44" s="17">
        <v>8760</v>
      </c>
      <c r="CH44" s="17">
        <v>8760</v>
      </c>
      <c r="CI44" s="17">
        <v>8760</v>
      </c>
      <c r="CJ44" s="17">
        <v>8760</v>
      </c>
      <c r="CK44" s="17">
        <v>8760</v>
      </c>
      <c r="CL44" s="17">
        <v>8760</v>
      </c>
      <c r="CM44" s="17">
        <v>8760</v>
      </c>
      <c r="CN44" s="17">
        <v>8760</v>
      </c>
      <c r="CO44" s="17">
        <v>8760</v>
      </c>
      <c r="CP44" s="17">
        <v>8760</v>
      </c>
      <c r="CQ44" s="17">
        <v>8760</v>
      </c>
      <c r="CR44" s="17">
        <v>8760</v>
      </c>
      <c r="CS44" s="17">
        <v>8760</v>
      </c>
      <c r="CT44" s="17">
        <v>8760</v>
      </c>
      <c r="CU44" s="17">
        <v>8760</v>
      </c>
      <c r="CV44" s="17">
        <v>8760</v>
      </c>
      <c r="CW44" s="17">
        <v>8760</v>
      </c>
      <c r="CX44" s="17">
        <v>8760</v>
      </c>
      <c r="CY44" s="17">
        <v>8760</v>
      </c>
      <c r="CZ44" s="17">
        <v>8760</v>
      </c>
      <c r="DA44" s="17">
        <v>8760</v>
      </c>
      <c r="DB44" s="17">
        <v>8760</v>
      </c>
    </row>
    <row r="45" spans="1:106" s="17" customFormat="1" x14ac:dyDescent="0.25">
      <c r="A45" s="22" t="s">
        <v>63</v>
      </c>
      <c r="B45" s="17" t="s">
        <v>359</v>
      </c>
    </row>
    <row r="46" spans="1:106" s="17" customFormat="1" x14ac:dyDescent="0.25">
      <c r="A46" s="22" t="s">
        <v>64</v>
      </c>
      <c r="B46" s="17" t="s">
        <v>68</v>
      </c>
      <c r="C46" s="17" t="s">
        <v>438</v>
      </c>
      <c r="D46" s="17" t="s">
        <v>495</v>
      </c>
      <c r="E46" s="17" t="s">
        <v>496</v>
      </c>
      <c r="F46" s="17">
        <v>102646</v>
      </c>
      <c r="G46" s="17">
        <v>0</v>
      </c>
      <c r="H46" s="17">
        <v>0</v>
      </c>
      <c r="I46" s="17">
        <v>0</v>
      </c>
      <c r="J46" s="17">
        <v>0</v>
      </c>
      <c r="K46" s="17">
        <v>0</v>
      </c>
      <c r="L46" s="17">
        <v>0</v>
      </c>
      <c r="M46" s="17">
        <v>0</v>
      </c>
      <c r="N46" s="17">
        <v>0</v>
      </c>
      <c r="O46" s="17">
        <v>0</v>
      </c>
      <c r="P46" s="17">
        <v>0</v>
      </c>
      <c r="Q46" s="17">
        <v>0</v>
      </c>
      <c r="R46" s="17">
        <v>0</v>
      </c>
      <c r="S46" s="17">
        <v>0</v>
      </c>
      <c r="T46" s="17">
        <v>0</v>
      </c>
      <c r="U46" s="17">
        <v>0</v>
      </c>
      <c r="V46" s="17">
        <v>0</v>
      </c>
      <c r="W46" s="17">
        <v>0</v>
      </c>
      <c r="X46" s="17">
        <v>0</v>
      </c>
      <c r="Y46" s="17">
        <v>0</v>
      </c>
      <c r="Z46" s="17">
        <v>0</v>
      </c>
      <c r="AA46" s="17">
        <v>0</v>
      </c>
      <c r="AB46" s="17">
        <v>0</v>
      </c>
      <c r="AC46" s="17">
        <v>0</v>
      </c>
      <c r="AD46" s="17">
        <v>0</v>
      </c>
      <c r="AE46" s="17">
        <v>0</v>
      </c>
      <c r="AF46" s="17">
        <v>0</v>
      </c>
      <c r="AG46" s="17">
        <v>0</v>
      </c>
      <c r="AH46" s="17">
        <v>0</v>
      </c>
      <c r="AI46" s="17">
        <v>0</v>
      </c>
      <c r="AJ46" s="17">
        <v>0</v>
      </c>
      <c r="AK46" s="17">
        <v>0</v>
      </c>
      <c r="AL46" s="17">
        <v>0</v>
      </c>
      <c r="AM46" s="17">
        <v>0</v>
      </c>
      <c r="AN46" s="17">
        <v>3</v>
      </c>
      <c r="AO46" s="17">
        <v>10</v>
      </c>
      <c r="AP46" s="17">
        <v>15</v>
      </c>
      <c r="AQ46" s="17">
        <v>17</v>
      </c>
      <c r="AR46" s="17">
        <v>22</v>
      </c>
      <c r="AS46" s="17">
        <v>32</v>
      </c>
      <c r="AT46" s="17">
        <v>49</v>
      </c>
      <c r="AU46" s="17">
        <v>84</v>
      </c>
      <c r="AV46" s="17">
        <v>118</v>
      </c>
      <c r="AW46" s="17">
        <v>175</v>
      </c>
      <c r="AX46" s="17">
        <v>283</v>
      </c>
      <c r="AY46" s="17">
        <v>434</v>
      </c>
      <c r="AZ46" s="17">
        <v>593</v>
      </c>
      <c r="BA46" s="17">
        <v>758</v>
      </c>
      <c r="BB46" s="17">
        <v>1028</v>
      </c>
      <c r="BC46" s="17">
        <v>1346</v>
      </c>
      <c r="BD46" s="17">
        <v>1699</v>
      </c>
      <c r="BE46" s="17">
        <v>2120</v>
      </c>
      <c r="BF46" s="17">
        <v>2578</v>
      </c>
      <c r="BG46" s="17">
        <v>3018</v>
      </c>
      <c r="BH46" s="17">
        <v>3442</v>
      </c>
      <c r="BI46" s="17">
        <v>3909</v>
      </c>
      <c r="BJ46" s="17">
        <v>4280</v>
      </c>
      <c r="BK46" s="17">
        <v>4601</v>
      </c>
      <c r="BL46" s="17">
        <v>4927</v>
      </c>
      <c r="BM46" s="17">
        <v>5190</v>
      </c>
      <c r="BN46" s="17">
        <v>5492</v>
      </c>
      <c r="BO46" s="17">
        <v>5822</v>
      </c>
      <c r="BP46" s="17">
        <v>6159</v>
      </c>
      <c r="BQ46" s="17">
        <v>6454</v>
      </c>
      <c r="BR46" s="17">
        <v>6808</v>
      </c>
      <c r="BS46" s="17">
        <v>7137</v>
      </c>
      <c r="BT46" s="17">
        <v>7427</v>
      </c>
      <c r="BU46" s="17">
        <v>7659</v>
      </c>
      <c r="BV46" s="17">
        <v>7873</v>
      </c>
      <c r="BW46" s="17">
        <v>8075</v>
      </c>
      <c r="BX46" s="17">
        <v>8227</v>
      </c>
      <c r="BY46" s="17">
        <v>8380</v>
      </c>
      <c r="BZ46" s="17">
        <v>8494</v>
      </c>
      <c r="CA46" s="17">
        <v>8564</v>
      </c>
      <c r="CB46" s="17">
        <v>8636</v>
      </c>
      <c r="CC46" s="17">
        <v>8700</v>
      </c>
      <c r="CD46" s="17">
        <v>8728</v>
      </c>
      <c r="CE46" s="17">
        <v>8739</v>
      </c>
      <c r="CF46" s="17">
        <v>8749</v>
      </c>
      <c r="CG46" s="17">
        <v>8760</v>
      </c>
      <c r="CH46" s="17">
        <v>8760</v>
      </c>
      <c r="CI46" s="17">
        <v>8760</v>
      </c>
      <c r="CJ46" s="17">
        <v>8760</v>
      </c>
      <c r="CK46" s="17">
        <v>8760</v>
      </c>
      <c r="CL46" s="17">
        <v>8760</v>
      </c>
      <c r="CM46" s="17">
        <v>8760</v>
      </c>
      <c r="CN46" s="17">
        <v>8760</v>
      </c>
      <c r="CO46" s="17">
        <v>8760</v>
      </c>
      <c r="CP46" s="17">
        <v>8760</v>
      </c>
      <c r="CQ46" s="17">
        <v>8760</v>
      </c>
      <c r="CR46" s="17">
        <v>8760</v>
      </c>
      <c r="CS46" s="17">
        <v>8760</v>
      </c>
      <c r="CT46" s="17">
        <v>8760</v>
      </c>
      <c r="CU46" s="17">
        <v>8760</v>
      </c>
      <c r="CV46" s="17">
        <v>8760</v>
      </c>
      <c r="CW46" s="17">
        <v>8760</v>
      </c>
      <c r="CX46" s="17">
        <v>8760</v>
      </c>
      <c r="CY46" s="17">
        <v>8760</v>
      </c>
      <c r="CZ46" s="17">
        <v>8760</v>
      </c>
      <c r="DA46" s="17">
        <v>8760</v>
      </c>
      <c r="DB46" s="17">
        <v>8760</v>
      </c>
    </row>
    <row r="47" spans="1:106" s="17" customFormat="1" x14ac:dyDescent="0.25">
      <c r="A47" s="22" t="s">
        <v>65</v>
      </c>
      <c r="B47" s="17" t="s">
        <v>69</v>
      </c>
      <c r="C47" s="17" t="s">
        <v>438</v>
      </c>
      <c r="D47" s="17" t="s">
        <v>497</v>
      </c>
      <c r="E47" s="17" t="s">
        <v>498</v>
      </c>
      <c r="F47" s="17">
        <v>102532</v>
      </c>
      <c r="G47" s="17">
        <v>0</v>
      </c>
      <c r="H47" s="17">
        <v>0</v>
      </c>
      <c r="I47" s="17">
        <v>0</v>
      </c>
      <c r="J47" s="17">
        <v>0</v>
      </c>
      <c r="K47" s="17">
        <v>0</v>
      </c>
      <c r="L47" s="17">
        <v>0</v>
      </c>
      <c r="M47" s="17">
        <v>0</v>
      </c>
      <c r="N47" s="17">
        <v>0</v>
      </c>
      <c r="O47" s="17">
        <v>0</v>
      </c>
      <c r="P47" s="17">
        <v>0</v>
      </c>
      <c r="Q47" s="17">
        <v>0</v>
      </c>
      <c r="R47" s="17">
        <v>0</v>
      </c>
      <c r="S47" s="17">
        <v>0</v>
      </c>
      <c r="T47" s="17">
        <v>0</v>
      </c>
      <c r="U47" s="17">
        <v>0</v>
      </c>
      <c r="V47" s="17">
        <v>0</v>
      </c>
      <c r="W47" s="17">
        <v>0</v>
      </c>
      <c r="X47" s="17">
        <v>0</v>
      </c>
      <c r="Y47" s="17">
        <v>0</v>
      </c>
      <c r="Z47" s="17">
        <v>0</v>
      </c>
      <c r="AA47" s="17">
        <v>0</v>
      </c>
      <c r="AB47" s="17">
        <v>0</v>
      </c>
      <c r="AC47" s="17">
        <v>0</v>
      </c>
      <c r="AD47" s="17">
        <v>0</v>
      </c>
      <c r="AE47" s="17">
        <v>0</v>
      </c>
      <c r="AF47" s="17">
        <v>0</v>
      </c>
      <c r="AG47" s="17">
        <v>0</v>
      </c>
      <c r="AH47" s="17">
        <v>0</v>
      </c>
      <c r="AI47" s="17">
        <v>2</v>
      </c>
      <c r="AJ47" s="17">
        <v>11</v>
      </c>
      <c r="AK47" s="17">
        <v>18</v>
      </c>
      <c r="AL47" s="17">
        <v>24</v>
      </c>
      <c r="AM47" s="17">
        <v>32</v>
      </c>
      <c r="AN47" s="17">
        <v>55</v>
      </c>
      <c r="AO47" s="17">
        <v>89</v>
      </c>
      <c r="AP47" s="17">
        <v>122</v>
      </c>
      <c r="AQ47" s="17">
        <v>155</v>
      </c>
      <c r="AR47" s="17">
        <v>188</v>
      </c>
      <c r="AS47" s="17">
        <v>227</v>
      </c>
      <c r="AT47" s="17">
        <v>278</v>
      </c>
      <c r="AU47" s="17">
        <v>335</v>
      </c>
      <c r="AV47" s="17">
        <v>410</v>
      </c>
      <c r="AW47" s="17">
        <v>507</v>
      </c>
      <c r="AX47" s="17">
        <v>627</v>
      </c>
      <c r="AY47" s="17">
        <v>768</v>
      </c>
      <c r="AZ47" s="17">
        <v>928</v>
      </c>
      <c r="BA47" s="17">
        <v>1144</v>
      </c>
      <c r="BB47" s="17">
        <v>1443</v>
      </c>
      <c r="BC47" s="17">
        <v>1715</v>
      </c>
      <c r="BD47" s="17">
        <v>2127</v>
      </c>
      <c r="BE47" s="17">
        <v>2554</v>
      </c>
      <c r="BF47" s="17">
        <v>2948</v>
      </c>
      <c r="BG47" s="17">
        <v>3357</v>
      </c>
      <c r="BH47" s="17">
        <v>3745</v>
      </c>
      <c r="BI47" s="17">
        <v>4014</v>
      </c>
      <c r="BJ47" s="17">
        <v>4339</v>
      </c>
      <c r="BK47" s="17">
        <v>4680</v>
      </c>
      <c r="BL47" s="17">
        <v>4999</v>
      </c>
      <c r="BM47" s="17">
        <v>5410</v>
      </c>
      <c r="BN47" s="17">
        <v>5764</v>
      </c>
      <c r="BO47" s="17">
        <v>6131</v>
      </c>
      <c r="BP47" s="17">
        <v>6465</v>
      </c>
      <c r="BQ47" s="17">
        <v>6824</v>
      </c>
      <c r="BR47" s="17">
        <v>7177</v>
      </c>
      <c r="BS47" s="17">
        <v>7519</v>
      </c>
      <c r="BT47" s="17">
        <v>7819</v>
      </c>
      <c r="BU47" s="17">
        <v>8127</v>
      </c>
      <c r="BV47" s="17">
        <v>8315</v>
      </c>
      <c r="BW47" s="17">
        <v>8487</v>
      </c>
      <c r="BX47" s="17">
        <v>8590</v>
      </c>
      <c r="BY47" s="17">
        <v>8663</v>
      </c>
      <c r="BZ47" s="17">
        <v>8708</v>
      </c>
      <c r="CA47" s="17">
        <v>8725</v>
      </c>
      <c r="CB47" s="17">
        <v>8741</v>
      </c>
      <c r="CC47" s="17">
        <v>8755</v>
      </c>
      <c r="CD47" s="17">
        <v>8758</v>
      </c>
      <c r="CE47" s="17">
        <v>8760</v>
      </c>
      <c r="CF47" s="17">
        <v>8760</v>
      </c>
      <c r="CG47" s="17">
        <v>8760</v>
      </c>
      <c r="CH47" s="17">
        <v>8760</v>
      </c>
      <c r="CI47" s="17">
        <v>8760</v>
      </c>
      <c r="CJ47" s="17">
        <v>8760</v>
      </c>
      <c r="CK47" s="17">
        <v>8760</v>
      </c>
      <c r="CL47" s="17">
        <v>8760</v>
      </c>
      <c r="CM47" s="17">
        <v>8760</v>
      </c>
      <c r="CN47" s="17">
        <v>8760</v>
      </c>
      <c r="CO47" s="17">
        <v>8760</v>
      </c>
      <c r="CP47" s="17">
        <v>8760</v>
      </c>
      <c r="CQ47" s="17">
        <v>8760</v>
      </c>
      <c r="CR47" s="17">
        <v>8760</v>
      </c>
      <c r="CS47" s="17">
        <v>8760</v>
      </c>
      <c r="CT47" s="17">
        <v>8760</v>
      </c>
      <c r="CU47" s="17">
        <v>8760</v>
      </c>
      <c r="CV47" s="17">
        <v>8760</v>
      </c>
      <c r="CW47" s="17">
        <v>8760</v>
      </c>
      <c r="CX47" s="17">
        <v>8760</v>
      </c>
      <c r="CY47" s="17">
        <v>8760</v>
      </c>
      <c r="CZ47" s="17">
        <v>8760</v>
      </c>
      <c r="DA47" s="17">
        <v>8760</v>
      </c>
      <c r="DB47" s="17">
        <v>8760</v>
      </c>
    </row>
    <row r="48" spans="1:106" s="17" customFormat="1" x14ac:dyDescent="0.25">
      <c r="A48" s="22" t="s">
        <v>66</v>
      </c>
      <c r="B48" s="17" t="s">
        <v>360</v>
      </c>
      <c r="C48" s="17" t="s">
        <v>438</v>
      </c>
      <c r="D48" s="17" t="s">
        <v>499</v>
      </c>
      <c r="E48" s="17" t="s">
        <v>500</v>
      </c>
      <c r="F48" s="17">
        <v>102724</v>
      </c>
      <c r="G48" s="17">
        <v>0</v>
      </c>
      <c r="H48" s="17">
        <v>0</v>
      </c>
      <c r="I48" s="17">
        <v>0</v>
      </c>
      <c r="J48" s="17">
        <v>0</v>
      </c>
      <c r="K48" s="17">
        <v>0</v>
      </c>
      <c r="L48" s="17">
        <v>0</v>
      </c>
      <c r="M48" s="17">
        <v>0</v>
      </c>
      <c r="N48" s="17">
        <v>0</v>
      </c>
      <c r="O48" s="17">
        <v>0</v>
      </c>
      <c r="P48" s="17">
        <v>0</v>
      </c>
      <c r="Q48" s="17">
        <v>0</v>
      </c>
      <c r="R48" s="17">
        <v>0</v>
      </c>
      <c r="S48" s="17">
        <v>0</v>
      </c>
      <c r="T48" s="17">
        <v>0</v>
      </c>
      <c r="U48" s="17">
        <v>0</v>
      </c>
      <c r="V48" s="17">
        <v>0</v>
      </c>
      <c r="W48" s="17">
        <v>0</v>
      </c>
      <c r="X48" s="17">
        <v>0</v>
      </c>
      <c r="Y48" s="17">
        <v>0</v>
      </c>
      <c r="Z48" s="17">
        <v>0</v>
      </c>
      <c r="AA48" s="17">
        <v>0</v>
      </c>
      <c r="AB48" s="17">
        <v>0</v>
      </c>
      <c r="AC48" s="17">
        <v>0</v>
      </c>
      <c r="AD48" s="17">
        <v>0</v>
      </c>
      <c r="AE48" s="17">
        <v>4</v>
      </c>
      <c r="AF48" s="17">
        <v>9</v>
      </c>
      <c r="AG48" s="17">
        <v>12</v>
      </c>
      <c r="AH48" s="17">
        <v>18</v>
      </c>
      <c r="AI48" s="17">
        <v>30</v>
      </c>
      <c r="AJ48" s="17">
        <v>57</v>
      </c>
      <c r="AK48" s="17">
        <v>74</v>
      </c>
      <c r="AL48" s="17">
        <v>115</v>
      </c>
      <c r="AM48" s="17">
        <v>162</v>
      </c>
      <c r="AN48" s="17">
        <v>216</v>
      </c>
      <c r="AO48" s="17">
        <v>271</v>
      </c>
      <c r="AP48" s="17">
        <v>336</v>
      </c>
      <c r="AQ48" s="17">
        <v>389</v>
      </c>
      <c r="AR48" s="17">
        <v>457</v>
      </c>
      <c r="AS48" s="17">
        <v>568</v>
      </c>
      <c r="AT48" s="17">
        <v>674</v>
      </c>
      <c r="AU48" s="17">
        <v>772</v>
      </c>
      <c r="AV48" s="17">
        <v>887</v>
      </c>
      <c r="AW48" s="17">
        <v>1014</v>
      </c>
      <c r="AX48" s="17">
        <v>1160</v>
      </c>
      <c r="AY48" s="17">
        <v>1339</v>
      </c>
      <c r="AZ48" s="17">
        <v>1553</v>
      </c>
      <c r="BA48" s="17">
        <v>1810</v>
      </c>
      <c r="BB48" s="17">
        <v>2124</v>
      </c>
      <c r="BC48" s="17">
        <v>2514</v>
      </c>
      <c r="BD48" s="17">
        <v>2858</v>
      </c>
      <c r="BE48" s="17">
        <v>3208</v>
      </c>
      <c r="BF48" s="17">
        <v>3590</v>
      </c>
      <c r="BG48" s="17">
        <v>3942</v>
      </c>
      <c r="BH48" s="17">
        <v>4254</v>
      </c>
      <c r="BI48" s="17">
        <v>4602</v>
      </c>
      <c r="BJ48" s="17">
        <v>4918</v>
      </c>
      <c r="BK48" s="17">
        <v>5198</v>
      </c>
      <c r="BL48" s="17">
        <v>5481</v>
      </c>
      <c r="BM48" s="17">
        <v>5761</v>
      </c>
      <c r="BN48" s="17">
        <v>6084</v>
      </c>
      <c r="BO48" s="17">
        <v>6392</v>
      </c>
      <c r="BP48" s="17">
        <v>6747</v>
      </c>
      <c r="BQ48" s="17">
        <v>7075</v>
      </c>
      <c r="BR48" s="17">
        <v>7383</v>
      </c>
      <c r="BS48" s="17">
        <v>7648</v>
      </c>
      <c r="BT48" s="17">
        <v>7903</v>
      </c>
      <c r="BU48" s="17">
        <v>8105</v>
      </c>
      <c r="BV48" s="17">
        <v>8258</v>
      </c>
      <c r="BW48" s="17">
        <v>8384</v>
      </c>
      <c r="BX48" s="17">
        <v>8500</v>
      </c>
      <c r="BY48" s="17">
        <v>8580</v>
      </c>
      <c r="BZ48" s="17">
        <v>8628</v>
      </c>
      <c r="CA48" s="17">
        <v>8661</v>
      </c>
      <c r="CB48" s="17">
        <v>8702</v>
      </c>
      <c r="CC48" s="17">
        <v>8725</v>
      </c>
      <c r="CD48" s="17">
        <v>8741</v>
      </c>
      <c r="CE48" s="17">
        <v>8751</v>
      </c>
      <c r="CF48" s="17">
        <v>8759</v>
      </c>
      <c r="CG48" s="17">
        <v>8760</v>
      </c>
      <c r="CH48" s="17">
        <v>8760</v>
      </c>
      <c r="CI48" s="17">
        <v>8760</v>
      </c>
      <c r="CJ48" s="17">
        <v>8760</v>
      </c>
      <c r="CK48" s="17">
        <v>8760</v>
      </c>
      <c r="CL48" s="17">
        <v>8760</v>
      </c>
      <c r="CM48" s="17">
        <v>8760</v>
      </c>
      <c r="CN48" s="17">
        <v>8760</v>
      </c>
      <c r="CO48" s="17">
        <v>8760</v>
      </c>
      <c r="CP48" s="17">
        <v>8760</v>
      </c>
      <c r="CQ48" s="17">
        <v>8760</v>
      </c>
      <c r="CR48" s="17">
        <v>8760</v>
      </c>
      <c r="CS48" s="17">
        <v>8760</v>
      </c>
      <c r="CT48" s="17">
        <v>8760</v>
      </c>
      <c r="CU48" s="17">
        <v>8760</v>
      </c>
      <c r="CV48" s="17">
        <v>8760</v>
      </c>
      <c r="CW48" s="17">
        <v>8760</v>
      </c>
      <c r="CX48" s="17">
        <v>8760</v>
      </c>
      <c r="CY48" s="17">
        <v>8760</v>
      </c>
      <c r="CZ48" s="17">
        <v>8760</v>
      </c>
      <c r="DA48" s="17">
        <v>8760</v>
      </c>
      <c r="DB48" s="17">
        <v>8760</v>
      </c>
    </row>
    <row r="49" spans="1:106" s="17" customFormat="1" x14ac:dyDescent="0.25">
      <c r="A49" s="22" t="s">
        <v>67</v>
      </c>
      <c r="B49" s="17" t="s">
        <v>71</v>
      </c>
      <c r="C49" s="17" t="s">
        <v>438</v>
      </c>
      <c r="D49" s="17" t="s">
        <v>501</v>
      </c>
      <c r="E49" s="17" t="s">
        <v>502</v>
      </c>
      <c r="F49" s="17">
        <v>102901</v>
      </c>
      <c r="G49" s="17">
        <v>0</v>
      </c>
      <c r="H49" s="17">
        <v>0</v>
      </c>
      <c r="I49" s="17">
        <v>0</v>
      </c>
      <c r="J49" s="17">
        <v>0</v>
      </c>
      <c r="K49" s="17">
        <v>0</v>
      </c>
      <c r="L49" s="17">
        <v>0</v>
      </c>
      <c r="M49" s="17">
        <v>0</v>
      </c>
      <c r="N49" s="17">
        <v>0</v>
      </c>
      <c r="O49" s="17">
        <v>0</v>
      </c>
      <c r="P49" s="17">
        <v>0</v>
      </c>
      <c r="Q49" s="17">
        <v>0</v>
      </c>
      <c r="R49" s="17">
        <v>0</v>
      </c>
      <c r="S49" s="17">
        <v>0</v>
      </c>
      <c r="T49" s="17">
        <v>0</v>
      </c>
      <c r="U49" s="17">
        <v>0</v>
      </c>
      <c r="V49" s="17">
        <v>1</v>
      </c>
      <c r="W49" s="17">
        <v>5</v>
      </c>
      <c r="X49" s="17">
        <v>10</v>
      </c>
      <c r="Y49" s="17">
        <v>15</v>
      </c>
      <c r="Z49" s="17">
        <v>21</v>
      </c>
      <c r="AA49" s="17">
        <v>31</v>
      </c>
      <c r="AB49" s="17">
        <v>37</v>
      </c>
      <c r="AC49" s="17">
        <v>53</v>
      </c>
      <c r="AD49" s="17">
        <v>75</v>
      </c>
      <c r="AE49" s="17">
        <v>99</v>
      </c>
      <c r="AF49" s="17">
        <v>121</v>
      </c>
      <c r="AG49" s="17">
        <v>157</v>
      </c>
      <c r="AH49" s="17">
        <v>188</v>
      </c>
      <c r="AI49" s="17">
        <v>223</v>
      </c>
      <c r="AJ49" s="17">
        <v>259</v>
      </c>
      <c r="AK49" s="17">
        <v>317</v>
      </c>
      <c r="AL49" s="17">
        <v>373</v>
      </c>
      <c r="AM49" s="17">
        <v>454</v>
      </c>
      <c r="AN49" s="17">
        <v>531</v>
      </c>
      <c r="AO49" s="17">
        <v>612</v>
      </c>
      <c r="AP49" s="17">
        <v>688</v>
      </c>
      <c r="AQ49" s="17">
        <v>781</v>
      </c>
      <c r="AR49" s="17">
        <v>894</v>
      </c>
      <c r="AS49" s="17">
        <v>1009</v>
      </c>
      <c r="AT49" s="17">
        <v>1144</v>
      </c>
      <c r="AU49" s="17">
        <v>1274</v>
      </c>
      <c r="AV49" s="17">
        <v>1416</v>
      </c>
      <c r="AW49" s="17">
        <v>1651</v>
      </c>
      <c r="AX49" s="17">
        <v>1868</v>
      </c>
      <c r="AY49" s="17">
        <v>2134</v>
      </c>
      <c r="AZ49" s="17">
        <v>2396</v>
      </c>
      <c r="BA49" s="17">
        <v>2690</v>
      </c>
      <c r="BB49" s="17">
        <v>3008</v>
      </c>
      <c r="BC49" s="17">
        <v>3325</v>
      </c>
      <c r="BD49" s="17">
        <v>3672</v>
      </c>
      <c r="BE49" s="17">
        <v>4021</v>
      </c>
      <c r="BF49" s="17">
        <v>4341</v>
      </c>
      <c r="BG49" s="17">
        <v>4661</v>
      </c>
      <c r="BH49" s="17">
        <v>4968</v>
      </c>
      <c r="BI49" s="17">
        <v>5240</v>
      </c>
      <c r="BJ49" s="17">
        <v>5583</v>
      </c>
      <c r="BK49" s="17">
        <v>5875</v>
      </c>
      <c r="BL49" s="17">
        <v>6168</v>
      </c>
      <c r="BM49" s="17">
        <v>6461</v>
      </c>
      <c r="BN49" s="17">
        <v>6735</v>
      </c>
      <c r="BO49" s="17">
        <v>7059</v>
      </c>
      <c r="BP49" s="17">
        <v>7358</v>
      </c>
      <c r="BQ49" s="17">
        <v>7615</v>
      </c>
      <c r="BR49" s="17">
        <v>7855</v>
      </c>
      <c r="BS49" s="17">
        <v>8071</v>
      </c>
      <c r="BT49" s="17">
        <v>8239</v>
      </c>
      <c r="BU49" s="17">
        <v>8390</v>
      </c>
      <c r="BV49" s="17">
        <v>8507</v>
      </c>
      <c r="BW49" s="17">
        <v>8584</v>
      </c>
      <c r="BX49" s="17">
        <v>8631</v>
      </c>
      <c r="BY49" s="17">
        <v>8676</v>
      </c>
      <c r="BZ49" s="17">
        <v>8713</v>
      </c>
      <c r="CA49" s="17">
        <v>8730</v>
      </c>
      <c r="CB49" s="17">
        <v>8746</v>
      </c>
      <c r="CC49" s="17">
        <v>8753</v>
      </c>
      <c r="CD49" s="17">
        <v>8754</v>
      </c>
      <c r="CE49" s="17">
        <v>8756</v>
      </c>
      <c r="CF49" s="17">
        <v>8758</v>
      </c>
      <c r="CG49" s="17">
        <v>8760</v>
      </c>
      <c r="CH49" s="17">
        <v>8760</v>
      </c>
      <c r="CI49" s="17">
        <v>8760</v>
      </c>
      <c r="CJ49" s="17">
        <v>8760</v>
      </c>
      <c r="CK49" s="17">
        <v>8760</v>
      </c>
      <c r="CL49" s="17">
        <v>8760</v>
      </c>
      <c r="CM49" s="17">
        <v>8760</v>
      </c>
      <c r="CN49" s="17">
        <v>8760</v>
      </c>
      <c r="CO49" s="17">
        <v>8760</v>
      </c>
      <c r="CP49" s="17">
        <v>8760</v>
      </c>
      <c r="CQ49" s="17">
        <v>8760</v>
      </c>
      <c r="CR49" s="17">
        <v>8760</v>
      </c>
      <c r="CS49" s="17">
        <v>8760</v>
      </c>
      <c r="CT49" s="17">
        <v>8760</v>
      </c>
      <c r="CU49" s="17">
        <v>8760</v>
      </c>
      <c r="CV49" s="17">
        <v>8760</v>
      </c>
      <c r="CW49" s="17">
        <v>8760</v>
      </c>
      <c r="CX49" s="17">
        <v>8760</v>
      </c>
      <c r="CY49" s="17">
        <v>8760</v>
      </c>
      <c r="CZ49" s="17">
        <v>8760</v>
      </c>
      <c r="DA49" s="17">
        <v>8760</v>
      </c>
      <c r="DB49" s="17">
        <v>8760</v>
      </c>
    </row>
    <row r="50" spans="1:106" s="17" customFormat="1" x14ac:dyDescent="0.25">
      <c r="A50" s="22" t="s">
        <v>68</v>
      </c>
      <c r="B50" s="17" t="s">
        <v>73</v>
      </c>
      <c r="C50" s="17" t="s">
        <v>438</v>
      </c>
      <c r="D50" s="17" t="s">
        <v>503</v>
      </c>
      <c r="E50" s="17" t="s">
        <v>504</v>
      </c>
      <c r="F50" s="17">
        <v>102222</v>
      </c>
      <c r="G50" s="17">
        <v>0</v>
      </c>
      <c r="H50" s="17">
        <v>0</v>
      </c>
      <c r="I50" s="17">
        <v>0</v>
      </c>
      <c r="J50" s="17">
        <v>0</v>
      </c>
      <c r="K50" s="17">
        <v>0</v>
      </c>
      <c r="L50" s="17">
        <v>0</v>
      </c>
      <c r="M50" s="17">
        <v>0</v>
      </c>
      <c r="N50" s="17">
        <v>0</v>
      </c>
      <c r="O50" s="17">
        <v>0</v>
      </c>
      <c r="P50" s="17">
        <v>0</v>
      </c>
      <c r="Q50" s="17">
        <v>0</v>
      </c>
      <c r="R50" s="17">
        <v>0</v>
      </c>
      <c r="S50" s="17">
        <v>0</v>
      </c>
      <c r="T50" s="17">
        <v>0</v>
      </c>
      <c r="U50" s="17">
        <v>0</v>
      </c>
      <c r="V50" s="17">
        <v>0</v>
      </c>
      <c r="W50" s="17">
        <v>0</v>
      </c>
      <c r="X50" s="17">
        <v>0</v>
      </c>
      <c r="Y50" s="17">
        <v>0</v>
      </c>
      <c r="Z50" s="17">
        <v>0</v>
      </c>
      <c r="AA50" s="17">
        <v>0</v>
      </c>
      <c r="AB50" s="17">
        <v>0</v>
      </c>
      <c r="AC50" s="17">
        <v>0</v>
      </c>
      <c r="AD50" s="17">
        <v>0</v>
      </c>
      <c r="AE50" s="17">
        <v>0</v>
      </c>
      <c r="AF50" s="17">
        <v>0</v>
      </c>
      <c r="AG50" s="17">
        <v>0</v>
      </c>
      <c r="AH50" s="17">
        <v>0</v>
      </c>
      <c r="AI50" s="17">
        <v>0</v>
      </c>
      <c r="AJ50" s="17">
        <v>0</v>
      </c>
      <c r="AK50" s="17">
        <v>0</v>
      </c>
      <c r="AL50" s="17">
        <v>3</v>
      </c>
      <c r="AM50" s="17">
        <v>5</v>
      </c>
      <c r="AN50" s="17">
        <v>10</v>
      </c>
      <c r="AO50" s="17">
        <v>21</v>
      </c>
      <c r="AP50" s="17">
        <v>33</v>
      </c>
      <c r="AQ50" s="17">
        <v>48</v>
      </c>
      <c r="AR50" s="17">
        <v>76</v>
      </c>
      <c r="AS50" s="17">
        <v>109</v>
      </c>
      <c r="AT50" s="17">
        <v>152</v>
      </c>
      <c r="AU50" s="17">
        <v>218</v>
      </c>
      <c r="AV50" s="17">
        <v>282</v>
      </c>
      <c r="AW50" s="17">
        <v>392</v>
      </c>
      <c r="AX50" s="17">
        <v>493</v>
      </c>
      <c r="AY50" s="17">
        <v>609</v>
      </c>
      <c r="AZ50" s="17">
        <v>760</v>
      </c>
      <c r="BA50" s="17">
        <v>930</v>
      </c>
      <c r="BB50" s="17">
        <v>1219</v>
      </c>
      <c r="BC50" s="17">
        <v>1493</v>
      </c>
      <c r="BD50" s="17">
        <v>1855</v>
      </c>
      <c r="BE50" s="17">
        <v>2348</v>
      </c>
      <c r="BF50" s="17">
        <v>2792</v>
      </c>
      <c r="BG50" s="17">
        <v>3196</v>
      </c>
      <c r="BH50" s="17">
        <v>3652</v>
      </c>
      <c r="BI50" s="17">
        <v>4112</v>
      </c>
      <c r="BJ50" s="17">
        <v>4445</v>
      </c>
      <c r="BK50" s="17">
        <v>4778</v>
      </c>
      <c r="BL50" s="17">
        <v>5110</v>
      </c>
      <c r="BM50" s="17">
        <v>5424</v>
      </c>
      <c r="BN50" s="17">
        <v>5755</v>
      </c>
      <c r="BO50" s="17">
        <v>6085</v>
      </c>
      <c r="BP50" s="17">
        <v>6430</v>
      </c>
      <c r="BQ50" s="17">
        <v>6751</v>
      </c>
      <c r="BR50" s="17">
        <v>7085</v>
      </c>
      <c r="BS50" s="17">
        <v>7414</v>
      </c>
      <c r="BT50" s="17">
        <v>7704</v>
      </c>
      <c r="BU50" s="17">
        <v>7980</v>
      </c>
      <c r="BV50" s="17">
        <v>8182</v>
      </c>
      <c r="BW50" s="17">
        <v>8326</v>
      </c>
      <c r="BX50" s="17">
        <v>8454</v>
      </c>
      <c r="BY50" s="17">
        <v>8552</v>
      </c>
      <c r="BZ50" s="17">
        <v>8621</v>
      </c>
      <c r="CA50" s="17">
        <v>8672</v>
      </c>
      <c r="CB50" s="17">
        <v>8703</v>
      </c>
      <c r="CC50" s="17">
        <v>8727</v>
      </c>
      <c r="CD50" s="17">
        <v>8738</v>
      </c>
      <c r="CE50" s="17">
        <v>8754</v>
      </c>
      <c r="CF50" s="17">
        <v>8759</v>
      </c>
      <c r="CG50" s="17">
        <v>8760</v>
      </c>
      <c r="CH50" s="17">
        <v>8760</v>
      </c>
      <c r="CI50" s="17">
        <v>8760</v>
      </c>
      <c r="CJ50" s="17">
        <v>8760</v>
      </c>
      <c r="CK50" s="17">
        <v>8760</v>
      </c>
      <c r="CL50" s="17">
        <v>8760</v>
      </c>
      <c r="CM50" s="17">
        <v>8760</v>
      </c>
      <c r="CN50" s="17">
        <v>8760</v>
      </c>
      <c r="CO50" s="17">
        <v>8760</v>
      </c>
      <c r="CP50" s="17">
        <v>8760</v>
      </c>
      <c r="CQ50" s="17">
        <v>8760</v>
      </c>
      <c r="CR50" s="17">
        <v>8760</v>
      </c>
      <c r="CS50" s="17">
        <v>8760</v>
      </c>
      <c r="CT50" s="17">
        <v>8760</v>
      </c>
      <c r="CU50" s="17">
        <v>8760</v>
      </c>
      <c r="CV50" s="17">
        <v>8760</v>
      </c>
      <c r="CW50" s="17">
        <v>8760</v>
      </c>
      <c r="CX50" s="17">
        <v>8760</v>
      </c>
      <c r="CY50" s="17">
        <v>8760</v>
      </c>
      <c r="CZ50" s="17">
        <v>8760</v>
      </c>
      <c r="DA50" s="17">
        <v>8760</v>
      </c>
      <c r="DB50" s="17">
        <v>8760</v>
      </c>
    </row>
    <row r="51" spans="1:106" s="17" customFormat="1" x14ac:dyDescent="0.25">
      <c r="A51" s="22" t="s">
        <v>69</v>
      </c>
      <c r="B51" s="17" t="s">
        <v>72</v>
      </c>
      <c r="C51" s="17" t="s">
        <v>438</v>
      </c>
      <c r="D51" s="17" t="s">
        <v>505</v>
      </c>
      <c r="E51" s="17" t="s">
        <v>506</v>
      </c>
      <c r="F51" s="17">
        <v>102717</v>
      </c>
      <c r="G51" s="17">
        <v>0</v>
      </c>
      <c r="H51" s="17">
        <v>0</v>
      </c>
      <c r="I51" s="17">
        <v>0</v>
      </c>
      <c r="J51" s="17">
        <v>0</v>
      </c>
      <c r="K51" s="17">
        <v>0</v>
      </c>
      <c r="L51" s="17">
        <v>0</v>
      </c>
      <c r="M51" s="17">
        <v>0</v>
      </c>
      <c r="N51" s="17">
        <v>0</v>
      </c>
      <c r="O51" s="17">
        <v>0</v>
      </c>
      <c r="P51" s="17">
        <v>0</v>
      </c>
      <c r="Q51" s="17">
        <v>0</v>
      </c>
      <c r="R51" s="17">
        <v>0</v>
      </c>
      <c r="S51" s="17">
        <v>0</v>
      </c>
      <c r="T51" s="17">
        <v>0</v>
      </c>
      <c r="U51" s="17">
        <v>0</v>
      </c>
      <c r="V51" s="17">
        <v>0</v>
      </c>
      <c r="W51" s="17">
        <v>0</v>
      </c>
      <c r="X51" s="17">
        <v>0</v>
      </c>
      <c r="Y51" s="17">
        <v>0</v>
      </c>
      <c r="Z51" s="17">
        <v>0</v>
      </c>
      <c r="AA51" s="17">
        <v>0</v>
      </c>
      <c r="AB51" s="17">
        <v>0</v>
      </c>
      <c r="AC51" s="17">
        <v>0</v>
      </c>
      <c r="AD51" s="17">
        <v>0</v>
      </c>
      <c r="AE51" s="17">
        <v>0</v>
      </c>
      <c r="AF51" s="17">
        <v>1</v>
      </c>
      <c r="AG51" s="17">
        <v>11</v>
      </c>
      <c r="AH51" s="17">
        <v>17</v>
      </c>
      <c r="AI51" s="17">
        <v>25</v>
      </c>
      <c r="AJ51" s="17">
        <v>41</v>
      </c>
      <c r="AK51" s="17">
        <v>53</v>
      </c>
      <c r="AL51" s="17">
        <v>72</v>
      </c>
      <c r="AM51" s="17">
        <v>113</v>
      </c>
      <c r="AN51" s="17">
        <v>174</v>
      </c>
      <c r="AO51" s="17">
        <v>233</v>
      </c>
      <c r="AP51" s="17">
        <v>308</v>
      </c>
      <c r="AQ51" s="17">
        <v>404</v>
      </c>
      <c r="AR51" s="17">
        <v>500</v>
      </c>
      <c r="AS51" s="17">
        <v>602</v>
      </c>
      <c r="AT51" s="17">
        <v>697</v>
      </c>
      <c r="AU51" s="17">
        <v>793</v>
      </c>
      <c r="AV51" s="17">
        <v>943</v>
      </c>
      <c r="AW51" s="17">
        <v>1069</v>
      </c>
      <c r="AX51" s="17">
        <v>1216</v>
      </c>
      <c r="AY51" s="17">
        <v>1414</v>
      </c>
      <c r="AZ51" s="17">
        <v>1645</v>
      </c>
      <c r="BA51" s="17">
        <v>1912</v>
      </c>
      <c r="BB51" s="17">
        <v>2262</v>
      </c>
      <c r="BC51" s="17">
        <v>2600</v>
      </c>
      <c r="BD51" s="17">
        <v>2956</v>
      </c>
      <c r="BE51" s="17">
        <v>3323</v>
      </c>
      <c r="BF51" s="17">
        <v>3751</v>
      </c>
      <c r="BG51" s="17">
        <v>4119</v>
      </c>
      <c r="BH51" s="17">
        <v>4448</v>
      </c>
      <c r="BI51" s="17">
        <v>4749</v>
      </c>
      <c r="BJ51" s="17">
        <v>5043</v>
      </c>
      <c r="BK51" s="17">
        <v>5351</v>
      </c>
      <c r="BL51" s="17">
        <v>5718</v>
      </c>
      <c r="BM51" s="17">
        <v>6055</v>
      </c>
      <c r="BN51" s="17">
        <v>6386</v>
      </c>
      <c r="BO51" s="17">
        <v>6680</v>
      </c>
      <c r="BP51" s="17">
        <v>7006</v>
      </c>
      <c r="BQ51" s="17">
        <v>7333</v>
      </c>
      <c r="BR51" s="17">
        <v>7596</v>
      </c>
      <c r="BS51" s="17">
        <v>7835</v>
      </c>
      <c r="BT51" s="17">
        <v>8057</v>
      </c>
      <c r="BU51" s="17">
        <v>8245</v>
      </c>
      <c r="BV51" s="17">
        <v>8394</v>
      </c>
      <c r="BW51" s="17">
        <v>8530</v>
      </c>
      <c r="BX51" s="17">
        <v>8617</v>
      </c>
      <c r="BY51" s="17">
        <v>8663</v>
      </c>
      <c r="BZ51" s="17">
        <v>8710</v>
      </c>
      <c r="CA51" s="17">
        <v>8730</v>
      </c>
      <c r="CB51" s="17">
        <v>8749</v>
      </c>
      <c r="CC51" s="17">
        <v>8758</v>
      </c>
      <c r="CD51" s="17">
        <v>8760</v>
      </c>
      <c r="CE51" s="17">
        <v>8760</v>
      </c>
      <c r="CF51" s="17">
        <v>8760</v>
      </c>
      <c r="CG51" s="17">
        <v>8760</v>
      </c>
      <c r="CH51" s="17">
        <v>8760</v>
      </c>
      <c r="CI51" s="17">
        <v>8760</v>
      </c>
      <c r="CJ51" s="17">
        <v>8760</v>
      </c>
      <c r="CK51" s="17">
        <v>8760</v>
      </c>
      <c r="CL51" s="17">
        <v>8760</v>
      </c>
      <c r="CM51" s="17">
        <v>8760</v>
      </c>
      <c r="CN51" s="17">
        <v>8760</v>
      </c>
      <c r="CO51" s="17">
        <v>8760</v>
      </c>
      <c r="CP51" s="17">
        <v>8760</v>
      </c>
      <c r="CQ51" s="17">
        <v>8760</v>
      </c>
      <c r="CR51" s="17">
        <v>8760</v>
      </c>
      <c r="CS51" s="17">
        <v>8760</v>
      </c>
      <c r="CT51" s="17">
        <v>8760</v>
      </c>
      <c r="CU51" s="17">
        <v>8760</v>
      </c>
      <c r="CV51" s="17">
        <v>8760</v>
      </c>
      <c r="CW51" s="17">
        <v>8760</v>
      </c>
      <c r="CX51" s="17">
        <v>8760</v>
      </c>
      <c r="CY51" s="17">
        <v>8760</v>
      </c>
      <c r="CZ51" s="17">
        <v>8760</v>
      </c>
      <c r="DA51" s="17">
        <v>8760</v>
      </c>
      <c r="DB51" s="17">
        <v>8760</v>
      </c>
    </row>
    <row r="52" spans="1:106" s="17" customFormat="1" x14ac:dyDescent="0.25">
      <c r="A52" s="22" t="s">
        <v>70</v>
      </c>
      <c r="B52" s="17" t="s">
        <v>74</v>
      </c>
      <c r="C52" s="17" t="s">
        <v>438</v>
      </c>
      <c r="D52" s="17" t="s">
        <v>507</v>
      </c>
      <c r="E52" s="17" t="s">
        <v>508</v>
      </c>
      <c r="F52" s="17">
        <v>102322</v>
      </c>
      <c r="G52" s="17">
        <v>0</v>
      </c>
      <c r="H52" s="17">
        <v>0</v>
      </c>
      <c r="I52" s="17">
        <v>0</v>
      </c>
      <c r="J52" s="17">
        <v>0</v>
      </c>
      <c r="K52" s="17">
        <v>0</v>
      </c>
      <c r="L52" s="17">
        <v>0</v>
      </c>
      <c r="M52" s="17">
        <v>0</v>
      </c>
      <c r="N52" s="17">
        <v>0</v>
      </c>
      <c r="O52" s="17">
        <v>0</v>
      </c>
      <c r="P52" s="17">
        <v>0</v>
      </c>
      <c r="Q52" s="17">
        <v>0</v>
      </c>
      <c r="R52" s="17">
        <v>0</v>
      </c>
      <c r="S52" s="17">
        <v>0</v>
      </c>
      <c r="T52" s="17">
        <v>0</v>
      </c>
      <c r="U52" s="17">
        <v>0</v>
      </c>
      <c r="V52" s="17">
        <v>0</v>
      </c>
      <c r="W52" s="17">
        <v>0</v>
      </c>
      <c r="X52" s="17">
        <v>0</v>
      </c>
      <c r="Y52" s="17">
        <v>0</v>
      </c>
      <c r="Z52" s="17">
        <v>0</v>
      </c>
      <c r="AA52" s="17">
        <v>0</v>
      </c>
      <c r="AB52" s="17">
        <v>0</v>
      </c>
      <c r="AC52" s="17">
        <v>0</v>
      </c>
      <c r="AD52" s="17">
        <v>0</v>
      </c>
      <c r="AE52" s="17">
        <v>0</v>
      </c>
      <c r="AF52" s="17">
        <v>0</v>
      </c>
      <c r="AG52" s="17">
        <v>0</v>
      </c>
      <c r="AH52" s="17">
        <v>0</v>
      </c>
      <c r="AI52" s="17">
        <v>0</v>
      </c>
      <c r="AJ52" s="17">
        <v>0</v>
      </c>
      <c r="AK52" s="17">
        <v>0</v>
      </c>
      <c r="AL52" s="17">
        <v>1</v>
      </c>
      <c r="AM52" s="17">
        <v>4</v>
      </c>
      <c r="AN52" s="17">
        <v>8</v>
      </c>
      <c r="AO52" s="17">
        <v>12</v>
      </c>
      <c r="AP52" s="17">
        <v>20</v>
      </c>
      <c r="AQ52" s="17">
        <v>36</v>
      </c>
      <c r="AR52" s="17">
        <v>76</v>
      </c>
      <c r="AS52" s="17">
        <v>119</v>
      </c>
      <c r="AT52" s="17">
        <v>196</v>
      </c>
      <c r="AU52" s="17">
        <v>287</v>
      </c>
      <c r="AV52" s="17">
        <v>367</v>
      </c>
      <c r="AW52" s="17">
        <v>469</v>
      </c>
      <c r="AX52" s="17">
        <v>561</v>
      </c>
      <c r="AY52" s="17">
        <v>713</v>
      </c>
      <c r="AZ52" s="17">
        <v>890</v>
      </c>
      <c r="BA52" s="17">
        <v>1125</v>
      </c>
      <c r="BB52" s="17">
        <v>1376</v>
      </c>
      <c r="BC52" s="17">
        <v>1674</v>
      </c>
      <c r="BD52" s="17">
        <v>2067</v>
      </c>
      <c r="BE52" s="17">
        <v>2509</v>
      </c>
      <c r="BF52" s="17">
        <v>2886</v>
      </c>
      <c r="BG52" s="17">
        <v>3250</v>
      </c>
      <c r="BH52" s="17">
        <v>3633</v>
      </c>
      <c r="BI52" s="17">
        <v>3998</v>
      </c>
      <c r="BJ52" s="17">
        <v>4401</v>
      </c>
      <c r="BK52" s="17">
        <v>4745</v>
      </c>
      <c r="BL52" s="17">
        <v>5044</v>
      </c>
      <c r="BM52" s="17">
        <v>5408</v>
      </c>
      <c r="BN52" s="17">
        <v>5799</v>
      </c>
      <c r="BO52" s="17">
        <v>6222</v>
      </c>
      <c r="BP52" s="17">
        <v>6598</v>
      </c>
      <c r="BQ52" s="17">
        <v>6954</v>
      </c>
      <c r="BR52" s="17">
        <v>7295</v>
      </c>
      <c r="BS52" s="17">
        <v>7599</v>
      </c>
      <c r="BT52" s="17">
        <v>7904</v>
      </c>
      <c r="BU52" s="17">
        <v>8153</v>
      </c>
      <c r="BV52" s="17">
        <v>8346</v>
      </c>
      <c r="BW52" s="17">
        <v>8494</v>
      </c>
      <c r="BX52" s="17">
        <v>8584</v>
      </c>
      <c r="BY52" s="17">
        <v>8651</v>
      </c>
      <c r="BZ52" s="17">
        <v>8693</v>
      </c>
      <c r="CA52" s="17">
        <v>8728</v>
      </c>
      <c r="CB52" s="17">
        <v>8741</v>
      </c>
      <c r="CC52" s="17">
        <v>8749</v>
      </c>
      <c r="CD52" s="17">
        <v>8757</v>
      </c>
      <c r="CE52" s="17">
        <v>8760</v>
      </c>
      <c r="CF52" s="17">
        <v>8760</v>
      </c>
      <c r="CG52" s="17">
        <v>8760</v>
      </c>
      <c r="CH52" s="17">
        <v>8760</v>
      </c>
      <c r="CI52" s="17">
        <v>8760</v>
      </c>
      <c r="CJ52" s="17">
        <v>8760</v>
      </c>
      <c r="CK52" s="17">
        <v>8760</v>
      </c>
      <c r="CL52" s="17">
        <v>8760</v>
      </c>
      <c r="CM52" s="17">
        <v>8760</v>
      </c>
      <c r="CN52" s="17">
        <v>8760</v>
      </c>
      <c r="CO52" s="17">
        <v>8760</v>
      </c>
      <c r="CP52" s="17">
        <v>8760</v>
      </c>
      <c r="CQ52" s="17">
        <v>8760</v>
      </c>
      <c r="CR52" s="17">
        <v>8760</v>
      </c>
      <c r="CS52" s="17">
        <v>8760</v>
      </c>
      <c r="CT52" s="17">
        <v>8760</v>
      </c>
      <c r="CU52" s="17">
        <v>8760</v>
      </c>
      <c r="CV52" s="17">
        <v>8760</v>
      </c>
      <c r="CW52" s="17">
        <v>8760</v>
      </c>
      <c r="CX52" s="17">
        <v>8760</v>
      </c>
      <c r="CY52" s="17">
        <v>8760</v>
      </c>
      <c r="CZ52" s="17">
        <v>8760</v>
      </c>
      <c r="DA52" s="17">
        <v>8760</v>
      </c>
      <c r="DB52" s="17">
        <v>8760</v>
      </c>
    </row>
    <row r="53" spans="1:106" s="17" customFormat="1" x14ac:dyDescent="0.25">
      <c r="A53" s="22" t="s">
        <v>71</v>
      </c>
      <c r="B53" s="17" t="s">
        <v>75</v>
      </c>
      <c r="C53" s="17" t="s">
        <v>438</v>
      </c>
      <c r="D53" s="17" t="s">
        <v>509</v>
      </c>
      <c r="E53" s="17" t="s">
        <v>510</v>
      </c>
      <c r="F53" s="17">
        <v>102341</v>
      </c>
      <c r="G53" s="17">
        <v>0</v>
      </c>
      <c r="H53" s="17">
        <v>0</v>
      </c>
      <c r="I53" s="17">
        <v>0</v>
      </c>
      <c r="J53" s="17">
        <v>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0</v>
      </c>
      <c r="AC53" s="17">
        <v>0</v>
      </c>
      <c r="AD53" s="17">
        <v>0</v>
      </c>
      <c r="AE53" s="17">
        <v>0</v>
      </c>
      <c r="AF53" s="17">
        <v>0</v>
      </c>
      <c r="AG53" s="17">
        <v>0</v>
      </c>
      <c r="AH53" s="17">
        <v>0</v>
      </c>
      <c r="AI53" s="17">
        <v>0</v>
      </c>
      <c r="AJ53" s="17">
        <v>0</v>
      </c>
      <c r="AK53" s="17">
        <v>2</v>
      </c>
      <c r="AL53" s="17">
        <v>5</v>
      </c>
      <c r="AM53" s="17">
        <v>8</v>
      </c>
      <c r="AN53" s="17">
        <v>12</v>
      </c>
      <c r="AO53" s="17">
        <v>16</v>
      </c>
      <c r="AP53" s="17">
        <v>23</v>
      </c>
      <c r="AQ53" s="17">
        <v>32</v>
      </c>
      <c r="AR53" s="17">
        <v>55</v>
      </c>
      <c r="AS53" s="17">
        <v>73</v>
      </c>
      <c r="AT53" s="17">
        <v>113</v>
      </c>
      <c r="AU53" s="17">
        <v>148</v>
      </c>
      <c r="AV53" s="17">
        <v>194</v>
      </c>
      <c r="AW53" s="17">
        <v>251</v>
      </c>
      <c r="AX53" s="17">
        <v>361</v>
      </c>
      <c r="AY53" s="17">
        <v>482</v>
      </c>
      <c r="AZ53" s="17">
        <v>643</v>
      </c>
      <c r="BA53" s="17">
        <v>890</v>
      </c>
      <c r="BB53" s="17">
        <v>1187</v>
      </c>
      <c r="BC53" s="17">
        <v>1467</v>
      </c>
      <c r="BD53" s="17">
        <v>1770</v>
      </c>
      <c r="BE53" s="17">
        <v>2154</v>
      </c>
      <c r="BF53" s="17">
        <v>2566</v>
      </c>
      <c r="BG53" s="17">
        <v>3010</v>
      </c>
      <c r="BH53" s="17">
        <v>3404</v>
      </c>
      <c r="BI53" s="17">
        <v>3775</v>
      </c>
      <c r="BJ53" s="17">
        <v>4161</v>
      </c>
      <c r="BK53" s="17">
        <v>4536</v>
      </c>
      <c r="BL53" s="17">
        <v>4976</v>
      </c>
      <c r="BM53" s="17">
        <v>5347</v>
      </c>
      <c r="BN53" s="17">
        <v>5666</v>
      </c>
      <c r="BO53" s="17">
        <v>5969</v>
      </c>
      <c r="BP53" s="17">
        <v>6293</v>
      </c>
      <c r="BQ53" s="17">
        <v>6653</v>
      </c>
      <c r="BR53" s="17">
        <v>7017</v>
      </c>
      <c r="BS53" s="17">
        <v>7308</v>
      </c>
      <c r="BT53" s="17">
        <v>7557</v>
      </c>
      <c r="BU53" s="17">
        <v>7760</v>
      </c>
      <c r="BV53" s="17">
        <v>7948</v>
      </c>
      <c r="BW53" s="17">
        <v>8114</v>
      </c>
      <c r="BX53" s="17">
        <v>8251</v>
      </c>
      <c r="BY53" s="17">
        <v>8354</v>
      </c>
      <c r="BZ53" s="17">
        <v>8440</v>
      </c>
      <c r="CA53" s="17">
        <v>8525</v>
      </c>
      <c r="CB53" s="17">
        <v>8604</v>
      </c>
      <c r="CC53" s="17">
        <v>8652</v>
      </c>
      <c r="CD53" s="17">
        <v>8682</v>
      </c>
      <c r="CE53" s="17">
        <v>8714</v>
      </c>
      <c r="CF53" s="17">
        <v>8743</v>
      </c>
      <c r="CG53" s="17">
        <v>8753</v>
      </c>
      <c r="CH53" s="17">
        <v>8760</v>
      </c>
      <c r="CI53" s="17">
        <v>8760</v>
      </c>
      <c r="CJ53" s="17">
        <v>8760</v>
      </c>
      <c r="CK53" s="17">
        <v>8760</v>
      </c>
      <c r="CL53" s="17">
        <v>8760</v>
      </c>
      <c r="CM53" s="17">
        <v>8760</v>
      </c>
      <c r="CN53" s="17">
        <v>8760</v>
      </c>
      <c r="CO53" s="17">
        <v>8760</v>
      </c>
      <c r="CP53" s="17">
        <v>8760</v>
      </c>
      <c r="CQ53" s="17">
        <v>8760</v>
      </c>
      <c r="CR53" s="17">
        <v>8760</v>
      </c>
      <c r="CS53" s="17">
        <v>8760</v>
      </c>
      <c r="CT53" s="17">
        <v>8760</v>
      </c>
      <c r="CU53" s="17">
        <v>8760</v>
      </c>
      <c r="CV53" s="17">
        <v>8760</v>
      </c>
      <c r="CW53" s="17">
        <v>8760</v>
      </c>
      <c r="CX53" s="17">
        <v>8760</v>
      </c>
      <c r="CY53" s="17">
        <v>8760</v>
      </c>
      <c r="CZ53" s="17">
        <v>8760</v>
      </c>
      <c r="DA53" s="17">
        <v>8760</v>
      </c>
      <c r="DB53" s="17">
        <v>8760</v>
      </c>
    </row>
    <row r="54" spans="1:106" s="17" customFormat="1" x14ac:dyDescent="0.25">
      <c r="A54" s="22" t="s">
        <v>72</v>
      </c>
      <c r="B54" s="17" t="s">
        <v>76</v>
      </c>
      <c r="C54" s="17" t="s">
        <v>438</v>
      </c>
      <c r="D54" s="17" t="s">
        <v>511</v>
      </c>
      <c r="E54" s="17" t="s">
        <v>512</v>
      </c>
      <c r="F54" s="17">
        <v>102606</v>
      </c>
      <c r="G54" s="17">
        <v>0</v>
      </c>
      <c r="H54" s="17">
        <v>0</v>
      </c>
      <c r="I54" s="17">
        <v>0</v>
      </c>
      <c r="J54" s="17">
        <v>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0</v>
      </c>
      <c r="AC54" s="17">
        <v>0</v>
      </c>
      <c r="AD54" s="17">
        <v>0</v>
      </c>
      <c r="AE54" s="17">
        <v>0</v>
      </c>
      <c r="AF54" s="17">
        <v>0</v>
      </c>
      <c r="AG54" s="17">
        <v>0</v>
      </c>
      <c r="AH54" s="17">
        <v>0</v>
      </c>
      <c r="AI54" s="17">
        <v>0</v>
      </c>
      <c r="AJ54" s="17">
        <v>0</v>
      </c>
      <c r="AK54" s="17">
        <v>0</v>
      </c>
      <c r="AL54" s="17">
        <v>4</v>
      </c>
      <c r="AM54" s="17">
        <v>6</v>
      </c>
      <c r="AN54" s="17">
        <v>15</v>
      </c>
      <c r="AO54" s="17">
        <v>20</v>
      </c>
      <c r="AP54" s="17">
        <v>24</v>
      </c>
      <c r="AQ54" s="17">
        <v>53</v>
      </c>
      <c r="AR54" s="17">
        <v>85</v>
      </c>
      <c r="AS54" s="17">
        <v>119</v>
      </c>
      <c r="AT54" s="17">
        <v>163</v>
      </c>
      <c r="AU54" s="17">
        <v>215</v>
      </c>
      <c r="AV54" s="17">
        <v>298</v>
      </c>
      <c r="AW54" s="17">
        <v>396</v>
      </c>
      <c r="AX54" s="17">
        <v>535</v>
      </c>
      <c r="AY54" s="17">
        <v>678</v>
      </c>
      <c r="AZ54" s="17">
        <v>805</v>
      </c>
      <c r="BA54" s="17">
        <v>988</v>
      </c>
      <c r="BB54" s="17">
        <v>1226</v>
      </c>
      <c r="BC54" s="17">
        <v>1516</v>
      </c>
      <c r="BD54" s="17">
        <v>1947</v>
      </c>
      <c r="BE54" s="17">
        <v>2429</v>
      </c>
      <c r="BF54" s="17">
        <v>2867</v>
      </c>
      <c r="BG54" s="17">
        <v>3234</v>
      </c>
      <c r="BH54" s="17">
        <v>3551</v>
      </c>
      <c r="BI54" s="17">
        <v>3815</v>
      </c>
      <c r="BJ54" s="17">
        <v>4133</v>
      </c>
      <c r="BK54" s="17">
        <v>4487</v>
      </c>
      <c r="BL54" s="17">
        <v>4845</v>
      </c>
      <c r="BM54" s="17">
        <v>5231</v>
      </c>
      <c r="BN54" s="17">
        <v>5592</v>
      </c>
      <c r="BO54" s="17">
        <v>5927</v>
      </c>
      <c r="BP54" s="17">
        <v>6244</v>
      </c>
      <c r="BQ54" s="17">
        <v>6616</v>
      </c>
      <c r="BR54" s="17">
        <v>7034</v>
      </c>
      <c r="BS54" s="17">
        <v>7343</v>
      </c>
      <c r="BT54" s="17">
        <v>7621</v>
      </c>
      <c r="BU54" s="17">
        <v>7888</v>
      </c>
      <c r="BV54" s="17">
        <v>8086</v>
      </c>
      <c r="BW54" s="17">
        <v>8237</v>
      </c>
      <c r="BX54" s="17">
        <v>8380</v>
      </c>
      <c r="BY54" s="17">
        <v>8499</v>
      </c>
      <c r="BZ54" s="17">
        <v>8585</v>
      </c>
      <c r="CA54" s="17">
        <v>8637</v>
      </c>
      <c r="CB54" s="17">
        <v>8673</v>
      </c>
      <c r="CC54" s="17">
        <v>8705</v>
      </c>
      <c r="CD54" s="17">
        <v>8727</v>
      </c>
      <c r="CE54" s="17">
        <v>8741</v>
      </c>
      <c r="CF54" s="17">
        <v>8749</v>
      </c>
      <c r="CG54" s="17">
        <v>8755</v>
      </c>
      <c r="CH54" s="17">
        <v>8760</v>
      </c>
      <c r="CI54" s="17">
        <v>8760</v>
      </c>
      <c r="CJ54" s="17">
        <v>8760</v>
      </c>
      <c r="CK54" s="17">
        <v>8760</v>
      </c>
      <c r="CL54" s="17">
        <v>8760</v>
      </c>
      <c r="CM54" s="17">
        <v>8760</v>
      </c>
      <c r="CN54" s="17">
        <v>8760</v>
      </c>
      <c r="CO54" s="17">
        <v>8760</v>
      </c>
      <c r="CP54" s="17">
        <v>8760</v>
      </c>
      <c r="CQ54" s="17">
        <v>8760</v>
      </c>
      <c r="CR54" s="17">
        <v>8760</v>
      </c>
      <c r="CS54" s="17">
        <v>8760</v>
      </c>
      <c r="CT54" s="17">
        <v>8760</v>
      </c>
      <c r="CU54" s="17">
        <v>8760</v>
      </c>
      <c r="CV54" s="17">
        <v>8760</v>
      </c>
      <c r="CW54" s="17">
        <v>8760</v>
      </c>
      <c r="CX54" s="17">
        <v>8760</v>
      </c>
      <c r="CY54" s="17">
        <v>8760</v>
      </c>
      <c r="CZ54" s="17">
        <v>8760</v>
      </c>
      <c r="DA54" s="17">
        <v>8760</v>
      </c>
      <c r="DB54" s="17">
        <v>8760</v>
      </c>
    </row>
    <row r="55" spans="1:106" s="17" customFormat="1" x14ac:dyDescent="0.25">
      <c r="A55" s="22" t="s">
        <v>73</v>
      </c>
      <c r="B55" s="17" t="s">
        <v>77</v>
      </c>
      <c r="C55" s="17" t="s">
        <v>438</v>
      </c>
      <c r="D55" s="17" t="s">
        <v>362</v>
      </c>
      <c r="E55" s="17" t="s">
        <v>363</v>
      </c>
      <c r="F55" s="17">
        <v>102417</v>
      </c>
      <c r="G55" s="17">
        <v>0</v>
      </c>
      <c r="H55" s="17">
        <v>0</v>
      </c>
      <c r="I55" s="17">
        <v>0</v>
      </c>
      <c r="J55" s="17">
        <v>0</v>
      </c>
      <c r="K55" s="17">
        <v>0</v>
      </c>
      <c r="L55" s="17">
        <v>0</v>
      </c>
      <c r="M55" s="17">
        <v>0</v>
      </c>
      <c r="N55" s="17">
        <v>0</v>
      </c>
      <c r="O55" s="17">
        <v>0</v>
      </c>
      <c r="P55" s="17">
        <v>0</v>
      </c>
      <c r="Q55" s="17">
        <v>0</v>
      </c>
      <c r="R55" s="17">
        <v>0</v>
      </c>
      <c r="S55" s="17">
        <v>0</v>
      </c>
      <c r="T55" s="17">
        <v>0</v>
      </c>
      <c r="U55" s="17">
        <v>0</v>
      </c>
      <c r="V55" s="17">
        <v>0</v>
      </c>
      <c r="W55" s="17">
        <v>0</v>
      </c>
      <c r="X55" s="17">
        <v>0</v>
      </c>
      <c r="Y55" s="17">
        <v>0</v>
      </c>
      <c r="Z55" s="17">
        <v>0</v>
      </c>
      <c r="AA55" s="17">
        <v>0</v>
      </c>
      <c r="AB55" s="17">
        <v>0</v>
      </c>
      <c r="AC55" s="17">
        <v>0</v>
      </c>
      <c r="AD55" s="17">
        <v>0</v>
      </c>
      <c r="AE55" s="17">
        <v>0</v>
      </c>
      <c r="AF55" s="17">
        <v>0</v>
      </c>
      <c r="AG55" s="17">
        <v>0</v>
      </c>
      <c r="AH55" s="17">
        <v>0</v>
      </c>
      <c r="AI55" s="17">
        <v>0</v>
      </c>
      <c r="AJ55" s="17">
        <v>0</v>
      </c>
      <c r="AK55" s="17">
        <v>1</v>
      </c>
      <c r="AL55" s="17">
        <v>6</v>
      </c>
      <c r="AM55" s="17">
        <v>21</v>
      </c>
      <c r="AN55" s="17">
        <v>35</v>
      </c>
      <c r="AO55" s="17">
        <v>47</v>
      </c>
      <c r="AP55" s="17">
        <v>67</v>
      </c>
      <c r="AQ55" s="17">
        <v>85</v>
      </c>
      <c r="AR55" s="17">
        <v>103</v>
      </c>
      <c r="AS55" s="17">
        <v>125</v>
      </c>
      <c r="AT55" s="17">
        <v>158</v>
      </c>
      <c r="AU55" s="17">
        <v>199</v>
      </c>
      <c r="AV55" s="17">
        <v>238</v>
      </c>
      <c r="AW55" s="17">
        <v>305</v>
      </c>
      <c r="AX55" s="17">
        <v>414</v>
      </c>
      <c r="AY55" s="17">
        <v>538</v>
      </c>
      <c r="AZ55" s="17">
        <v>698</v>
      </c>
      <c r="BA55" s="17">
        <v>959</v>
      </c>
      <c r="BB55" s="17">
        <v>1241</v>
      </c>
      <c r="BC55" s="17">
        <v>1546</v>
      </c>
      <c r="BD55" s="17">
        <v>1871</v>
      </c>
      <c r="BE55" s="17">
        <v>2292</v>
      </c>
      <c r="BF55" s="17">
        <v>2664</v>
      </c>
      <c r="BG55" s="17">
        <v>3072</v>
      </c>
      <c r="BH55" s="17">
        <v>3482</v>
      </c>
      <c r="BI55" s="17">
        <v>3882</v>
      </c>
      <c r="BJ55" s="17">
        <v>4226</v>
      </c>
      <c r="BK55" s="17">
        <v>4587</v>
      </c>
      <c r="BL55" s="17">
        <v>4903</v>
      </c>
      <c r="BM55" s="17">
        <v>5188</v>
      </c>
      <c r="BN55" s="17">
        <v>5479</v>
      </c>
      <c r="BO55" s="17">
        <v>5803</v>
      </c>
      <c r="BP55" s="17">
        <v>6096</v>
      </c>
      <c r="BQ55" s="17">
        <v>6451</v>
      </c>
      <c r="BR55" s="17">
        <v>6797</v>
      </c>
      <c r="BS55" s="17">
        <v>7094</v>
      </c>
      <c r="BT55" s="17">
        <v>7360</v>
      </c>
      <c r="BU55" s="17">
        <v>7627</v>
      </c>
      <c r="BV55" s="17">
        <v>7818</v>
      </c>
      <c r="BW55" s="17">
        <v>8026</v>
      </c>
      <c r="BX55" s="17">
        <v>8211</v>
      </c>
      <c r="BY55" s="17">
        <v>8363</v>
      </c>
      <c r="BZ55" s="17">
        <v>8465</v>
      </c>
      <c r="CA55" s="17">
        <v>8549</v>
      </c>
      <c r="CB55" s="17">
        <v>8609</v>
      </c>
      <c r="CC55" s="17">
        <v>8654</v>
      </c>
      <c r="CD55" s="17">
        <v>8688</v>
      </c>
      <c r="CE55" s="17">
        <v>8718</v>
      </c>
      <c r="CF55" s="17">
        <v>8733</v>
      </c>
      <c r="CG55" s="17">
        <v>8751</v>
      </c>
      <c r="CH55" s="17">
        <v>8760</v>
      </c>
      <c r="CI55" s="17">
        <v>8760</v>
      </c>
      <c r="CJ55" s="17">
        <v>8760</v>
      </c>
      <c r="CK55" s="17">
        <v>8760</v>
      </c>
      <c r="CL55" s="17">
        <v>8760</v>
      </c>
      <c r="CM55" s="17">
        <v>8760</v>
      </c>
      <c r="CN55" s="17">
        <v>8760</v>
      </c>
      <c r="CO55" s="17">
        <v>8760</v>
      </c>
      <c r="CP55" s="17">
        <v>8760</v>
      </c>
      <c r="CQ55" s="17">
        <v>8760</v>
      </c>
      <c r="CR55" s="17">
        <v>8760</v>
      </c>
      <c r="CS55" s="17">
        <v>8760</v>
      </c>
      <c r="CT55" s="17">
        <v>8760</v>
      </c>
      <c r="CU55" s="17">
        <v>8760</v>
      </c>
      <c r="CV55" s="17">
        <v>8760</v>
      </c>
      <c r="CW55" s="17">
        <v>8760</v>
      </c>
      <c r="CX55" s="17">
        <v>8760</v>
      </c>
      <c r="CY55" s="17">
        <v>8760</v>
      </c>
      <c r="CZ55" s="17">
        <v>8760</v>
      </c>
      <c r="DA55" s="17">
        <v>8760</v>
      </c>
      <c r="DB55" s="17">
        <v>8760</v>
      </c>
    </row>
    <row r="56" spans="1:106" s="17" customFormat="1" x14ac:dyDescent="0.25">
      <c r="A56" s="22" t="s">
        <v>74</v>
      </c>
      <c r="B56" s="17" t="s">
        <v>78</v>
      </c>
      <c r="C56" s="17" t="s">
        <v>438</v>
      </c>
      <c r="D56" s="17" t="s">
        <v>513</v>
      </c>
      <c r="E56" s="17" t="s">
        <v>514</v>
      </c>
      <c r="F56" s="17">
        <v>102107</v>
      </c>
      <c r="G56" s="17">
        <v>0</v>
      </c>
      <c r="H56" s="17">
        <v>0</v>
      </c>
      <c r="I56" s="17">
        <v>0</v>
      </c>
      <c r="J56" s="17">
        <v>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0</v>
      </c>
      <c r="AC56" s="17">
        <v>0</v>
      </c>
      <c r="AD56" s="17">
        <v>0</v>
      </c>
      <c r="AE56" s="17">
        <v>0</v>
      </c>
      <c r="AF56" s="17">
        <v>0</v>
      </c>
      <c r="AG56" s="17">
        <v>0</v>
      </c>
      <c r="AH56" s="17">
        <v>0</v>
      </c>
      <c r="AI56" s="17">
        <v>0</v>
      </c>
      <c r="AJ56" s="17">
        <v>0</v>
      </c>
      <c r="AK56" s="17">
        <v>0</v>
      </c>
      <c r="AL56" s="17">
        <v>0</v>
      </c>
      <c r="AM56" s="17">
        <v>0</v>
      </c>
      <c r="AN56" s="17">
        <v>0</v>
      </c>
      <c r="AO56" s="17">
        <v>0</v>
      </c>
      <c r="AP56" s="17">
        <v>0</v>
      </c>
      <c r="AQ56" s="17">
        <v>8</v>
      </c>
      <c r="AR56" s="17">
        <v>17</v>
      </c>
      <c r="AS56" s="17">
        <v>30</v>
      </c>
      <c r="AT56" s="17">
        <v>43</v>
      </c>
      <c r="AU56" s="17">
        <v>67</v>
      </c>
      <c r="AV56" s="17">
        <v>105</v>
      </c>
      <c r="AW56" s="17">
        <v>132</v>
      </c>
      <c r="AX56" s="17">
        <v>158</v>
      </c>
      <c r="AY56" s="17">
        <v>205</v>
      </c>
      <c r="AZ56" s="17">
        <v>303</v>
      </c>
      <c r="BA56" s="17">
        <v>395</v>
      </c>
      <c r="BB56" s="17">
        <v>550</v>
      </c>
      <c r="BC56" s="17">
        <v>750</v>
      </c>
      <c r="BD56" s="17">
        <v>979</v>
      </c>
      <c r="BE56" s="17">
        <v>1340</v>
      </c>
      <c r="BF56" s="17">
        <v>1806</v>
      </c>
      <c r="BG56" s="17">
        <v>2241</v>
      </c>
      <c r="BH56" s="17">
        <v>2780</v>
      </c>
      <c r="BI56" s="17">
        <v>3256</v>
      </c>
      <c r="BJ56" s="17">
        <v>3687</v>
      </c>
      <c r="BK56" s="17">
        <v>4065</v>
      </c>
      <c r="BL56" s="17">
        <v>4397</v>
      </c>
      <c r="BM56" s="17">
        <v>4733</v>
      </c>
      <c r="BN56" s="17">
        <v>5080</v>
      </c>
      <c r="BO56" s="17">
        <v>5454</v>
      </c>
      <c r="BP56" s="17">
        <v>5906</v>
      </c>
      <c r="BQ56" s="17">
        <v>6343</v>
      </c>
      <c r="BR56" s="17">
        <v>6741</v>
      </c>
      <c r="BS56" s="17">
        <v>7086</v>
      </c>
      <c r="BT56" s="17">
        <v>7391</v>
      </c>
      <c r="BU56" s="17">
        <v>7684</v>
      </c>
      <c r="BV56" s="17">
        <v>7967</v>
      </c>
      <c r="BW56" s="17">
        <v>8181</v>
      </c>
      <c r="BX56" s="17">
        <v>8317</v>
      </c>
      <c r="BY56" s="17">
        <v>8436</v>
      </c>
      <c r="BZ56" s="17">
        <v>8529</v>
      </c>
      <c r="CA56" s="17">
        <v>8588</v>
      </c>
      <c r="CB56" s="17">
        <v>8646</v>
      </c>
      <c r="CC56" s="17">
        <v>8697</v>
      </c>
      <c r="CD56" s="17">
        <v>8735</v>
      </c>
      <c r="CE56" s="17">
        <v>8755</v>
      </c>
      <c r="CF56" s="17">
        <v>8760</v>
      </c>
      <c r="CG56" s="17">
        <v>8760</v>
      </c>
      <c r="CH56" s="17">
        <v>8760</v>
      </c>
      <c r="CI56" s="17">
        <v>8760</v>
      </c>
      <c r="CJ56" s="17">
        <v>8760</v>
      </c>
      <c r="CK56" s="17">
        <v>8760</v>
      </c>
      <c r="CL56" s="17">
        <v>8760</v>
      </c>
      <c r="CM56" s="17">
        <v>8760</v>
      </c>
      <c r="CN56" s="17">
        <v>8760</v>
      </c>
      <c r="CO56" s="17">
        <v>8760</v>
      </c>
      <c r="CP56" s="17">
        <v>8760</v>
      </c>
      <c r="CQ56" s="17">
        <v>8760</v>
      </c>
      <c r="CR56" s="17">
        <v>8760</v>
      </c>
      <c r="CS56" s="17">
        <v>8760</v>
      </c>
      <c r="CT56" s="17">
        <v>8760</v>
      </c>
      <c r="CU56" s="17">
        <v>8760</v>
      </c>
      <c r="CV56" s="17">
        <v>8760</v>
      </c>
      <c r="CW56" s="17">
        <v>8760</v>
      </c>
      <c r="CX56" s="17">
        <v>8760</v>
      </c>
      <c r="CY56" s="17">
        <v>8760</v>
      </c>
      <c r="CZ56" s="17">
        <v>8760</v>
      </c>
      <c r="DA56" s="17">
        <v>8760</v>
      </c>
      <c r="DB56" s="17">
        <v>8760</v>
      </c>
    </row>
    <row r="57" spans="1:106" s="17" customFormat="1" x14ac:dyDescent="0.25">
      <c r="A57" s="22" t="s">
        <v>75</v>
      </c>
      <c r="B57" s="17" t="s">
        <v>79</v>
      </c>
      <c r="C57" s="17" t="s">
        <v>438</v>
      </c>
      <c r="D57" s="17" t="s">
        <v>515</v>
      </c>
      <c r="E57" s="17" t="s">
        <v>516</v>
      </c>
      <c r="F57" s="17">
        <v>102244</v>
      </c>
      <c r="G57" s="17">
        <v>0</v>
      </c>
      <c r="H57" s="17">
        <v>0</v>
      </c>
      <c r="I57" s="17">
        <v>0</v>
      </c>
      <c r="J57" s="17">
        <v>0</v>
      </c>
      <c r="K57" s="17">
        <v>0</v>
      </c>
      <c r="L57" s="17">
        <v>0</v>
      </c>
      <c r="M57" s="17">
        <v>0</v>
      </c>
      <c r="N57" s="17">
        <v>0</v>
      </c>
      <c r="O57" s="17">
        <v>0</v>
      </c>
      <c r="P57" s="17">
        <v>0</v>
      </c>
      <c r="Q57" s="17">
        <v>0</v>
      </c>
      <c r="R57" s="17">
        <v>0</v>
      </c>
      <c r="S57" s="17">
        <v>0</v>
      </c>
      <c r="T57" s="17">
        <v>0</v>
      </c>
      <c r="U57" s="17">
        <v>0</v>
      </c>
      <c r="V57" s="17">
        <v>0</v>
      </c>
      <c r="W57" s="17">
        <v>0</v>
      </c>
      <c r="X57" s="17">
        <v>0</v>
      </c>
      <c r="Y57" s="17">
        <v>0</v>
      </c>
      <c r="Z57" s="17">
        <v>0</v>
      </c>
      <c r="AA57" s="17">
        <v>0</v>
      </c>
      <c r="AB57" s="17">
        <v>0</v>
      </c>
      <c r="AC57" s="17">
        <v>0</v>
      </c>
      <c r="AD57" s="17">
        <v>0</v>
      </c>
      <c r="AE57" s="17">
        <v>0</v>
      </c>
      <c r="AF57" s="17">
        <v>0</v>
      </c>
      <c r="AG57" s="17">
        <v>0</v>
      </c>
      <c r="AH57" s="17">
        <v>0</v>
      </c>
      <c r="AI57" s="17">
        <v>0</v>
      </c>
      <c r="AJ57" s="17">
        <v>0</v>
      </c>
      <c r="AK57" s="17">
        <v>0</v>
      </c>
      <c r="AL57" s="17">
        <v>0</v>
      </c>
      <c r="AM57" s="17">
        <v>0</v>
      </c>
      <c r="AN57" s="17">
        <v>0</v>
      </c>
      <c r="AO57" s="17">
        <v>4</v>
      </c>
      <c r="AP57" s="17">
        <v>12</v>
      </c>
      <c r="AQ57" s="17">
        <v>17</v>
      </c>
      <c r="AR57" s="17">
        <v>27</v>
      </c>
      <c r="AS57" s="17">
        <v>33</v>
      </c>
      <c r="AT57" s="17">
        <v>52</v>
      </c>
      <c r="AU57" s="17">
        <v>90</v>
      </c>
      <c r="AV57" s="17">
        <v>141</v>
      </c>
      <c r="AW57" s="17">
        <v>206</v>
      </c>
      <c r="AX57" s="17">
        <v>290</v>
      </c>
      <c r="AY57" s="17">
        <v>395</v>
      </c>
      <c r="AZ57" s="17">
        <v>519</v>
      </c>
      <c r="BA57" s="17">
        <v>671</v>
      </c>
      <c r="BB57" s="17">
        <v>879</v>
      </c>
      <c r="BC57" s="17">
        <v>1137</v>
      </c>
      <c r="BD57" s="17">
        <v>1525</v>
      </c>
      <c r="BE57" s="17">
        <v>2039</v>
      </c>
      <c r="BF57" s="17">
        <v>2574</v>
      </c>
      <c r="BG57" s="17">
        <v>3040</v>
      </c>
      <c r="BH57" s="17">
        <v>3455</v>
      </c>
      <c r="BI57" s="17">
        <v>3772</v>
      </c>
      <c r="BJ57" s="17">
        <v>4109</v>
      </c>
      <c r="BK57" s="17">
        <v>4409</v>
      </c>
      <c r="BL57" s="17">
        <v>4699</v>
      </c>
      <c r="BM57" s="17">
        <v>5040</v>
      </c>
      <c r="BN57" s="17">
        <v>5434</v>
      </c>
      <c r="BO57" s="17">
        <v>5843</v>
      </c>
      <c r="BP57" s="17">
        <v>6242</v>
      </c>
      <c r="BQ57" s="17">
        <v>6648</v>
      </c>
      <c r="BR57" s="17">
        <v>7010</v>
      </c>
      <c r="BS57" s="17">
        <v>7374</v>
      </c>
      <c r="BT57" s="17">
        <v>7683</v>
      </c>
      <c r="BU57" s="17">
        <v>7973</v>
      </c>
      <c r="BV57" s="17">
        <v>8185</v>
      </c>
      <c r="BW57" s="17">
        <v>8353</v>
      </c>
      <c r="BX57" s="17">
        <v>8459</v>
      </c>
      <c r="BY57" s="17">
        <v>8537</v>
      </c>
      <c r="BZ57" s="17">
        <v>8584</v>
      </c>
      <c r="CA57" s="17">
        <v>8637</v>
      </c>
      <c r="CB57" s="17">
        <v>8678</v>
      </c>
      <c r="CC57" s="17">
        <v>8714</v>
      </c>
      <c r="CD57" s="17">
        <v>8741</v>
      </c>
      <c r="CE57" s="17">
        <v>8755</v>
      </c>
      <c r="CF57" s="17">
        <v>8760</v>
      </c>
      <c r="CG57" s="17">
        <v>8760</v>
      </c>
      <c r="CH57" s="17">
        <v>8760</v>
      </c>
      <c r="CI57" s="17">
        <v>8760</v>
      </c>
      <c r="CJ57" s="17">
        <v>8760</v>
      </c>
      <c r="CK57" s="17">
        <v>8760</v>
      </c>
      <c r="CL57" s="17">
        <v>8760</v>
      </c>
      <c r="CM57" s="17">
        <v>8760</v>
      </c>
      <c r="CN57" s="17">
        <v>8760</v>
      </c>
      <c r="CO57" s="17">
        <v>8760</v>
      </c>
      <c r="CP57" s="17">
        <v>8760</v>
      </c>
      <c r="CQ57" s="17">
        <v>8760</v>
      </c>
      <c r="CR57" s="17">
        <v>8760</v>
      </c>
      <c r="CS57" s="17">
        <v>8760</v>
      </c>
      <c r="CT57" s="17">
        <v>8760</v>
      </c>
      <c r="CU57" s="17">
        <v>8760</v>
      </c>
      <c r="CV57" s="17">
        <v>8760</v>
      </c>
      <c r="CW57" s="17">
        <v>8760</v>
      </c>
      <c r="CX57" s="17">
        <v>8760</v>
      </c>
      <c r="CY57" s="17">
        <v>8760</v>
      </c>
      <c r="CZ57" s="17">
        <v>8760</v>
      </c>
      <c r="DA57" s="17">
        <v>8760</v>
      </c>
      <c r="DB57" s="17">
        <v>8760</v>
      </c>
    </row>
    <row r="58" spans="1:106" s="17" customFormat="1" x14ac:dyDescent="0.25">
      <c r="A58" s="22" t="s">
        <v>76</v>
      </c>
      <c r="B58" s="17" t="s">
        <v>80</v>
      </c>
      <c r="C58" s="17" t="s">
        <v>438</v>
      </c>
      <c r="D58" s="17" t="s">
        <v>517</v>
      </c>
      <c r="E58" s="17" t="s">
        <v>518</v>
      </c>
      <c r="F58" s="17">
        <v>102603</v>
      </c>
      <c r="G58" s="17">
        <v>0</v>
      </c>
      <c r="H58" s="17">
        <v>0</v>
      </c>
      <c r="I58" s="17">
        <v>0</v>
      </c>
      <c r="J58" s="17">
        <v>0</v>
      </c>
      <c r="K58" s="17">
        <v>0</v>
      </c>
      <c r="L58" s="17">
        <v>0</v>
      </c>
      <c r="M58" s="17">
        <v>0</v>
      </c>
      <c r="N58" s="17">
        <v>0</v>
      </c>
      <c r="O58" s="17">
        <v>0</v>
      </c>
      <c r="P58" s="17">
        <v>0</v>
      </c>
      <c r="Q58" s="17">
        <v>0</v>
      </c>
      <c r="R58" s="17">
        <v>0</v>
      </c>
      <c r="S58" s="17">
        <v>0</v>
      </c>
      <c r="T58" s="17">
        <v>0</v>
      </c>
      <c r="U58" s="17">
        <v>0</v>
      </c>
      <c r="V58" s="17">
        <v>0</v>
      </c>
      <c r="W58" s="17">
        <v>0</v>
      </c>
      <c r="X58" s="17">
        <v>0</v>
      </c>
      <c r="Y58" s="17">
        <v>0</v>
      </c>
      <c r="Z58" s="17">
        <v>0</v>
      </c>
      <c r="AA58" s="17">
        <v>1</v>
      </c>
      <c r="AB58" s="17">
        <v>4</v>
      </c>
      <c r="AC58" s="17">
        <v>7</v>
      </c>
      <c r="AD58" s="17">
        <v>11</v>
      </c>
      <c r="AE58" s="17">
        <v>16</v>
      </c>
      <c r="AF58" s="17">
        <v>23</v>
      </c>
      <c r="AG58" s="17">
        <v>27</v>
      </c>
      <c r="AH58" s="17">
        <v>29</v>
      </c>
      <c r="AI58" s="17">
        <v>31</v>
      </c>
      <c r="AJ58" s="17">
        <v>43</v>
      </c>
      <c r="AK58" s="17">
        <v>56</v>
      </c>
      <c r="AL58" s="17">
        <v>70</v>
      </c>
      <c r="AM58" s="17">
        <v>83</v>
      </c>
      <c r="AN58" s="17">
        <v>96</v>
      </c>
      <c r="AO58" s="17">
        <v>112</v>
      </c>
      <c r="AP58" s="17">
        <v>130</v>
      </c>
      <c r="AQ58" s="17">
        <v>162</v>
      </c>
      <c r="AR58" s="17">
        <v>204</v>
      </c>
      <c r="AS58" s="17">
        <v>267</v>
      </c>
      <c r="AT58" s="17">
        <v>343</v>
      </c>
      <c r="AU58" s="17">
        <v>436</v>
      </c>
      <c r="AV58" s="17">
        <v>550</v>
      </c>
      <c r="AW58" s="17">
        <v>684</v>
      </c>
      <c r="AX58" s="17">
        <v>811</v>
      </c>
      <c r="AY58" s="17">
        <v>951</v>
      </c>
      <c r="AZ58" s="17">
        <v>1152</v>
      </c>
      <c r="BA58" s="17">
        <v>1403</v>
      </c>
      <c r="BB58" s="17">
        <v>1683</v>
      </c>
      <c r="BC58" s="17">
        <v>2040</v>
      </c>
      <c r="BD58" s="17">
        <v>2447</v>
      </c>
      <c r="BE58" s="17">
        <v>2853</v>
      </c>
      <c r="BF58" s="17">
        <v>3282</v>
      </c>
      <c r="BG58" s="17">
        <v>3684</v>
      </c>
      <c r="BH58" s="17">
        <v>4103</v>
      </c>
      <c r="BI58" s="17">
        <v>4447</v>
      </c>
      <c r="BJ58" s="17">
        <v>4698</v>
      </c>
      <c r="BK58" s="17">
        <v>4939</v>
      </c>
      <c r="BL58" s="17">
        <v>5222</v>
      </c>
      <c r="BM58" s="17">
        <v>5499</v>
      </c>
      <c r="BN58" s="17">
        <v>5782</v>
      </c>
      <c r="BO58" s="17">
        <v>6127</v>
      </c>
      <c r="BP58" s="17">
        <v>6444</v>
      </c>
      <c r="BQ58" s="17">
        <v>6783</v>
      </c>
      <c r="BR58" s="17">
        <v>7125</v>
      </c>
      <c r="BS58" s="17">
        <v>7437</v>
      </c>
      <c r="BT58" s="17">
        <v>7702</v>
      </c>
      <c r="BU58" s="17">
        <v>7916</v>
      </c>
      <c r="BV58" s="17">
        <v>8117</v>
      </c>
      <c r="BW58" s="17">
        <v>8282</v>
      </c>
      <c r="BX58" s="17">
        <v>8404</v>
      </c>
      <c r="BY58" s="17">
        <v>8503</v>
      </c>
      <c r="BZ58" s="17">
        <v>8569</v>
      </c>
      <c r="CA58" s="17">
        <v>8609</v>
      </c>
      <c r="CB58" s="17">
        <v>8648</v>
      </c>
      <c r="CC58" s="17">
        <v>8683</v>
      </c>
      <c r="CD58" s="17">
        <v>8705</v>
      </c>
      <c r="CE58" s="17">
        <v>8723</v>
      </c>
      <c r="CF58" s="17">
        <v>8737</v>
      </c>
      <c r="CG58" s="17">
        <v>8747</v>
      </c>
      <c r="CH58" s="17">
        <v>8752</v>
      </c>
      <c r="CI58" s="17">
        <v>8757</v>
      </c>
      <c r="CJ58" s="17">
        <v>8760</v>
      </c>
      <c r="CK58" s="17">
        <v>8760</v>
      </c>
      <c r="CL58" s="17">
        <v>8760</v>
      </c>
      <c r="CM58" s="17">
        <v>8760</v>
      </c>
      <c r="CN58" s="17">
        <v>8760</v>
      </c>
      <c r="CO58" s="17">
        <v>8760</v>
      </c>
      <c r="CP58" s="17">
        <v>8760</v>
      </c>
      <c r="CQ58" s="17">
        <v>8760</v>
      </c>
      <c r="CR58" s="17">
        <v>8760</v>
      </c>
      <c r="CS58" s="17">
        <v>8760</v>
      </c>
      <c r="CT58" s="17">
        <v>8760</v>
      </c>
      <c r="CU58" s="17">
        <v>8760</v>
      </c>
      <c r="CV58" s="17">
        <v>8760</v>
      </c>
      <c r="CW58" s="17">
        <v>8760</v>
      </c>
      <c r="CX58" s="17">
        <v>8760</v>
      </c>
      <c r="CY58" s="17">
        <v>8760</v>
      </c>
      <c r="CZ58" s="17">
        <v>8760</v>
      </c>
      <c r="DA58" s="17">
        <v>8760</v>
      </c>
      <c r="DB58" s="17">
        <v>8760</v>
      </c>
    </row>
    <row r="59" spans="1:106" s="17" customFormat="1" x14ac:dyDescent="0.25">
      <c r="A59" s="22" t="s">
        <v>77</v>
      </c>
      <c r="B59" s="17" t="s">
        <v>81</v>
      </c>
      <c r="C59" s="17" t="s">
        <v>438</v>
      </c>
      <c r="D59" s="17" t="s">
        <v>519</v>
      </c>
      <c r="E59" s="17" t="s">
        <v>520</v>
      </c>
      <c r="F59" s="17">
        <v>102313</v>
      </c>
      <c r="G59" s="17">
        <v>0</v>
      </c>
      <c r="H59" s="17">
        <v>0</v>
      </c>
      <c r="I59" s="17">
        <v>0</v>
      </c>
      <c r="J59" s="17">
        <v>0</v>
      </c>
      <c r="K59" s="17">
        <v>0</v>
      </c>
      <c r="L59" s="17">
        <v>0</v>
      </c>
      <c r="M59" s="17">
        <v>0</v>
      </c>
      <c r="N59" s="17">
        <v>0</v>
      </c>
      <c r="O59" s="17">
        <v>0</v>
      </c>
      <c r="P59" s="17">
        <v>0</v>
      </c>
      <c r="Q59" s="17">
        <v>0</v>
      </c>
      <c r="R59" s="17">
        <v>0</v>
      </c>
      <c r="S59" s="17">
        <v>0</v>
      </c>
      <c r="T59" s="17">
        <v>0</v>
      </c>
      <c r="U59" s="17">
        <v>0</v>
      </c>
      <c r="V59" s="17">
        <v>0</v>
      </c>
      <c r="W59" s="17">
        <v>0</v>
      </c>
      <c r="X59" s="17">
        <v>0</v>
      </c>
      <c r="Y59" s="17">
        <v>0</v>
      </c>
      <c r="Z59" s="17">
        <v>0</v>
      </c>
      <c r="AA59" s="17">
        <v>0</v>
      </c>
      <c r="AB59" s="17">
        <v>0</v>
      </c>
      <c r="AC59" s="17">
        <v>0</v>
      </c>
      <c r="AD59" s="17">
        <v>0</v>
      </c>
      <c r="AE59" s="17">
        <v>0</v>
      </c>
      <c r="AF59" s="17">
        <v>0</v>
      </c>
      <c r="AG59" s="17">
        <v>0</v>
      </c>
      <c r="AH59" s="17">
        <v>0</v>
      </c>
      <c r="AI59" s="17">
        <v>0</v>
      </c>
      <c r="AJ59" s="17">
        <v>0</v>
      </c>
      <c r="AK59" s="17">
        <v>0</v>
      </c>
      <c r="AL59" s="17">
        <v>0</v>
      </c>
      <c r="AM59" s="17">
        <v>0</v>
      </c>
      <c r="AN59" s="17">
        <v>5</v>
      </c>
      <c r="AO59" s="17">
        <v>8</v>
      </c>
      <c r="AP59" s="17">
        <v>15</v>
      </c>
      <c r="AQ59" s="17">
        <v>23</v>
      </c>
      <c r="AR59" s="17">
        <v>36</v>
      </c>
      <c r="AS59" s="17">
        <v>56</v>
      </c>
      <c r="AT59" s="17">
        <v>70</v>
      </c>
      <c r="AU59" s="17">
        <v>95</v>
      </c>
      <c r="AV59" s="17">
        <v>137</v>
      </c>
      <c r="AW59" s="17">
        <v>175</v>
      </c>
      <c r="AX59" s="17">
        <v>233</v>
      </c>
      <c r="AY59" s="17">
        <v>307</v>
      </c>
      <c r="AZ59" s="17">
        <v>403</v>
      </c>
      <c r="BA59" s="17">
        <v>545</v>
      </c>
      <c r="BB59" s="17">
        <v>731</v>
      </c>
      <c r="BC59" s="17">
        <v>973</v>
      </c>
      <c r="BD59" s="17">
        <v>1238</v>
      </c>
      <c r="BE59" s="17">
        <v>1549</v>
      </c>
      <c r="BF59" s="17">
        <v>1899</v>
      </c>
      <c r="BG59" s="17">
        <v>2406</v>
      </c>
      <c r="BH59" s="17">
        <v>2920</v>
      </c>
      <c r="BI59" s="17">
        <v>3330</v>
      </c>
      <c r="BJ59" s="17">
        <v>3763</v>
      </c>
      <c r="BK59" s="17">
        <v>4045</v>
      </c>
      <c r="BL59" s="17">
        <v>4297</v>
      </c>
      <c r="BM59" s="17">
        <v>4597</v>
      </c>
      <c r="BN59" s="17">
        <v>4935</v>
      </c>
      <c r="BO59" s="17">
        <v>5265</v>
      </c>
      <c r="BP59" s="17">
        <v>5701</v>
      </c>
      <c r="BQ59" s="17">
        <v>6091</v>
      </c>
      <c r="BR59" s="17">
        <v>6555</v>
      </c>
      <c r="BS59" s="17">
        <v>6993</v>
      </c>
      <c r="BT59" s="17">
        <v>7376</v>
      </c>
      <c r="BU59" s="17">
        <v>7732</v>
      </c>
      <c r="BV59" s="17">
        <v>8003</v>
      </c>
      <c r="BW59" s="17">
        <v>8206</v>
      </c>
      <c r="BX59" s="17">
        <v>8345</v>
      </c>
      <c r="BY59" s="17">
        <v>8431</v>
      </c>
      <c r="BZ59" s="17">
        <v>8491</v>
      </c>
      <c r="CA59" s="17">
        <v>8529</v>
      </c>
      <c r="CB59" s="17">
        <v>8595</v>
      </c>
      <c r="CC59" s="17">
        <v>8649</v>
      </c>
      <c r="CD59" s="17">
        <v>8688</v>
      </c>
      <c r="CE59" s="17">
        <v>8723</v>
      </c>
      <c r="CF59" s="17">
        <v>8744</v>
      </c>
      <c r="CG59" s="17">
        <v>8753</v>
      </c>
      <c r="CH59" s="17">
        <v>8760</v>
      </c>
      <c r="CI59" s="17">
        <v>8760</v>
      </c>
      <c r="CJ59" s="17">
        <v>8760</v>
      </c>
      <c r="CK59" s="17">
        <v>8760</v>
      </c>
      <c r="CL59" s="17">
        <v>8760</v>
      </c>
      <c r="CM59" s="17">
        <v>8760</v>
      </c>
      <c r="CN59" s="17">
        <v>8760</v>
      </c>
      <c r="CO59" s="17">
        <v>8760</v>
      </c>
      <c r="CP59" s="17">
        <v>8760</v>
      </c>
      <c r="CQ59" s="17">
        <v>8760</v>
      </c>
      <c r="CR59" s="17">
        <v>8760</v>
      </c>
      <c r="CS59" s="17">
        <v>8760</v>
      </c>
      <c r="CT59" s="17">
        <v>8760</v>
      </c>
      <c r="CU59" s="17">
        <v>8760</v>
      </c>
      <c r="CV59" s="17">
        <v>8760</v>
      </c>
      <c r="CW59" s="17">
        <v>8760</v>
      </c>
      <c r="CX59" s="17">
        <v>8760</v>
      </c>
      <c r="CY59" s="17">
        <v>8760</v>
      </c>
      <c r="CZ59" s="17">
        <v>8760</v>
      </c>
      <c r="DA59" s="17">
        <v>8760</v>
      </c>
      <c r="DB59" s="17">
        <v>8760</v>
      </c>
    </row>
    <row r="60" spans="1:106" s="17" customFormat="1" x14ac:dyDescent="0.25">
      <c r="A60" s="22" t="s">
        <v>78</v>
      </c>
      <c r="B60" s="17" t="s">
        <v>82</v>
      </c>
      <c r="C60" s="17" t="s">
        <v>438</v>
      </c>
      <c r="D60" s="17" t="s">
        <v>521</v>
      </c>
      <c r="E60" s="17" t="s">
        <v>522</v>
      </c>
      <c r="F60" s="17">
        <v>102215</v>
      </c>
      <c r="G60" s="17">
        <v>0</v>
      </c>
      <c r="H60" s="17">
        <v>0</v>
      </c>
      <c r="I60" s="17">
        <v>0</v>
      </c>
      <c r="J60" s="17">
        <v>0</v>
      </c>
      <c r="K60" s="17">
        <v>0</v>
      </c>
      <c r="L60" s="17">
        <v>0</v>
      </c>
      <c r="M60" s="17">
        <v>0</v>
      </c>
      <c r="N60" s="17">
        <v>0</v>
      </c>
      <c r="O60" s="17">
        <v>0</v>
      </c>
      <c r="P60" s="17">
        <v>0</v>
      </c>
      <c r="Q60" s="17">
        <v>0</v>
      </c>
      <c r="R60" s="17">
        <v>0</v>
      </c>
      <c r="S60" s="17">
        <v>0</v>
      </c>
      <c r="T60" s="17">
        <v>0</v>
      </c>
      <c r="U60" s="17">
        <v>0</v>
      </c>
      <c r="V60" s="17">
        <v>0</v>
      </c>
      <c r="W60" s="17">
        <v>0</v>
      </c>
      <c r="X60" s="17">
        <v>0</v>
      </c>
      <c r="Y60" s="17">
        <v>0</v>
      </c>
      <c r="Z60" s="17">
        <v>0</v>
      </c>
      <c r="AA60" s="17">
        <v>0</v>
      </c>
      <c r="AB60" s="17">
        <v>0</v>
      </c>
      <c r="AC60" s="17">
        <v>0</v>
      </c>
      <c r="AD60" s="17">
        <v>0</v>
      </c>
      <c r="AE60" s="17">
        <v>0</v>
      </c>
      <c r="AF60" s="17">
        <v>0</v>
      </c>
      <c r="AG60" s="17">
        <v>0</v>
      </c>
      <c r="AH60" s="17">
        <v>0</v>
      </c>
      <c r="AI60" s="17">
        <v>0</v>
      </c>
      <c r="AJ60" s="17">
        <v>0</v>
      </c>
      <c r="AK60" s="17">
        <v>0</v>
      </c>
      <c r="AL60" s="17">
        <v>0</v>
      </c>
      <c r="AM60" s="17">
        <v>0</v>
      </c>
      <c r="AN60" s="17">
        <v>0</v>
      </c>
      <c r="AO60" s="17">
        <v>0</v>
      </c>
      <c r="AP60" s="17">
        <v>0</v>
      </c>
      <c r="AQ60" s="17">
        <v>0</v>
      </c>
      <c r="AR60" s="17">
        <v>1</v>
      </c>
      <c r="AS60" s="17">
        <v>8</v>
      </c>
      <c r="AT60" s="17">
        <v>22</v>
      </c>
      <c r="AU60" s="17">
        <v>53</v>
      </c>
      <c r="AV60" s="17">
        <v>112</v>
      </c>
      <c r="AW60" s="17">
        <v>177</v>
      </c>
      <c r="AX60" s="17">
        <v>263</v>
      </c>
      <c r="AY60" s="17">
        <v>356</v>
      </c>
      <c r="AZ60" s="17">
        <v>502</v>
      </c>
      <c r="BA60" s="17">
        <v>676</v>
      </c>
      <c r="BB60" s="17">
        <v>938</v>
      </c>
      <c r="BC60" s="17">
        <v>1283</v>
      </c>
      <c r="BD60" s="17">
        <v>1761</v>
      </c>
      <c r="BE60" s="17">
        <v>2280</v>
      </c>
      <c r="BF60" s="17">
        <v>2695</v>
      </c>
      <c r="BG60" s="17">
        <v>3097</v>
      </c>
      <c r="BH60" s="17">
        <v>3530</v>
      </c>
      <c r="BI60" s="17">
        <v>3902</v>
      </c>
      <c r="BJ60" s="17">
        <v>4272</v>
      </c>
      <c r="BK60" s="17">
        <v>4598</v>
      </c>
      <c r="BL60" s="17">
        <v>4956</v>
      </c>
      <c r="BM60" s="17">
        <v>5351</v>
      </c>
      <c r="BN60" s="17">
        <v>5802</v>
      </c>
      <c r="BO60" s="17">
        <v>6202</v>
      </c>
      <c r="BP60" s="17">
        <v>6551</v>
      </c>
      <c r="BQ60" s="17">
        <v>6893</v>
      </c>
      <c r="BR60" s="17">
        <v>7223</v>
      </c>
      <c r="BS60" s="17">
        <v>7502</v>
      </c>
      <c r="BT60" s="17">
        <v>7778</v>
      </c>
      <c r="BU60" s="17">
        <v>8032</v>
      </c>
      <c r="BV60" s="17">
        <v>8226</v>
      </c>
      <c r="BW60" s="17">
        <v>8372</v>
      </c>
      <c r="BX60" s="17">
        <v>8474</v>
      </c>
      <c r="BY60" s="17">
        <v>8551</v>
      </c>
      <c r="BZ60" s="17">
        <v>8611</v>
      </c>
      <c r="CA60" s="17">
        <v>8646</v>
      </c>
      <c r="CB60" s="17">
        <v>8679</v>
      </c>
      <c r="CC60" s="17">
        <v>8721</v>
      </c>
      <c r="CD60" s="17">
        <v>8743</v>
      </c>
      <c r="CE60" s="17">
        <v>8755</v>
      </c>
      <c r="CF60" s="17">
        <v>8758</v>
      </c>
      <c r="CG60" s="17">
        <v>8760</v>
      </c>
      <c r="CH60" s="17">
        <v>8760</v>
      </c>
      <c r="CI60" s="17">
        <v>8760</v>
      </c>
      <c r="CJ60" s="17">
        <v>8760</v>
      </c>
      <c r="CK60" s="17">
        <v>8760</v>
      </c>
      <c r="CL60" s="17">
        <v>8760</v>
      </c>
      <c r="CM60" s="17">
        <v>8760</v>
      </c>
      <c r="CN60" s="17">
        <v>8760</v>
      </c>
      <c r="CO60" s="17">
        <v>8760</v>
      </c>
      <c r="CP60" s="17">
        <v>8760</v>
      </c>
      <c r="CQ60" s="17">
        <v>8760</v>
      </c>
      <c r="CR60" s="17">
        <v>8760</v>
      </c>
      <c r="CS60" s="17">
        <v>8760</v>
      </c>
      <c r="CT60" s="17">
        <v>8760</v>
      </c>
      <c r="CU60" s="17">
        <v>8760</v>
      </c>
      <c r="CV60" s="17">
        <v>8760</v>
      </c>
      <c r="CW60" s="17">
        <v>8760</v>
      </c>
      <c r="CX60" s="17">
        <v>8760</v>
      </c>
      <c r="CY60" s="17">
        <v>8760</v>
      </c>
      <c r="CZ60" s="17">
        <v>8760</v>
      </c>
      <c r="DA60" s="17">
        <v>8760</v>
      </c>
      <c r="DB60" s="17">
        <v>8760</v>
      </c>
    </row>
    <row r="61" spans="1:106" s="17" customFormat="1" x14ac:dyDescent="0.25">
      <c r="A61" s="22" t="s">
        <v>79</v>
      </c>
      <c r="B61" s="17" t="s">
        <v>83</v>
      </c>
      <c r="C61" s="17" t="s">
        <v>438</v>
      </c>
      <c r="D61" s="17" t="s">
        <v>523</v>
      </c>
      <c r="E61" s="17" t="s">
        <v>524</v>
      </c>
      <c r="F61" s="17">
        <v>102121</v>
      </c>
      <c r="G61" s="17">
        <v>0</v>
      </c>
      <c r="H61" s="17">
        <v>0</v>
      </c>
      <c r="I61" s="17">
        <v>0</v>
      </c>
      <c r="J61" s="17">
        <v>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0</v>
      </c>
      <c r="AC61" s="17">
        <v>0</v>
      </c>
      <c r="AD61" s="17">
        <v>0</v>
      </c>
      <c r="AE61" s="17">
        <v>0</v>
      </c>
      <c r="AF61" s="17">
        <v>0</v>
      </c>
      <c r="AG61" s="17">
        <v>0</v>
      </c>
      <c r="AH61" s="17">
        <v>0</v>
      </c>
      <c r="AI61" s="17">
        <v>0</v>
      </c>
      <c r="AJ61" s="17">
        <v>0</v>
      </c>
      <c r="AK61" s="17">
        <v>0</v>
      </c>
      <c r="AL61" s="17">
        <v>0</v>
      </c>
      <c r="AM61" s="17">
        <v>0</v>
      </c>
      <c r="AN61" s="17">
        <v>0</v>
      </c>
      <c r="AO61" s="17">
        <v>0</v>
      </c>
      <c r="AP61" s="17">
        <v>0</v>
      </c>
      <c r="AQ61" s="17">
        <v>0</v>
      </c>
      <c r="AR61" s="17">
        <v>0</v>
      </c>
      <c r="AS61" s="17">
        <v>0</v>
      </c>
      <c r="AT61" s="17">
        <v>0</v>
      </c>
      <c r="AU61" s="17">
        <v>0</v>
      </c>
      <c r="AV61" s="17">
        <v>0</v>
      </c>
      <c r="AW61" s="17">
        <v>0</v>
      </c>
      <c r="AX61" s="17">
        <v>0</v>
      </c>
      <c r="AY61" s="17">
        <v>0</v>
      </c>
      <c r="AZ61" s="17">
        <v>6</v>
      </c>
      <c r="BA61" s="17">
        <v>25</v>
      </c>
      <c r="BB61" s="17">
        <v>59</v>
      </c>
      <c r="BC61" s="17">
        <v>182</v>
      </c>
      <c r="BD61" s="17">
        <v>440</v>
      </c>
      <c r="BE61" s="17">
        <v>778</v>
      </c>
      <c r="BF61" s="17">
        <v>1175</v>
      </c>
      <c r="BG61" s="17">
        <v>1683</v>
      </c>
      <c r="BH61" s="17">
        <v>2352</v>
      </c>
      <c r="BI61" s="17">
        <v>2863</v>
      </c>
      <c r="BJ61" s="17">
        <v>3416</v>
      </c>
      <c r="BK61" s="17">
        <v>3942</v>
      </c>
      <c r="BL61" s="17">
        <v>4280</v>
      </c>
      <c r="BM61" s="17">
        <v>4551</v>
      </c>
      <c r="BN61" s="17">
        <v>4952</v>
      </c>
      <c r="BO61" s="17">
        <v>5330</v>
      </c>
      <c r="BP61" s="17">
        <v>5667</v>
      </c>
      <c r="BQ61" s="17">
        <v>6069</v>
      </c>
      <c r="BR61" s="17">
        <v>6466</v>
      </c>
      <c r="BS61" s="17">
        <v>6941</v>
      </c>
      <c r="BT61" s="17">
        <v>7379</v>
      </c>
      <c r="BU61" s="17">
        <v>7749</v>
      </c>
      <c r="BV61" s="17">
        <v>8112</v>
      </c>
      <c r="BW61" s="17">
        <v>8369</v>
      </c>
      <c r="BX61" s="17">
        <v>8536</v>
      </c>
      <c r="BY61" s="17">
        <v>8654</v>
      </c>
      <c r="BZ61" s="17">
        <v>8711</v>
      </c>
      <c r="CA61" s="17">
        <v>8748</v>
      </c>
      <c r="CB61" s="17">
        <v>8760</v>
      </c>
      <c r="CC61" s="17">
        <v>8760</v>
      </c>
      <c r="CD61" s="17">
        <v>8760</v>
      </c>
      <c r="CE61" s="17">
        <v>8760</v>
      </c>
      <c r="CF61" s="17">
        <v>8760</v>
      </c>
      <c r="CG61" s="17">
        <v>8760</v>
      </c>
      <c r="CH61" s="17">
        <v>8760</v>
      </c>
      <c r="CI61" s="17">
        <v>8760</v>
      </c>
      <c r="CJ61" s="17">
        <v>8760</v>
      </c>
      <c r="CK61" s="17">
        <v>8760</v>
      </c>
      <c r="CL61" s="17">
        <v>8760</v>
      </c>
      <c r="CM61" s="17">
        <v>8760</v>
      </c>
      <c r="CN61" s="17">
        <v>8760</v>
      </c>
      <c r="CO61" s="17">
        <v>8760</v>
      </c>
      <c r="CP61" s="17">
        <v>8760</v>
      </c>
      <c r="CQ61" s="17">
        <v>8760</v>
      </c>
      <c r="CR61" s="17">
        <v>8760</v>
      </c>
      <c r="CS61" s="17">
        <v>8760</v>
      </c>
      <c r="CT61" s="17">
        <v>8760</v>
      </c>
      <c r="CU61" s="17">
        <v>8760</v>
      </c>
      <c r="CV61" s="17">
        <v>8760</v>
      </c>
      <c r="CW61" s="17">
        <v>8760</v>
      </c>
      <c r="CX61" s="17">
        <v>8760</v>
      </c>
      <c r="CY61" s="17">
        <v>8760</v>
      </c>
      <c r="CZ61" s="17">
        <v>8760</v>
      </c>
      <c r="DA61" s="17">
        <v>8760</v>
      </c>
      <c r="DB61" s="17">
        <v>8760</v>
      </c>
    </row>
    <row r="62" spans="1:106" s="17" customFormat="1" x14ac:dyDescent="0.25">
      <c r="A62" s="22" t="s">
        <v>80</v>
      </c>
      <c r="B62" s="17" t="s">
        <v>84</v>
      </c>
      <c r="C62" s="17" t="s">
        <v>438</v>
      </c>
      <c r="D62" s="17" t="s">
        <v>525</v>
      </c>
      <c r="E62" s="17" t="s">
        <v>526</v>
      </c>
      <c r="F62" s="17">
        <v>102708</v>
      </c>
      <c r="G62" s="17">
        <v>0</v>
      </c>
      <c r="H62" s="17">
        <v>0</v>
      </c>
      <c r="I62" s="17">
        <v>0</v>
      </c>
      <c r="J62" s="17">
        <v>0</v>
      </c>
      <c r="K62" s="17">
        <v>0</v>
      </c>
      <c r="L62" s="17">
        <v>0</v>
      </c>
      <c r="M62" s="17">
        <v>0</v>
      </c>
      <c r="N62" s="17">
        <v>0</v>
      </c>
      <c r="O62" s="17">
        <v>0</v>
      </c>
      <c r="P62" s="17">
        <v>0</v>
      </c>
      <c r="Q62" s="17">
        <v>0</v>
      </c>
      <c r="R62" s="17">
        <v>0</v>
      </c>
      <c r="S62" s="17">
        <v>0</v>
      </c>
      <c r="T62" s="17">
        <v>0</v>
      </c>
      <c r="U62" s="17">
        <v>0</v>
      </c>
      <c r="V62" s="17">
        <v>0</v>
      </c>
      <c r="W62" s="17">
        <v>0</v>
      </c>
      <c r="X62" s="17">
        <v>0</v>
      </c>
      <c r="Y62" s="17">
        <v>0</v>
      </c>
      <c r="Z62" s="17">
        <v>0</v>
      </c>
      <c r="AA62" s="17">
        <v>0</v>
      </c>
      <c r="AB62" s="17">
        <v>0</v>
      </c>
      <c r="AC62" s="17">
        <v>4</v>
      </c>
      <c r="AD62" s="17">
        <v>9</v>
      </c>
      <c r="AE62" s="17">
        <v>13</v>
      </c>
      <c r="AF62" s="17">
        <v>16</v>
      </c>
      <c r="AG62" s="17">
        <v>18</v>
      </c>
      <c r="AH62" s="17">
        <v>20</v>
      </c>
      <c r="AI62" s="17">
        <v>23</v>
      </c>
      <c r="AJ62" s="17">
        <v>42</v>
      </c>
      <c r="AK62" s="17">
        <v>66</v>
      </c>
      <c r="AL62" s="17">
        <v>76</v>
      </c>
      <c r="AM62" s="17">
        <v>85</v>
      </c>
      <c r="AN62" s="17">
        <v>101</v>
      </c>
      <c r="AO62" s="17">
        <v>114</v>
      </c>
      <c r="AP62" s="17">
        <v>131</v>
      </c>
      <c r="AQ62" s="17">
        <v>170</v>
      </c>
      <c r="AR62" s="17">
        <v>238</v>
      </c>
      <c r="AS62" s="17">
        <v>320</v>
      </c>
      <c r="AT62" s="17">
        <v>401</v>
      </c>
      <c r="AU62" s="17">
        <v>492</v>
      </c>
      <c r="AV62" s="17">
        <v>606</v>
      </c>
      <c r="AW62" s="17">
        <v>717</v>
      </c>
      <c r="AX62" s="17">
        <v>847</v>
      </c>
      <c r="AY62" s="17">
        <v>1051</v>
      </c>
      <c r="AZ62" s="17">
        <v>1246</v>
      </c>
      <c r="BA62" s="17">
        <v>1520</v>
      </c>
      <c r="BB62" s="17">
        <v>1794</v>
      </c>
      <c r="BC62" s="17">
        <v>2117</v>
      </c>
      <c r="BD62" s="17">
        <v>2464</v>
      </c>
      <c r="BE62" s="17">
        <v>2892</v>
      </c>
      <c r="BF62" s="17">
        <v>3293</v>
      </c>
      <c r="BG62" s="17">
        <v>3707</v>
      </c>
      <c r="BH62" s="17">
        <v>4049</v>
      </c>
      <c r="BI62" s="17">
        <v>4400</v>
      </c>
      <c r="BJ62" s="17">
        <v>4683</v>
      </c>
      <c r="BK62" s="17">
        <v>5034</v>
      </c>
      <c r="BL62" s="17">
        <v>5370</v>
      </c>
      <c r="BM62" s="17">
        <v>5675</v>
      </c>
      <c r="BN62" s="17">
        <v>6020</v>
      </c>
      <c r="BO62" s="17">
        <v>6368</v>
      </c>
      <c r="BP62" s="17">
        <v>6687</v>
      </c>
      <c r="BQ62" s="17">
        <v>6971</v>
      </c>
      <c r="BR62" s="17">
        <v>7246</v>
      </c>
      <c r="BS62" s="17">
        <v>7536</v>
      </c>
      <c r="BT62" s="17">
        <v>7794</v>
      </c>
      <c r="BU62" s="17">
        <v>8002</v>
      </c>
      <c r="BV62" s="17">
        <v>8209</v>
      </c>
      <c r="BW62" s="17">
        <v>8371</v>
      </c>
      <c r="BX62" s="17">
        <v>8479</v>
      </c>
      <c r="BY62" s="17">
        <v>8581</v>
      </c>
      <c r="BZ62" s="17">
        <v>8666</v>
      </c>
      <c r="CA62" s="17">
        <v>8714</v>
      </c>
      <c r="CB62" s="17">
        <v>8738</v>
      </c>
      <c r="CC62" s="17">
        <v>8755</v>
      </c>
      <c r="CD62" s="17">
        <v>8760</v>
      </c>
      <c r="CE62" s="17">
        <v>8760</v>
      </c>
      <c r="CF62" s="17">
        <v>8760</v>
      </c>
      <c r="CG62" s="17">
        <v>8760</v>
      </c>
      <c r="CH62" s="17">
        <v>8760</v>
      </c>
      <c r="CI62" s="17">
        <v>8760</v>
      </c>
      <c r="CJ62" s="17">
        <v>8760</v>
      </c>
      <c r="CK62" s="17">
        <v>8760</v>
      </c>
      <c r="CL62" s="17">
        <v>8760</v>
      </c>
      <c r="CM62" s="17">
        <v>8760</v>
      </c>
      <c r="CN62" s="17">
        <v>8760</v>
      </c>
      <c r="CO62" s="17">
        <v>8760</v>
      </c>
      <c r="CP62" s="17">
        <v>8760</v>
      </c>
      <c r="CQ62" s="17">
        <v>8760</v>
      </c>
      <c r="CR62" s="17">
        <v>8760</v>
      </c>
      <c r="CS62" s="17">
        <v>8760</v>
      </c>
      <c r="CT62" s="17">
        <v>8760</v>
      </c>
      <c r="CU62" s="17">
        <v>8760</v>
      </c>
      <c r="CV62" s="17">
        <v>8760</v>
      </c>
      <c r="CW62" s="17">
        <v>8760</v>
      </c>
      <c r="CX62" s="17">
        <v>8760</v>
      </c>
      <c r="CY62" s="17">
        <v>8760</v>
      </c>
      <c r="CZ62" s="17">
        <v>8760</v>
      </c>
      <c r="DA62" s="17">
        <v>8760</v>
      </c>
      <c r="DB62" s="17">
        <v>8760</v>
      </c>
    </row>
    <row r="63" spans="1:106" s="17" customFormat="1" x14ac:dyDescent="0.25">
      <c r="A63" s="22" t="s">
        <v>81</v>
      </c>
      <c r="B63" s="17" t="s">
        <v>86</v>
      </c>
      <c r="C63" s="17" t="s">
        <v>438</v>
      </c>
      <c r="D63" s="17" t="s">
        <v>527</v>
      </c>
      <c r="E63" s="17" t="s">
        <v>528</v>
      </c>
      <c r="F63" s="17">
        <v>102509</v>
      </c>
      <c r="G63" s="17">
        <v>0</v>
      </c>
      <c r="H63" s="17">
        <v>0</v>
      </c>
      <c r="I63" s="17">
        <v>0</v>
      </c>
      <c r="J63" s="17">
        <v>0</v>
      </c>
      <c r="K63" s="17">
        <v>0</v>
      </c>
      <c r="L63" s="17">
        <v>0</v>
      </c>
      <c r="M63" s="17">
        <v>0</v>
      </c>
      <c r="N63" s="17">
        <v>0</v>
      </c>
      <c r="O63" s="17">
        <v>0</v>
      </c>
      <c r="P63" s="17">
        <v>0</v>
      </c>
      <c r="Q63" s="17">
        <v>0</v>
      </c>
      <c r="R63" s="17">
        <v>0</v>
      </c>
      <c r="S63" s="17">
        <v>0</v>
      </c>
      <c r="T63" s="17">
        <v>0</v>
      </c>
      <c r="U63" s="17">
        <v>0</v>
      </c>
      <c r="V63" s="17">
        <v>0</v>
      </c>
      <c r="W63" s="17">
        <v>0</v>
      </c>
      <c r="X63" s="17">
        <v>0</v>
      </c>
      <c r="Y63" s="17">
        <v>0</v>
      </c>
      <c r="Z63" s="17">
        <v>0</v>
      </c>
      <c r="AA63" s="17">
        <v>0</v>
      </c>
      <c r="AB63" s="17">
        <v>0</v>
      </c>
      <c r="AC63" s="17">
        <v>0</v>
      </c>
      <c r="AD63" s="17">
        <v>0</v>
      </c>
      <c r="AE63" s="17">
        <v>0</v>
      </c>
      <c r="AF63" s="17">
        <v>0</v>
      </c>
      <c r="AG63" s="17">
        <v>0</v>
      </c>
      <c r="AH63" s="17">
        <v>0</v>
      </c>
      <c r="AI63" s="17">
        <v>15</v>
      </c>
      <c r="AJ63" s="17">
        <v>35</v>
      </c>
      <c r="AK63" s="17">
        <v>52</v>
      </c>
      <c r="AL63" s="17">
        <v>73</v>
      </c>
      <c r="AM63" s="17">
        <v>91</v>
      </c>
      <c r="AN63" s="17">
        <v>118</v>
      </c>
      <c r="AO63" s="17">
        <v>141</v>
      </c>
      <c r="AP63" s="17">
        <v>172</v>
      </c>
      <c r="AQ63" s="17">
        <v>206</v>
      </c>
      <c r="AR63" s="17">
        <v>258</v>
      </c>
      <c r="AS63" s="17">
        <v>302</v>
      </c>
      <c r="AT63" s="17">
        <v>360</v>
      </c>
      <c r="AU63" s="17">
        <v>442</v>
      </c>
      <c r="AV63" s="17">
        <v>539</v>
      </c>
      <c r="AW63" s="17">
        <v>674</v>
      </c>
      <c r="AX63" s="17">
        <v>809</v>
      </c>
      <c r="AY63" s="17">
        <v>1006</v>
      </c>
      <c r="AZ63" s="17">
        <v>1232</v>
      </c>
      <c r="BA63" s="17">
        <v>1500</v>
      </c>
      <c r="BB63" s="17">
        <v>1793</v>
      </c>
      <c r="BC63" s="17">
        <v>2089</v>
      </c>
      <c r="BD63" s="17">
        <v>2501</v>
      </c>
      <c r="BE63" s="17">
        <v>2901</v>
      </c>
      <c r="BF63" s="17">
        <v>3292</v>
      </c>
      <c r="BG63" s="17">
        <v>3680</v>
      </c>
      <c r="BH63" s="17">
        <v>3973</v>
      </c>
      <c r="BI63" s="17">
        <v>4248</v>
      </c>
      <c r="BJ63" s="17">
        <v>4564</v>
      </c>
      <c r="BK63" s="17">
        <v>4974</v>
      </c>
      <c r="BL63" s="17">
        <v>5316</v>
      </c>
      <c r="BM63" s="17">
        <v>5671</v>
      </c>
      <c r="BN63" s="17">
        <v>6013</v>
      </c>
      <c r="BO63" s="17">
        <v>6393</v>
      </c>
      <c r="BP63" s="17">
        <v>6731</v>
      </c>
      <c r="BQ63" s="17">
        <v>7019</v>
      </c>
      <c r="BR63" s="17">
        <v>7329</v>
      </c>
      <c r="BS63" s="17">
        <v>7603</v>
      </c>
      <c r="BT63" s="17">
        <v>7862</v>
      </c>
      <c r="BU63" s="17">
        <v>8076</v>
      </c>
      <c r="BV63" s="17">
        <v>8248</v>
      </c>
      <c r="BW63" s="17">
        <v>8413</v>
      </c>
      <c r="BX63" s="17">
        <v>8541</v>
      </c>
      <c r="BY63" s="17">
        <v>8634</v>
      </c>
      <c r="BZ63" s="17">
        <v>8701</v>
      </c>
      <c r="CA63" s="17">
        <v>8738</v>
      </c>
      <c r="CB63" s="17">
        <v>8751</v>
      </c>
      <c r="CC63" s="17">
        <v>8760</v>
      </c>
      <c r="CD63" s="17">
        <v>8760</v>
      </c>
      <c r="CE63" s="17">
        <v>8760</v>
      </c>
      <c r="CF63" s="17">
        <v>8760</v>
      </c>
      <c r="CG63" s="17">
        <v>8760</v>
      </c>
      <c r="CH63" s="17">
        <v>8760</v>
      </c>
      <c r="CI63" s="17">
        <v>8760</v>
      </c>
      <c r="CJ63" s="17">
        <v>8760</v>
      </c>
      <c r="CK63" s="17">
        <v>8760</v>
      </c>
      <c r="CL63" s="17">
        <v>8760</v>
      </c>
      <c r="CM63" s="17">
        <v>8760</v>
      </c>
      <c r="CN63" s="17">
        <v>8760</v>
      </c>
      <c r="CO63" s="17">
        <v>8760</v>
      </c>
      <c r="CP63" s="17">
        <v>8760</v>
      </c>
      <c r="CQ63" s="17">
        <v>8760</v>
      </c>
      <c r="CR63" s="17">
        <v>8760</v>
      </c>
      <c r="CS63" s="17">
        <v>8760</v>
      </c>
      <c r="CT63" s="17">
        <v>8760</v>
      </c>
      <c r="CU63" s="17">
        <v>8760</v>
      </c>
      <c r="CV63" s="17">
        <v>8760</v>
      </c>
      <c r="CW63" s="17">
        <v>8760</v>
      </c>
      <c r="CX63" s="17">
        <v>8760</v>
      </c>
      <c r="CY63" s="17">
        <v>8760</v>
      </c>
      <c r="CZ63" s="17">
        <v>8760</v>
      </c>
      <c r="DA63" s="17">
        <v>8760</v>
      </c>
      <c r="DB63" s="17">
        <v>8760</v>
      </c>
    </row>
    <row r="64" spans="1:106" s="17" customFormat="1" x14ac:dyDescent="0.25">
      <c r="A64" s="22" t="s">
        <v>82</v>
      </c>
      <c r="B64" s="17" t="s">
        <v>87</v>
      </c>
      <c r="C64" s="17" t="s">
        <v>438</v>
      </c>
      <c r="D64" s="17" t="s">
        <v>366</v>
      </c>
      <c r="E64" s="17" t="s">
        <v>367</v>
      </c>
      <c r="F64" s="17">
        <v>102631</v>
      </c>
      <c r="G64" s="17">
        <v>0</v>
      </c>
      <c r="H64" s="17">
        <v>0</v>
      </c>
      <c r="I64" s="17">
        <v>0</v>
      </c>
      <c r="J64" s="17">
        <v>0</v>
      </c>
      <c r="K64" s="17">
        <v>0</v>
      </c>
      <c r="L64" s="17">
        <v>0</v>
      </c>
      <c r="M64" s="17">
        <v>0</v>
      </c>
      <c r="N64" s="17">
        <v>0</v>
      </c>
      <c r="O64" s="17">
        <v>0</v>
      </c>
      <c r="P64" s="17">
        <v>0</v>
      </c>
      <c r="Q64" s="17">
        <v>0</v>
      </c>
      <c r="R64" s="17">
        <v>0</v>
      </c>
      <c r="S64" s="17">
        <v>0</v>
      </c>
      <c r="T64" s="17">
        <v>0</v>
      </c>
      <c r="U64" s="17">
        <v>0</v>
      </c>
      <c r="V64" s="17">
        <v>0</v>
      </c>
      <c r="W64" s="17">
        <v>0</v>
      </c>
      <c r="X64" s="17">
        <v>0</v>
      </c>
      <c r="Y64" s="17">
        <v>0</v>
      </c>
      <c r="Z64" s="17">
        <v>0</v>
      </c>
      <c r="AA64" s="17">
        <v>0</v>
      </c>
      <c r="AB64" s="17">
        <v>0</v>
      </c>
      <c r="AC64" s="17">
        <v>0</v>
      </c>
      <c r="AD64" s="17">
        <v>0</v>
      </c>
      <c r="AE64" s="17">
        <v>0</v>
      </c>
      <c r="AF64" s="17">
        <v>0</v>
      </c>
      <c r="AG64" s="17">
        <v>0</v>
      </c>
      <c r="AH64" s="17">
        <v>0</v>
      </c>
      <c r="AI64" s="17">
        <v>1</v>
      </c>
      <c r="AJ64" s="17">
        <v>5</v>
      </c>
      <c r="AK64" s="17">
        <v>11</v>
      </c>
      <c r="AL64" s="17">
        <v>19</v>
      </c>
      <c r="AM64" s="17">
        <v>28</v>
      </c>
      <c r="AN64" s="17">
        <v>47</v>
      </c>
      <c r="AO64" s="17">
        <v>69</v>
      </c>
      <c r="AP64" s="17">
        <v>97</v>
      </c>
      <c r="AQ64" s="17">
        <v>112</v>
      </c>
      <c r="AR64" s="17">
        <v>148</v>
      </c>
      <c r="AS64" s="17">
        <v>189</v>
      </c>
      <c r="AT64" s="17">
        <v>236</v>
      </c>
      <c r="AU64" s="17">
        <v>300</v>
      </c>
      <c r="AV64" s="17">
        <v>407</v>
      </c>
      <c r="AW64" s="17">
        <v>538</v>
      </c>
      <c r="AX64" s="17">
        <v>704</v>
      </c>
      <c r="AY64" s="17">
        <v>896</v>
      </c>
      <c r="AZ64" s="17">
        <v>1079</v>
      </c>
      <c r="BA64" s="17">
        <v>1354</v>
      </c>
      <c r="BB64" s="17">
        <v>1693</v>
      </c>
      <c r="BC64" s="17">
        <v>2013</v>
      </c>
      <c r="BD64" s="17">
        <v>2358</v>
      </c>
      <c r="BE64" s="17">
        <v>2789</v>
      </c>
      <c r="BF64" s="17">
        <v>3149</v>
      </c>
      <c r="BG64" s="17">
        <v>3531</v>
      </c>
      <c r="BH64" s="17">
        <v>3950</v>
      </c>
      <c r="BI64" s="17">
        <v>4322</v>
      </c>
      <c r="BJ64" s="17">
        <v>4653</v>
      </c>
      <c r="BK64" s="17">
        <v>5023</v>
      </c>
      <c r="BL64" s="17">
        <v>5325</v>
      </c>
      <c r="BM64" s="17">
        <v>5629</v>
      </c>
      <c r="BN64" s="17">
        <v>5925</v>
      </c>
      <c r="BO64" s="17">
        <v>6215</v>
      </c>
      <c r="BP64" s="17">
        <v>6521</v>
      </c>
      <c r="BQ64" s="17">
        <v>6842</v>
      </c>
      <c r="BR64" s="17">
        <v>7139</v>
      </c>
      <c r="BS64" s="17">
        <v>7405</v>
      </c>
      <c r="BT64" s="17">
        <v>7654</v>
      </c>
      <c r="BU64" s="17">
        <v>7878</v>
      </c>
      <c r="BV64" s="17">
        <v>8074</v>
      </c>
      <c r="BW64" s="17">
        <v>8257</v>
      </c>
      <c r="BX64" s="17">
        <v>8396</v>
      </c>
      <c r="BY64" s="17">
        <v>8523</v>
      </c>
      <c r="BZ64" s="17">
        <v>8584</v>
      </c>
      <c r="CA64" s="17">
        <v>8641</v>
      </c>
      <c r="CB64" s="17">
        <v>8685</v>
      </c>
      <c r="CC64" s="17">
        <v>8715</v>
      </c>
      <c r="CD64" s="17">
        <v>8741</v>
      </c>
      <c r="CE64" s="17">
        <v>8751</v>
      </c>
      <c r="CF64" s="17">
        <v>8754</v>
      </c>
      <c r="CG64" s="17">
        <v>8756</v>
      </c>
      <c r="CH64" s="17">
        <v>8756</v>
      </c>
      <c r="CI64" s="17">
        <v>8760</v>
      </c>
      <c r="CJ64" s="17">
        <v>8760</v>
      </c>
      <c r="CK64" s="17">
        <v>8760</v>
      </c>
      <c r="CL64" s="17">
        <v>8760</v>
      </c>
      <c r="CM64" s="17">
        <v>8760</v>
      </c>
      <c r="CN64" s="17">
        <v>8760</v>
      </c>
      <c r="CO64" s="17">
        <v>8760</v>
      </c>
      <c r="CP64" s="17">
        <v>8760</v>
      </c>
      <c r="CQ64" s="17">
        <v>8760</v>
      </c>
      <c r="CR64" s="17">
        <v>8760</v>
      </c>
      <c r="CS64" s="17">
        <v>8760</v>
      </c>
      <c r="CT64" s="17">
        <v>8760</v>
      </c>
      <c r="CU64" s="17">
        <v>8760</v>
      </c>
      <c r="CV64" s="17">
        <v>8760</v>
      </c>
      <c r="CW64" s="17">
        <v>8760</v>
      </c>
      <c r="CX64" s="17">
        <v>8760</v>
      </c>
      <c r="CY64" s="17">
        <v>8760</v>
      </c>
      <c r="CZ64" s="17">
        <v>8760</v>
      </c>
      <c r="DA64" s="17">
        <v>8760</v>
      </c>
      <c r="DB64" s="17">
        <v>8760</v>
      </c>
    </row>
    <row r="65" spans="1:106" s="17" customFormat="1" x14ac:dyDescent="0.25">
      <c r="A65" s="22" t="s">
        <v>83</v>
      </c>
      <c r="B65" s="17" t="s">
        <v>88</v>
      </c>
      <c r="C65" s="17" t="s">
        <v>438</v>
      </c>
      <c r="D65" s="17" t="s">
        <v>529</v>
      </c>
      <c r="E65" s="17" t="s">
        <v>530</v>
      </c>
      <c r="F65" s="17">
        <v>102408</v>
      </c>
      <c r="G65" s="17">
        <v>0</v>
      </c>
      <c r="H65" s="17">
        <v>0</v>
      </c>
      <c r="I65" s="17">
        <v>0</v>
      </c>
      <c r="J65" s="17">
        <v>0</v>
      </c>
      <c r="K65" s="17">
        <v>0</v>
      </c>
      <c r="L65" s="17">
        <v>0</v>
      </c>
      <c r="M65" s="17">
        <v>0</v>
      </c>
      <c r="N65" s="17">
        <v>0</v>
      </c>
      <c r="O65" s="17">
        <v>0</v>
      </c>
      <c r="P65" s="17">
        <v>0</v>
      </c>
      <c r="Q65" s="17">
        <v>0</v>
      </c>
      <c r="R65" s="17">
        <v>0</v>
      </c>
      <c r="S65" s="17">
        <v>0</v>
      </c>
      <c r="T65" s="17">
        <v>0</v>
      </c>
      <c r="U65" s="17">
        <v>0</v>
      </c>
      <c r="V65" s="17">
        <v>0</v>
      </c>
      <c r="W65" s="17">
        <v>0</v>
      </c>
      <c r="X65" s="17">
        <v>0</v>
      </c>
      <c r="Y65" s="17">
        <v>0</v>
      </c>
      <c r="Z65" s="17">
        <v>0</v>
      </c>
      <c r="AA65" s="17">
        <v>0</v>
      </c>
      <c r="AB65" s="17">
        <v>0</v>
      </c>
      <c r="AC65" s="17">
        <v>0</v>
      </c>
      <c r="AD65" s="17">
        <v>0</v>
      </c>
      <c r="AE65" s="17">
        <v>0</v>
      </c>
      <c r="AF65" s="17">
        <v>0</v>
      </c>
      <c r="AG65" s="17">
        <v>0</v>
      </c>
      <c r="AH65" s="17">
        <v>0</v>
      </c>
      <c r="AI65" s="17">
        <v>0</v>
      </c>
      <c r="AJ65" s="17">
        <v>0</v>
      </c>
      <c r="AK65" s="17">
        <v>0</v>
      </c>
      <c r="AL65" s="17">
        <v>0</v>
      </c>
      <c r="AM65" s="17">
        <v>0</v>
      </c>
      <c r="AN65" s="17">
        <v>0</v>
      </c>
      <c r="AO65" s="17">
        <v>1</v>
      </c>
      <c r="AP65" s="17">
        <v>7</v>
      </c>
      <c r="AQ65" s="17">
        <v>16</v>
      </c>
      <c r="AR65" s="17">
        <v>31</v>
      </c>
      <c r="AS65" s="17">
        <v>53</v>
      </c>
      <c r="AT65" s="17">
        <v>99</v>
      </c>
      <c r="AU65" s="17">
        <v>174</v>
      </c>
      <c r="AV65" s="17">
        <v>258</v>
      </c>
      <c r="AW65" s="17">
        <v>340</v>
      </c>
      <c r="AX65" s="17">
        <v>429</v>
      </c>
      <c r="AY65" s="17">
        <v>557</v>
      </c>
      <c r="AZ65" s="17">
        <v>711</v>
      </c>
      <c r="BA65" s="17">
        <v>920</v>
      </c>
      <c r="BB65" s="17">
        <v>1209</v>
      </c>
      <c r="BC65" s="17">
        <v>1519</v>
      </c>
      <c r="BD65" s="17">
        <v>1913</v>
      </c>
      <c r="BE65" s="17">
        <v>2451</v>
      </c>
      <c r="BF65" s="17">
        <v>2870</v>
      </c>
      <c r="BG65" s="17">
        <v>3241</v>
      </c>
      <c r="BH65" s="17">
        <v>3640</v>
      </c>
      <c r="BI65" s="17">
        <v>3985</v>
      </c>
      <c r="BJ65" s="17">
        <v>4298</v>
      </c>
      <c r="BK65" s="17">
        <v>4618</v>
      </c>
      <c r="BL65" s="17">
        <v>4940</v>
      </c>
      <c r="BM65" s="17">
        <v>5262</v>
      </c>
      <c r="BN65" s="17">
        <v>5554</v>
      </c>
      <c r="BO65" s="17">
        <v>5895</v>
      </c>
      <c r="BP65" s="17">
        <v>6226</v>
      </c>
      <c r="BQ65" s="17">
        <v>6579</v>
      </c>
      <c r="BR65" s="17">
        <v>6976</v>
      </c>
      <c r="BS65" s="17">
        <v>7306</v>
      </c>
      <c r="BT65" s="17">
        <v>7567</v>
      </c>
      <c r="BU65" s="17">
        <v>7812</v>
      </c>
      <c r="BV65" s="17">
        <v>8069</v>
      </c>
      <c r="BW65" s="17">
        <v>8265</v>
      </c>
      <c r="BX65" s="17">
        <v>8417</v>
      </c>
      <c r="BY65" s="17">
        <v>8527</v>
      </c>
      <c r="BZ65" s="17">
        <v>8620</v>
      </c>
      <c r="CA65" s="17">
        <v>8680</v>
      </c>
      <c r="CB65" s="17">
        <v>8721</v>
      </c>
      <c r="CC65" s="17">
        <v>8742</v>
      </c>
      <c r="CD65" s="17">
        <v>8755</v>
      </c>
      <c r="CE65" s="17">
        <v>8760</v>
      </c>
      <c r="CF65" s="17">
        <v>8760</v>
      </c>
      <c r="CG65" s="17">
        <v>8760</v>
      </c>
      <c r="CH65" s="17">
        <v>8760</v>
      </c>
      <c r="CI65" s="17">
        <v>8760</v>
      </c>
      <c r="CJ65" s="17">
        <v>8760</v>
      </c>
      <c r="CK65" s="17">
        <v>8760</v>
      </c>
      <c r="CL65" s="17">
        <v>8760</v>
      </c>
      <c r="CM65" s="17">
        <v>8760</v>
      </c>
      <c r="CN65" s="17">
        <v>8760</v>
      </c>
      <c r="CO65" s="17">
        <v>8760</v>
      </c>
      <c r="CP65" s="17">
        <v>8760</v>
      </c>
      <c r="CQ65" s="17">
        <v>8760</v>
      </c>
      <c r="CR65" s="17">
        <v>8760</v>
      </c>
      <c r="CS65" s="17">
        <v>8760</v>
      </c>
      <c r="CT65" s="17">
        <v>8760</v>
      </c>
      <c r="CU65" s="17">
        <v>8760</v>
      </c>
      <c r="CV65" s="17">
        <v>8760</v>
      </c>
      <c r="CW65" s="17">
        <v>8760</v>
      </c>
      <c r="CX65" s="17">
        <v>8760</v>
      </c>
      <c r="CY65" s="17">
        <v>8760</v>
      </c>
      <c r="CZ65" s="17">
        <v>8760</v>
      </c>
      <c r="DA65" s="17">
        <v>8760</v>
      </c>
      <c r="DB65" s="17">
        <v>8760</v>
      </c>
    </row>
    <row r="66" spans="1:106" s="17" customFormat="1" x14ac:dyDescent="0.25">
      <c r="A66" s="22" t="s">
        <v>84</v>
      </c>
      <c r="B66" s="17" t="s">
        <v>89</v>
      </c>
      <c r="C66" s="17" t="s">
        <v>438</v>
      </c>
      <c r="D66" s="17" t="s">
        <v>531</v>
      </c>
      <c r="E66" s="17" t="s">
        <v>532</v>
      </c>
      <c r="F66" s="17">
        <v>102412</v>
      </c>
      <c r="G66" s="17">
        <v>0</v>
      </c>
      <c r="H66" s="17">
        <v>0</v>
      </c>
      <c r="I66" s="17">
        <v>0</v>
      </c>
      <c r="J66" s="17">
        <v>0</v>
      </c>
      <c r="K66" s="17">
        <v>0</v>
      </c>
      <c r="L66" s="17">
        <v>0</v>
      </c>
      <c r="M66" s="17">
        <v>0</v>
      </c>
      <c r="N66" s="17">
        <v>0</v>
      </c>
      <c r="O66" s="17">
        <v>0</v>
      </c>
      <c r="P66" s="17">
        <v>0</v>
      </c>
      <c r="Q66" s="17">
        <v>0</v>
      </c>
      <c r="R66" s="17">
        <v>0</v>
      </c>
      <c r="S66" s="17">
        <v>0</v>
      </c>
      <c r="T66" s="17">
        <v>0</v>
      </c>
      <c r="U66" s="17">
        <v>0</v>
      </c>
      <c r="V66" s="17">
        <v>0</v>
      </c>
      <c r="W66" s="17">
        <v>0</v>
      </c>
      <c r="X66" s="17">
        <v>0</v>
      </c>
      <c r="Y66" s="17">
        <v>0</v>
      </c>
      <c r="Z66" s="17">
        <v>0</v>
      </c>
      <c r="AA66" s="17">
        <v>0</v>
      </c>
      <c r="AB66" s="17">
        <v>0</v>
      </c>
      <c r="AC66" s="17">
        <v>0</v>
      </c>
      <c r="AD66" s="17">
        <v>0</v>
      </c>
      <c r="AE66" s="17">
        <v>0</v>
      </c>
      <c r="AF66" s="17">
        <v>0</v>
      </c>
      <c r="AG66" s="17">
        <v>0</v>
      </c>
      <c r="AH66" s="17">
        <v>0</v>
      </c>
      <c r="AI66" s="17">
        <v>0</v>
      </c>
      <c r="AJ66" s="17">
        <v>0</v>
      </c>
      <c r="AK66" s="17">
        <v>0</v>
      </c>
      <c r="AL66" s="17">
        <v>0</v>
      </c>
      <c r="AM66" s="17">
        <v>0</v>
      </c>
      <c r="AN66" s="17">
        <v>0</v>
      </c>
      <c r="AO66" s="17">
        <v>11</v>
      </c>
      <c r="AP66" s="17">
        <v>14</v>
      </c>
      <c r="AQ66" s="17">
        <v>18</v>
      </c>
      <c r="AR66" s="17">
        <v>35</v>
      </c>
      <c r="AS66" s="17">
        <v>66</v>
      </c>
      <c r="AT66" s="17">
        <v>117</v>
      </c>
      <c r="AU66" s="17">
        <v>173</v>
      </c>
      <c r="AV66" s="17">
        <v>257</v>
      </c>
      <c r="AW66" s="17">
        <v>376</v>
      </c>
      <c r="AX66" s="17">
        <v>518</v>
      </c>
      <c r="AY66" s="17">
        <v>656</v>
      </c>
      <c r="AZ66" s="17">
        <v>811</v>
      </c>
      <c r="BA66" s="17">
        <v>1012</v>
      </c>
      <c r="BB66" s="17">
        <v>1243</v>
      </c>
      <c r="BC66" s="17">
        <v>1511</v>
      </c>
      <c r="BD66" s="17">
        <v>1882</v>
      </c>
      <c r="BE66" s="17">
        <v>2370</v>
      </c>
      <c r="BF66" s="17">
        <v>2747</v>
      </c>
      <c r="BG66" s="17">
        <v>3162</v>
      </c>
      <c r="BH66" s="17">
        <v>3523</v>
      </c>
      <c r="BI66" s="17">
        <v>3904</v>
      </c>
      <c r="BJ66" s="17">
        <v>4292</v>
      </c>
      <c r="BK66" s="17">
        <v>4681</v>
      </c>
      <c r="BL66" s="17">
        <v>5001</v>
      </c>
      <c r="BM66" s="17">
        <v>5322</v>
      </c>
      <c r="BN66" s="17">
        <v>5654</v>
      </c>
      <c r="BO66" s="17">
        <v>5978</v>
      </c>
      <c r="BP66" s="17">
        <v>6345</v>
      </c>
      <c r="BQ66" s="17">
        <v>6673</v>
      </c>
      <c r="BR66" s="17">
        <v>6978</v>
      </c>
      <c r="BS66" s="17">
        <v>7299</v>
      </c>
      <c r="BT66" s="17">
        <v>7598</v>
      </c>
      <c r="BU66" s="17">
        <v>7843</v>
      </c>
      <c r="BV66" s="17">
        <v>8064</v>
      </c>
      <c r="BW66" s="17">
        <v>8231</v>
      </c>
      <c r="BX66" s="17">
        <v>8410</v>
      </c>
      <c r="BY66" s="17">
        <v>8520</v>
      </c>
      <c r="BZ66" s="17">
        <v>8607</v>
      </c>
      <c r="CA66" s="17">
        <v>8666</v>
      </c>
      <c r="CB66" s="17">
        <v>8711</v>
      </c>
      <c r="CC66" s="17">
        <v>8741</v>
      </c>
      <c r="CD66" s="17">
        <v>8756</v>
      </c>
      <c r="CE66" s="17">
        <v>8760</v>
      </c>
      <c r="CF66" s="17">
        <v>8760</v>
      </c>
      <c r="CG66" s="17">
        <v>8760</v>
      </c>
      <c r="CH66" s="17">
        <v>8760</v>
      </c>
      <c r="CI66" s="17">
        <v>8760</v>
      </c>
      <c r="CJ66" s="17">
        <v>8760</v>
      </c>
      <c r="CK66" s="17">
        <v>8760</v>
      </c>
      <c r="CL66" s="17">
        <v>8760</v>
      </c>
      <c r="CM66" s="17">
        <v>8760</v>
      </c>
      <c r="CN66" s="17">
        <v>8760</v>
      </c>
      <c r="CO66" s="17">
        <v>8760</v>
      </c>
      <c r="CP66" s="17">
        <v>8760</v>
      </c>
      <c r="CQ66" s="17">
        <v>8760</v>
      </c>
      <c r="CR66" s="17">
        <v>8760</v>
      </c>
      <c r="CS66" s="17">
        <v>8760</v>
      </c>
      <c r="CT66" s="17">
        <v>8760</v>
      </c>
      <c r="CU66" s="17">
        <v>8760</v>
      </c>
      <c r="CV66" s="17">
        <v>8760</v>
      </c>
      <c r="CW66" s="17">
        <v>8760</v>
      </c>
      <c r="CX66" s="17">
        <v>8760</v>
      </c>
      <c r="CY66" s="17">
        <v>8760</v>
      </c>
      <c r="CZ66" s="17">
        <v>8760</v>
      </c>
      <c r="DA66" s="17">
        <v>8760</v>
      </c>
      <c r="DB66" s="17">
        <v>8760</v>
      </c>
    </row>
    <row r="67" spans="1:106" s="17" customFormat="1" x14ac:dyDescent="0.25">
      <c r="A67" s="22" t="s">
        <v>85</v>
      </c>
      <c r="B67" s="17" t="s">
        <v>91</v>
      </c>
      <c r="C67" s="17" t="s">
        <v>438</v>
      </c>
      <c r="D67" s="17" t="s">
        <v>533</v>
      </c>
      <c r="E67" s="17" t="s">
        <v>534</v>
      </c>
      <c r="F67" s="17">
        <v>102528</v>
      </c>
      <c r="G67" s="17">
        <v>0</v>
      </c>
      <c r="H67" s="17">
        <v>0</v>
      </c>
      <c r="I67" s="17">
        <v>0</v>
      </c>
      <c r="J67" s="17">
        <v>0</v>
      </c>
      <c r="K67" s="17">
        <v>0</v>
      </c>
      <c r="L67" s="17">
        <v>0</v>
      </c>
      <c r="M67" s="17">
        <v>0</v>
      </c>
      <c r="N67" s="17">
        <v>0</v>
      </c>
      <c r="O67" s="17">
        <v>0</v>
      </c>
      <c r="P67" s="17">
        <v>0</v>
      </c>
      <c r="Q67" s="17">
        <v>0</v>
      </c>
      <c r="R67" s="17">
        <v>0</v>
      </c>
      <c r="S67" s="17">
        <v>0</v>
      </c>
      <c r="T67" s="17">
        <v>0</v>
      </c>
      <c r="U67" s="17">
        <v>0</v>
      </c>
      <c r="V67" s="17">
        <v>0</v>
      </c>
      <c r="W67" s="17">
        <v>0</v>
      </c>
      <c r="X67" s="17">
        <v>0</v>
      </c>
      <c r="Y67" s="17">
        <v>0</v>
      </c>
      <c r="Z67" s="17">
        <v>0</v>
      </c>
      <c r="AA67" s="17">
        <v>0</v>
      </c>
      <c r="AB67" s="17">
        <v>0</v>
      </c>
      <c r="AC67" s="17">
        <v>0</v>
      </c>
      <c r="AD67" s="17">
        <v>0</v>
      </c>
      <c r="AE67" s="17">
        <v>0</v>
      </c>
      <c r="AF67" s="17">
        <v>0</v>
      </c>
      <c r="AG67" s="17">
        <v>0</v>
      </c>
      <c r="AH67" s="17">
        <v>6</v>
      </c>
      <c r="AI67" s="17">
        <v>15</v>
      </c>
      <c r="AJ67" s="17">
        <v>20</v>
      </c>
      <c r="AK67" s="17">
        <v>22</v>
      </c>
      <c r="AL67" s="17">
        <v>28</v>
      </c>
      <c r="AM67" s="17">
        <v>52</v>
      </c>
      <c r="AN67" s="17">
        <v>75</v>
      </c>
      <c r="AO67" s="17">
        <v>93</v>
      </c>
      <c r="AP67" s="17">
        <v>116</v>
      </c>
      <c r="AQ67" s="17">
        <v>133</v>
      </c>
      <c r="AR67" s="17">
        <v>155</v>
      </c>
      <c r="AS67" s="17">
        <v>188</v>
      </c>
      <c r="AT67" s="17">
        <v>225</v>
      </c>
      <c r="AU67" s="17">
        <v>291</v>
      </c>
      <c r="AV67" s="17">
        <v>367</v>
      </c>
      <c r="AW67" s="17">
        <v>478</v>
      </c>
      <c r="AX67" s="17">
        <v>611</v>
      </c>
      <c r="AY67" s="17">
        <v>779</v>
      </c>
      <c r="AZ67" s="17">
        <v>965</v>
      </c>
      <c r="BA67" s="17">
        <v>1239</v>
      </c>
      <c r="BB67" s="17">
        <v>1544</v>
      </c>
      <c r="BC67" s="17">
        <v>1857</v>
      </c>
      <c r="BD67" s="17">
        <v>2217</v>
      </c>
      <c r="BE67" s="17">
        <v>2551</v>
      </c>
      <c r="BF67" s="17">
        <v>2913</v>
      </c>
      <c r="BG67" s="17">
        <v>3246</v>
      </c>
      <c r="BH67" s="17">
        <v>3588</v>
      </c>
      <c r="BI67" s="17">
        <v>3954</v>
      </c>
      <c r="BJ67" s="17">
        <v>4303</v>
      </c>
      <c r="BK67" s="17">
        <v>4663</v>
      </c>
      <c r="BL67" s="17">
        <v>5031</v>
      </c>
      <c r="BM67" s="17">
        <v>5388</v>
      </c>
      <c r="BN67" s="17">
        <v>5713</v>
      </c>
      <c r="BO67" s="17">
        <v>6050</v>
      </c>
      <c r="BP67" s="17">
        <v>6404</v>
      </c>
      <c r="BQ67" s="17">
        <v>6779</v>
      </c>
      <c r="BR67" s="17">
        <v>7116</v>
      </c>
      <c r="BS67" s="17">
        <v>7395</v>
      </c>
      <c r="BT67" s="17">
        <v>7690</v>
      </c>
      <c r="BU67" s="17">
        <v>7921</v>
      </c>
      <c r="BV67" s="17">
        <v>8117</v>
      </c>
      <c r="BW67" s="17">
        <v>8258</v>
      </c>
      <c r="BX67" s="17">
        <v>8378</v>
      </c>
      <c r="BY67" s="17">
        <v>8479</v>
      </c>
      <c r="BZ67" s="17">
        <v>8556</v>
      </c>
      <c r="CA67" s="17">
        <v>8618</v>
      </c>
      <c r="CB67" s="17">
        <v>8656</v>
      </c>
      <c r="CC67" s="17">
        <v>8702</v>
      </c>
      <c r="CD67" s="17">
        <v>8726</v>
      </c>
      <c r="CE67" s="17">
        <v>8748</v>
      </c>
      <c r="CF67" s="17">
        <v>8756</v>
      </c>
      <c r="CG67" s="17">
        <v>8760</v>
      </c>
      <c r="CH67" s="17">
        <v>8760</v>
      </c>
      <c r="CI67" s="17">
        <v>8760</v>
      </c>
      <c r="CJ67" s="17">
        <v>8760</v>
      </c>
      <c r="CK67" s="17">
        <v>8760</v>
      </c>
      <c r="CL67" s="17">
        <v>8760</v>
      </c>
      <c r="CM67" s="17">
        <v>8760</v>
      </c>
      <c r="CN67" s="17">
        <v>8760</v>
      </c>
      <c r="CO67" s="17">
        <v>8760</v>
      </c>
      <c r="CP67" s="17">
        <v>8760</v>
      </c>
      <c r="CQ67" s="17">
        <v>8760</v>
      </c>
      <c r="CR67" s="17">
        <v>8760</v>
      </c>
      <c r="CS67" s="17">
        <v>8760</v>
      </c>
      <c r="CT67" s="17">
        <v>8760</v>
      </c>
      <c r="CU67" s="17">
        <v>8760</v>
      </c>
      <c r="CV67" s="17">
        <v>8760</v>
      </c>
      <c r="CW67" s="17">
        <v>8760</v>
      </c>
      <c r="CX67" s="17">
        <v>8760</v>
      </c>
      <c r="CY67" s="17">
        <v>8760</v>
      </c>
      <c r="CZ67" s="17">
        <v>8760</v>
      </c>
      <c r="DA67" s="17">
        <v>8760</v>
      </c>
      <c r="DB67" s="17">
        <v>8760</v>
      </c>
    </row>
    <row r="68" spans="1:106" s="17" customFormat="1" x14ac:dyDescent="0.25">
      <c r="A68" s="22" t="s">
        <v>86</v>
      </c>
      <c r="B68" s="17" t="s">
        <v>92</v>
      </c>
      <c r="C68" s="17" t="s">
        <v>438</v>
      </c>
      <c r="D68" s="17" t="s">
        <v>535</v>
      </c>
      <c r="E68" s="17" t="s">
        <v>536</v>
      </c>
      <c r="F68" s="17">
        <v>102903</v>
      </c>
      <c r="G68" s="17">
        <v>0</v>
      </c>
      <c r="H68" s="17">
        <v>0</v>
      </c>
      <c r="I68" s="17">
        <v>0</v>
      </c>
      <c r="J68" s="17">
        <v>0</v>
      </c>
      <c r="K68" s="17">
        <v>0</v>
      </c>
      <c r="L68" s="17">
        <v>0</v>
      </c>
      <c r="M68" s="17">
        <v>0</v>
      </c>
      <c r="N68" s="17">
        <v>0</v>
      </c>
      <c r="O68" s="17">
        <v>0</v>
      </c>
      <c r="P68" s="17">
        <v>0</v>
      </c>
      <c r="Q68" s="17">
        <v>0</v>
      </c>
      <c r="R68" s="17">
        <v>0</v>
      </c>
      <c r="S68" s="17">
        <v>0</v>
      </c>
      <c r="T68" s="17">
        <v>0</v>
      </c>
      <c r="U68" s="17">
        <v>0</v>
      </c>
      <c r="V68" s="17">
        <v>0</v>
      </c>
      <c r="W68" s="17">
        <v>0</v>
      </c>
      <c r="X68" s="17">
        <v>2</v>
      </c>
      <c r="Y68" s="17">
        <v>8</v>
      </c>
      <c r="Z68" s="17">
        <v>16</v>
      </c>
      <c r="AA68" s="17">
        <v>24</v>
      </c>
      <c r="AB68" s="17">
        <v>33</v>
      </c>
      <c r="AC68" s="17">
        <v>44</v>
      </c>
      <c r="AD68" s="17">
        <v>62</v>
      </c>
      <c r="AE68" s="17">
        <v>82</v>
      </c>
      <c r="AF68" s="17">
        <v>121</v>
      </c>
      <c r="AG68" s="17">
        <v>163</v>
      </c>
      <c r="AH68" s="17">
        <v>195</v>
      </c>
      <c r="AI68" s="17">
        <v>241</v>
      </c>
      <c r="AJ68" s="17">
        <v>271</v>
      </c>
      <c r="AK68" s="17">
        <v>304</v>
      </c>
      <c r="AL68" s="17">
        <v>358</v>
      </c>
      <c r="AM68" s="17">
        <v>411</v>
      </c>
      <c r="AN68" s="17">
        <v>487</v>
      </c>
      <c r="AO68" s="17">
        <v>564</v>
      </c>
      <c r="AP68" s="17">
        <v>650</v>
      </c>
      <c r="AQ68" s="17">
        <v>747</v>
      </c>
      <c r="AR68" s="17">
        <v>850</v>
      </c>
      <c r="AS68" s="17">
        <v>980</v>
      </c>
      <c r="AT68" s="17">
        <v>1098</v>
      </c>
      <c r="AU68" s="17">
        <v>1241</v>
      </c>
      <c r="AV68" s="17">
        <v>1415</v>
      </c>
      <c r="AW68" s="17">
        <v>1603</v>
      </c>
      <c r="AX68" s="17">
        <v>1834</v>
      </c>
      <c r="AY68" s="17">
        <v>2071</v>
      </c>
      <c r="AZ68" s="17">
        <v>2381</v>
      </c>
      <c r="BA68" s="17">
        <v>2678</v>
      </c>
      <c r="BB68" s="17">
        <v>2960</v>
      </c>
      <c r="BC68" s="17">
        <v>3336</v>
      </c>
      <c r="BD68" s="17">
        <v>3715</v>
      </c>
      <c r="BE68" s="17">
        <v>4106</v>
      </c>
      <c r="BF68" s="17">
        <v>4436</v>
      </c>
      <c r="BG68" s="17">
        <v>4742</v>
      </c>
      <c r="BH68" s="17">
        <v>4993</v>
      </c>
      <c r="BI68" s="17">
        <v>5244</v>
      </c>
      <c r="BJ68" s="17">
        <v>5529</v>
      </c>
      <c r="BK68" s="17">
        <v>5819</v>
      </c>
      <c r="BL68" s="17">
        <v>6066</v>
      </c>
      <c r="BM68" s="17">
        <v>6306</v>
      </c>
      <c r="BN68" s="17">
        <v>6592</v>
      </c>
      <c r="BO68" s="17">
        <v>6870</v>
      </c>
      <c r="BP68" s="17">
        <v>7171</v>
      </c>
      <c r="BQ68" s="17">
        <v>7454</v>
      </c>
      <c r="BR68" s="17">
        <v>7715</v>
      </c>
      <c r="BS68" s="17">
        <v>7941</v>
      </c>
      <c r="BT68" s="17">
        <v>8121</v>
      </c>
      <c r="BU68" s="17">
        <v>8258</v>
      </c>
      <c r="BV68" s="17">
        <v>8366</v>
      </c>
      <c r="BW68" s="17">
        <v>8454</v>
      </c>
      <c r="BX68" s="17">
        <v>8531</v>
      </c>
      <c r="BY68" s="17">
        <v>8579</v>
      </c>
      <c r="BZ68" s="17">
        <v>8632</v>
      </c>
      <c r="CA68" s="17">
        <v>8677</v>
      </c>
      <c r="CB68" s="17">
        <v>8703</v>
      </c>
      <c r="CC68" s="17">
        <v>8735</v>
      </c>
      <c r="CD68" s="17">
        <v>8753</v>
      </c>
      <c r="CE68" s="17">
        <v>8755</v>
      </c>
      <c r="CF68" s="17">
        <v>8755</v>
      </c>
      <c r="CG68" s="17">
        <v>8756</v>
      </c>
      <c r="CH68" s="17">
        <v>8760</v>
      </c>
      <c r="CI68" s="17">
        <v>8760</v>
      </c>
      <c r="CJ68" s="17">
        <v>8760</v>
      </c>
      <c r="CK68" s="17">
        <v>8760</v>
      </c>
      <c r="CL68" s="17">
        <v>8760</v>
      </c>
      <c r="CM68" s="17">
        <v>8760</v>
      </c>
      <c r="CN68" s="17">
        <v>8760</v>
      </c>
      <c r="CO68" s="17">
        <v>8760</v>
      </c>
      <c r="CP68" s="17">
        <v>8760</v>
      </c>
      <c r="CQ68" s="17">
        <v>8760</v>
      </c>
      <c r="CR68" s="17">
        <v>8760</v>
      </c>
      <c r="CS68" s="17">
        <v>8760</v>
      </c>
      <c r="CT68" s="17">
        <v>8760</v>
      </c>
      <c r="CU68" s="17">
        <v>8760</v>
      </c>
      <c r="CV68" s="17">
        <v>8760</v>
      </c>
      <c r="CW68" s="17">
        <v>8760</v>
      </c>
      <c r="CX68" s="17">
        <v>8760</v>
      </c>
      <c r="CY68" s="17">
        <v>8760</v>
      </c>
      <c r="CZ68" s="17">
        <v>8760</v>
      </c>
      <c r="DA68" s="17">
        <v>8760</v>
      </c>
      <c r="DB68" s="17">
        <v>8760</v>
      </c>
    </row>
    <row r="69" spans="1:106" s="17" customFormat="1" x14ac:dyDescent="0.25">
      <c r="A69" s="22" t="s">
        <v>87</v>
      </c>
      <c r="B69" s="17" t="s">
        <v>369</v>
      </c>
    </row>
    <row r="70" spans="1:106" s="17" customFormat="1" x14ac:dyDescent="0.25">
      <c r="A70" s="22" t="s">
        <v>88</v>
      </c>
      <c r="B70" s="17" t="s">
        <v>85</v>
      </c>
      <c r="C70" s="17" t="s">
        <v>438</v>
      </c>
      <c r="D70" s="17" t="s">
        <v>537</v>
      </c>
      <c r="E70" s="17" t="s">
        <v>538</v>
      </c>
      <c r="F70" s="17">
        <v>102249</v>
      </c>
      <c r="G70" s="17">
        <v>0</v>
      </c>
      <c r="H70" s="17">
        <v>0</v>
      </c>
      <c r="I70" s="17">
        <v>0</v>
      </c>
      <c r="J70" s="17">
        <v>0</v>
      </c>
      <c r="K70" s="17">
        <v>0</v>
      </c>
      <c r="L70" s="17">
        <v>0</v>
      </c>
      <c r="M70" s="17">
        <v>0</v>
      </c>
      <c r="N70" s="17">
        <v>0</v>
      </c>
      <c r="O70" s="17">
        <v>0</v>
      </c>
      <c r="P70" s="17">
        <v>0</v>
      </c>
      <c r="Q70" s="17">
        <v>0</v>
      </c>
      <c r="R70" s="17">
        <v>0</v>
      </c>
      <c r="S70" s="17">
        <v>0</v>
      </c>
      <c r="T70" s="17">
        <v>0</v>
      </c>
      <c r="U70" s="17">
        <v>0</v>
      </c>
      <c r="V70" s="17">
        <v>0</v>
      </c>
      <c r="W70" s="17">
        <v>0</v>
      </c>
      <c r="X70" s="17">
        <v>0</v>
      </c>
      <c r="Y70" s="17">
        <v>0</v>
      </c>
      <c r="Z70" s="17">
        <v>0</v>
      </c>
      <c r="AA70" s="17">
        <v>0</v>
      </c>
      <c r="AB70" s="17">
        <v>0</v>
      </c>
      <c r="AC70" s="17">
        <v>0</v>
      </c>
      <c r="AD70" s="17">
        <v>0</v>
      </c>
      <c r="AE70" s="17">
        <v>0</v>
      </c>
      <c r="AF70" s="17">
        <v>0</v>
      </c>
      <c r="AG70" s="17">
        <v>0</v>
      </c>
      <c r="AH70" s="17">
        <v>0</v>
      </c>
      <c r="AI70" s="17">
        <v>0</v>
      </c>
      <c r="AJ70" s="17">
        <v>0</v>
      </c>
      <c r="AK70" s="17">
        <v>0</v>
      </c>
      <c r="AL70" s="17">
        <v>0</v>
      </c>
      <c r="AM70" s="17">
        <v>0</v>
      </c>
      <c r="AN70" s="17">
        <v>0</v>
      </c>
      <c r="AO70" s="17">
        <v>0</v>
      </c>
      <c r="AP70" s="17">
        <v>10</v>
      </c>
      <c r="AQ70" s="17">
        <v>31</v>
      </c>
      <c r="AR70" s="17">
        <v>49</v>
      </c>
      <c r="AS70" s="17">
        <v>79</v>
      </c>
      <c r="AT70" s="17">
        <v>106</v>
      </c>
      <c r="AU70" s="17">
        <v>141</v>
      </c>
      <c r="AV70" s="17">
        <v>196</v>
      </c>
      <c r="AW70" s="17">
        <v>246</v>
      </c>
      <c r="AX70" s="17">
        <v>342</v>
      </c>
      <c r="AY70" s="17">
        <v>439</v>
      </c>
      <c r="AZ70" s="17">
        <v>575</v>
      </c>
      <c r="BA70" s="17">
        <v>765</v>
      </c>
      <c r="BB70" s="17">
        <v>1032</v>
      </c>
      <c r="BC70" s="17">
        <v>1325</v>
      </c>
      <c r="BD70" s="17">
        <v>1642</v>
      </c>
      <c r="BE70" s="17">
        <v>2062</v>
      </c>
      <c r="BF70" s="17">
        <v>2485</v>
      </c>
      <c r="BG70" s="17">
        <v>2941</v>
      </c>
      <c r="BH70" s="17">
        <v>3357</v>
      </c>
      <c r="BI70" s="17">
        <v>3823</v>
      </c>
      <c r="BJ70" s="17">
        <v>4254</v>
      </c>
      <c r="BK70" s="17">
        <v>4631</v>
      </c>
      <c r="BL70" s="17">
        <v>4910</v>
      </c>
      <c r="BM70" s="17">
        <v>5229</v>
      </c>
      <c r="BN70" s="17">
        <v>5577</v>
      </c>
      <c r="BO70" s="17">
        <v>5925</v>
      </c>
      <c r="BP70" s="17">
        <v>6324</v>
      </c>
      <c r="BQ70" s="17">
        <v>6676</v>
      </c>
      <c r="BR70" s="17">
        <v>7059</v>
      </c>
      <c r="BS70" s="17">
        <v>7407</v>
      </c>
      <c r="BT70" s="17">
        <v>7693</v>
      </c>
      <c r="BU70" s="17">
        <v>7945</v>
      </c>
      <c r="BV70" s="17">
        <v>8147</v>
      </c>
      <c r="BW70" s="17">
        <v>8307</v>
      </c>
      <c r="BX70" s="17">
        <v>8416</v>
      </c>
      <c r="BY70" s="17">
        <v>8502</v>
      </c>
      <c r="BZ70" s="17">
        <v>8566</v>
      </c>
      <c r="CA70" s="17">
        <v>8611</v>
      </c>
      <c r="CB70" s="17">
        <v>8640</v>
      </c>
      <c r="CC70" s="17">
        <v>8672</v>
      </c>
      <c r="CD70" s="17">
        <v>8700</v>
      </c>
      <c r="CE70" s="17">
        <v>8722</v>
      </c>
      <c r="CF70" s="17">
        <v>8735</v>
      </c>
      <c r="CG70" s="17">
        <v>8744</v>
      </c>
      <c r="CH70" s="17">
        <v>8748</v>
      </c>
      <c r="CI70" s="17">
        <v>8754</v>
      </c>
      <c r="CJ70" s="17">
        <v>8758</v>
      </c>
      <c r="CK70" s="17">
        <v>8760</v>
      </c>
      <c r="CL70" s="17">
        <v>8760</v>
      </c>
      <c r="CM70" s="17">
        <v>8760</v>
      </c>
      <c r="CN70" s="17">
        <v>8760</v>
      </c>
      <c r="CO70" s="17">
        <v>8760</v>
      </c>
      <c r="CP70" s="17">
        <v>8760</v>
      </c>
      <c r="CQ70" s="17">
        <v>8760</v>
      </c>
      <c r="CR70" s="17">
        <v>8760</v>
      </c>
      <c r="CS70" s="17">
        <v>8760</v>
      </c>
      <c r="CT70" s="17">
        <v>8760</v>
      </c>
      <c r="CU70" s="17">
        <v>8760</v>
      </c>
      <c r="CV70" s="17">
        <v>8760</v>
      </c>
      <c r="CW70" s="17">
        <v>8760</v>
      </c>
      <c r="CX70" s="17">
        <v>8760</v>
      </c>
      <c r="CY70" s="17">
        <v>8760</v>
      </c>
      <c r="CZ70" s="17">
        <v>8760</v>
      </c>
      <c r="DA70" s="17">
        <v>8760</v>
      </c>
      <c r="DB70" s="17">
        <v>8760</v>
      </c>
    </row>
    <row r="71" spans="1:106" s="17" customFormat="1" x14ac:dyDescent="0.25">
      <c r="A71" s="22" t="s">
        <v>89</v>
      </c>
      <c r="B71" s="17" t="s">
        <v>370</v>
      </c>
      <c r="C71" s="17" t="s">
        <v>438</v>
      </c>
      <c r="D71" s="17" t="s">
        <v>539</v>
      </c>
      <c r="E71" s="17" t="s">
        <v>540</v>
      </c>
      <c r="F71" s="17">
        <v>102820</v>
      </c>
      <c r="G71" s="17">
        <v>0</v>
      </c>
      <c r="H71" s="17">
        <v>0</v>
      </c>
      <c r="I71" s="17">
        <v>0</v>
      </c>
      <c r="J71" s="17">
        <v>0</v>
      </c>
      <c r="K71" s="17">
        <v>0</v>
      </c>
      <c r="L71" s="17">
        <v>0</v>
      </c>
      <c r="M71" s="17">
        <v>0</v>
      </c>
      <c r="N71" s="17">
        <v>0</v>
      </c>
      <c r="O71" s="17">
        <v>0</v>
      </c>
      <c r="P71" s="17">
        <v>0</v>
      </c>
      <c r="Q71" s="17">
        <v>0</v>
      </c>
      <c r="R71" s="17">
        <v>0</v>
      </c>
      <c r="S71" s="17">
        <v>0</v>
      </c>
      <c r="T71" s="17">
        <v>0</v>
      </c>
      <c r="U71" s="17">
        <v>0</v>
      </c>
      <c r="V71" s="17">
        <v>0</v>
      </c>
      <c r="W71" s="17">
        <v>0</v>
      </c>
      <c r="X71" s="17">
        <v>0</v>
      </c>
      <c r="Y71" s="17">
        <v>0</v>
      </c>
      <c r="Z71" s="17">
        <v>0</v>
      </c>
      <c r="AA71" s="17">
        <v>0</v>
      </c>
      <c r="AB71" s="17">
        <v>0</v>
      </c>
      <c r="AC71" s="17">
        <v>0</v>
      </c>
      <c r="AD71" s="17">
        <v>0</v>
      </c>
      <c r="AE71" s="17">
        <v>3</v>
      </c>
      <c r="AF71" s="17">
        <v>11</v>
      </c>
      <c r="AG71" s="17">
        <v>14</v>
      </c>
      <c r="AH71" s="17">
        <v>21</v>
      </c>
      <c r="AI71" s="17">
        <v>28</v>
      </c>
      <c r="AJ71" s="17">
        <v>41</v>
      </c>
      <c r="AK71" s="17">
        <v>68</v>
      </c>
      <c r="AL71" s="17">
        <v>97</v>
      </c>
      <c r="AM71" s="17">
        <v>132</v>
      </c>
      <c r="AN71" s="17">
        <v>180</v>
      </c>
      <c r="AO71" s="17">
        <v>242</v>
      </c>
      <c r="AP71" s="17">
        <v>332</v>
      </c>
      <c r="AQ71" s="17">
        <v>419</v>
      </c>
      <c r="AR71" s="17">
        <v>529</v>
      </c>
      <c r="AS71" s="17">
        <v>643</v>
      </c>
      <c r="AT71" s="17">
        <v>743</v>
      </c>
      <c r="AU71" s="17">
        <v>910</v>
      </c>
      <c r="AV71" s="17">
        <v>1084</v>
      </c>
      <c r="AW71" s="17">
        <v>1268</v>
      </c>
      <c r="AX71" s="17">
        <v>1482</v>
      </c>
      <c r="AY71" s="17">
        <v>1738</v>
      </c>
      <c r="AZ71" s="17">
        <v>2039</v>
      </c>
      <c r="BA71" s="17">
        <v>2352</v>
      </c>
      <c r="BB71" s="17">
        <v>2700</v>
      </c>
      <c r="BC71" s="17">
        <v>3065</v>
      </c>
      <c r="BD71" s="17">
        <v>3485</v>
      </c>
      <c r="BE71" s="17">
        <v>3906</v>
      </c>
      <c r="BF71" s="17">
        <v>4266</v>
      </c>
      <c r="BG71" s="17">
        <v>4603</v>
      </c>
      <c r="BH71" s="17">
        <v>4880</v>
      </c>
      <c r="BI71" s="17">
        <v>5162</v>
      </c>
      <c r="BJ71" s="17">
        <v>5487</v>
      </c>
      <c r="BK71" s="17">
        <v>5777</v>
      </c>
      <c r="BL71" s="17">
        <v>6082</v>
      </c>
      <c r="BM71" s="17">
        <v>6404</v>
      </c>
      <c r="BN71" s="17">
        <v>6717</v>
      </c>
      <c r="BO71" s="17">
        <v>7046</v>
      </c>
      <c r="BP71" s="17">
        <v>7331</v>
      </c>
      <c r="BQ71" s="17">
        <v>7617</v>
      </c>
      <c r="BR71" s="17">
        <v>7876</v>
      </c>
      <c r="BS71" s="17">
        <v>8078</v>
      </c>
      <c r="BT71" s="17">
        <v>8240</v>
      </c>
      <c r="BU71" s="17">
        <v>8386</v>
      </c>
      <c r="BV71" s="17">
        <v>8506</v>
      </c>
      <c r="BW71" s="17">
        <v>8601</v>
      </c>
      <c r="BX71" s="17">
        <v>8664</v>
      </c>
      <c r="BY71" s="17">
        <v>8700</v>
      </c>
      <c r="BZ71" s="17">
        <v>8729</v>
      </c>
      <c r="CA71" s="17">
        <v>8746</v>
      </c>
      <c r="CB71" s="17">
        <v>8756</v>
      </c>
      <c r="CC71" s="17">
        <v>8759</v>
      </c>
      <c r="CD71" s="17">
        <v>8760</v>
      </c>
      <c r="CE71" s="17">
        <v>8760</v>
      </c>
      <c r="CF71" s="17">
        <v>8760</v>
      </c>
      <c r="CG71" s="17">
        <v>8760</v>
      </c>
      <c r="CH71" s="17">
        <v>8760</v>
      </c>
      <c r="CI71" s="17">
        <v>8760</v>
      </c>
      <c r="CJ71" s="17">
        <v>8760</v>
      </c>
      <c r="CK71" s="17">
        <v>8760</v>
      </c>
      <c r="CL71" s="17">
        <v>8760</v>
      </c>
      <c r="CM71" s="17">
        <v>8760</v>
      </c>
      <c r="CN71" s="17">
        <v>8760</v>
      </c>
      <c r="CO71" s="17">
        <v>8760</v>
      </c>
      <c r="CP71" s="17">
        <v>8760</v>
      </c>
      <c r="CQ71" s="17">
        <v>8760</v>
      </c>
      <c r="CR71" s="17">
        <v>8760</v>
      </c>
      <c r="CS71" s="17">
        <v>8760</v>
      </c>
      <c r="CT71" s="17">
        <v>8760</v>
      </c>
      <c r="CU71" s="17">
        <v>8760</v>
      </c>
      <c r="CV71" s="17">
        <v>8760</v>
      </c>
      <c r="CW71" s="17">
        <v>8760</v>
      </c>
      <c r="CX71" s="17">
        <v>8760</v>
      </c>
      <c r="CY71" s="17">
        <v>8760</v>
      </c>
      <c r="CZ71" s="17">
        <v>8760</v>
      </c>
      <c r="DA71" s="17">
        <v>8760</v>
      </c>
      <c r="DB71" s="17">
        <v>8760</v>
      </c>
    </row>
    <row r="72" spans="1:106" s="17" customFormat="1" x14ac:dyDescent="0.25">
      <c r="A72" s="22" t="s">
        <v>90</v>
      </c>
      <c r="B72" s="17" t="s">
        <v>94</v>
      </c>
      <c r="C72" s="17" t="s">
        <v>438</v>
      </c>
      <c r="D72" s="17" t="s">
        <v>541</v>
      </c>
      <c r="E72" s="17" t="s">
        <v>542</v>
      </c>
      <c r="F72" s="17">
        <v>102725</v>
      </c>
      <c r="G72" s="17">
        <v>0</v>
      </c>
      <c r="H72" s="17">
        <v>0</v>
      </c>
      <c r="I72" s="17">
        <v>0</v>
      </c>
      <c r="J72" s="17">
        <v>0</v>
      </c>
      <c r="K72" s="17">
        <v>0</v>
      </c>
      <c r="L72" s="17">
        <v>0</v>
      </c>
      <c r="M72" s="17">
        <v>0</v>
      </c>
      <c r="N72" s="17">
        <v>0</v>
      </c>
      <c r="O72" s="17">
        <v>0</v>
      </c>
      <c r="P72" s="17">
        <v>0</v>
      </c>
      <c r="Q72" s="17">
        <v>0</v>
      </c>
      <c r="R72" s="17">
        <v>0</v>
      </c>
      <c r="S72" s="17">
        <v>0</v>
      </c>
      <c r="T72" s="17">
        <v>0</v>
      </c>
      <c r="U72" s="17">
        <v>0</v>
      </c>
      <c r="V72" s="17">
        <v>0</v>
      </c>
      <c r="W72" s="17">
        <v>0</v>
      </c>
      <c r="X72" s="17">
        <v>0</v>
      </c>
      <c r="Y72" s="17">
        <v>0</v>
      </c>
      <c r="Z72" s="17">
        <v>0</v>
      </c>
      <c r="AA72" s="17">
        <v>0</v>
      </c>
      <c r="AB72" s="17">
        <v>0</v>
      </c>
      <c r="AC72" s="17">
        <v>2</v>
      </c>
      <c r="AD72" s="17">
        <v>8</v>
      </c>
      <c r="AE72" s="17">
        <v>13</v>
      </c>
      <c r="AF72" s="17">
        <v>16</v>
      </c>
      <c r="AG72" s="17">
        <v>18</v>
      </c>
      <c r="AH72" s="17">
        <v>25</v>
      </c>
      <c r="AI72" s="17">
        <v>31</v>
      </c>
      <c r="AJ72" s="17">
        <v>57</v>
      </c>
      <c r="AK72" s="17">
        <v>79</v>
      </c>
      <c r="AL72" s="17">
        <v>94</v>
      </c>
      <c r="AM72" s="17">
        <v>112</v>
      </c>
      <c r="AN72" s="17">
        <v>138</v>
      </c>
      <c r="AO72" s="17">
        <v>167</v>
      </c>
      <c r="AP72" s="17">
        <v>211</v>
      </c>
      <c r="AQ72" s="17">
        <v>275</v>
      </c>
      <c r="AR72" s="17">
        <v>353</v>
      </c>
      <c r="AS72" s="17">
        <v>465</v>
      </c>
      <c r="AT72" s="17">
        <v>583</v>
      </c>
      <c r="AU72" s="17">
        <v>698</v>
      </c>
      <c r="AV72" s="17">
        <v>828</v>
      </c>
      <c r="AW72" s="17">
        <v>961</v>
      </c>
      <c r="AX72" s="17">
        <v>1108</v>
      </c>
      <c r="AY72" s="17">
        <v>1257</v>
      </c>
      <c r="AZ72" s="17">
        <v>1478</v>
      </c>
      <c r="BA72" s="17">
        <v>1753</v>
      </c>
      <c r="BB72" s="17">
        <v>2054</v>
      </c>
      <c r="BC72" s="17">
        <v>2378</v>
      </c>
      <c r="BD72" s="17">
        <v>2746</v>
      </c>
      <c r="BE72" s="17">
        <v>3125</v>
      </c>
      <c r="BF72" s="17">
        <v>3481</v>
      </c>
      <c r="BG72" s="17">
        <v>3797</v>
      </c>
      <c r="BH72" s="17">
        <v>4146</v>
      </c>
      <c r="BI72" s="17">
        <v>4519</v>
      </c>
      <c r="BJ72" s="17">
        <v>4891</v>
      </c>
      <c r="BK72" s="17">
        <v>5235</v>
      </c>
      <c r="BL72" s="17">
        <v>5560</v>
      </c>
      <c r="BM72" s="17">
        <v>5840</v>
      </c>
      <c r="BN72" s="17">
        <v>6178</v>
      </c>
      <c r="BO72" s="17">
        <v>6504</v>
      </c>
      <c r="BP72" s="17">
        <v>6828</v>
      </c>
      <c r="BQ72" s="17">
        <v>7136</v>
      </c>
      <c r="BR72" s="17">
        <v>7424</v>
      </c>
      <c r="BS72" s="17">
        <v>7695</v>
      </c>
      <c r="BT72" s="17">
        <v>7930</v>
      </c>
      <c r="BU72" s="17">
        <v>8092</v>
      </c>
      <c r="BV72" s="17">
        <v>8234</v>
      </c>
      <c r="BW72" s="17">
        <v>8329</v>
      </c>
      <c r="BX72" s="17">
        <v>8415</v>
      </c>
      <c r="BY72" s="17">
        <v>8483</v>
      </c>
      <c r="BZ72" s="17">
        <v>8549</v>
      </c>
      <c r="CA72" s="17">
        <v>8603</v>
      </c>
      <c r="CB72" s="17">
        <v>8641</v>
      </c>
      <c r="CC72" s="17">
        <v>8674</v>
      </c>
      <c r="CD72" s="17">
        <v>8696</v>
      </c>
      <c r="CE72" s="17">
        <v>8727</v>
      </c>
      <c r="CF72" s="17">
        <v>8747</v>
      </c>
      <c r="CG72" s="17">
        <v>8756</v>
      </c>
      <c r="CH72" s="17">
        <v>8757</v>
      </c>
      <c r="CI72" s="17">
        <v>8760</v>
      </c>
      <c r="CJ72" s="17">
        <v>8760</v>
      </c>
      <c r="CK72" s="17">
        <v>8760</v>
      </c>
      <c r="CL72" s="17">
        <v>8760</v>
      </c>
      <c r="CM72" s="17">
        <v>8760</v>
      </c>
      <c r="CN72" s="17">
        <v>8760</v>
      </c>
      <c r="CO72" s="17">
        <v>8760</v>
      </c>
      <c r="CP72" s="17">
        <v>8760</v>
      </c>
      <c r="CQ72" s="17">
        <v>8760</v>
      </c>
      <c r="CR72" s="17">
        <v>8760</v>
      </c>
      <c r="CS72" s="17">
        <v>8760</v>
      </c>
      <c r="CT72" s="17">
        <v>8760</v>
      </c>
      <c r="CU72" s="17">
        <v>8760</v>
      </c>
      <c r="CV72" s="17">
        <v>8760</v>
      </c>
      <c r="CW72" s="17">
        <v>8760</v>
      </c>
      <c r="CX72" s="17">
        <v>8760</v>
      </c>
      <c r="CY72" s="17">
        <v>8760</v>
      </c>
      <c r="CZ72" s="17">
        <v>8760</v>
      </c>
      <c r="DA72" s="17">
        <v>8760</v>
      </c>
      <c r="DB72" s="17">
        <v>8760</v>
      </c>
    </row>
    <row r="73" spans="1:106" s="17" customFormat="1" x14ac:dyDescent="0.25">
      <c r="A73" s="22" t="s">
        <v>91</v>
      </c>
      <c r="B73" s="17" t="s">
        <v>543</v>
      </c>
    </row>
    <row r="74" spans="1:106" s="17" customFormat="1" x14ac:dyDescent="0.25">
      <c r="A74" s="22" t="s">
        <v>92</v>
      </c>
      <c r="B74" s="17" t="s">
        <v>97</v>
      </c>
      <c r="C74" s="17" t="s">
        <v>438</v>
      </c>
      <c r="D74" s="17" t="s">
        <v>544</v>
      </c>
      <c r="E74" s="17" t="s">
        <v>545</v>
      </c>
      <c r="F74" s="17">
        <v>102317</v>
      </c>
      <c r="G74" s="17">
        <v>0</v>
      </c>
      <c r="H74" s="17">
        <v>0</v>
      </c>
      <c r="I74" s="17">
        <v>0</v>
      </c>
      <c r="J74" s="17">
        <v>0</v>
      </c>
      <c r="K74" s="17">
        <v>0</v>
      </c>
      <c r="L74" s="17">
        <v>0</v>
      </c>
      <c r="M74" s="17">
        <v>0</v>
      </c>
      <c r="N74" s="17">
        <v>0</v>
      </c>
      <c r="O74" s="17">
        <v>0</v>
      </c>
      <c r="P74" s="17">
        <v>0</v>
      </c>
      <c r="Q74" s="17">
        <v>0</v>
      </c>
      <c r="R74" s="17">
        <v>0</v>
      </c>
      <c r="S74" s="17">
        <v>0</v>
      </c>
      <c r="T74" s="17">
        <v>0</v>
      </c>
      <c r="U74" s="17">
        <v>0</v>
      </c>
      <c r="V74" s="17">
        <v>0</v>
      </c>
      <c r="W74" s="17">
        <v>0</v>
      </c>
      <c r="X74" s="17">
        <v>0</v>
      </c>
      <c r="Y74" s="17">
        <v>0</v>
      </c>
      <c r="Z74" s="17">
        <v>0</v>
      </c>
      <c r="AA74" s="17">
        <v>0</v>
      </c>
      <c r="AB74" s="17">
        <v>0</v>
      </c>
      <c r="AC74" s="17">
        <v>0</v>
      </c>
      <c r="AD74" s="17">
        <v>0</v>
      </c>
      <c r="AE74" s="17">
        <v>0</v>
      </c>
      <c r="AF74" s="17">
        <v>0</v>
      </c>
      <c r="AG74" s="17">
        <v>0</v>
      </c>
      <c r="AH74" s="17">
        <v>0</v>
      </c>
      <c r="AI74" s="17">
        <v>0</v>
      </c>
      <c r="AJ74" s="17">
        <v>0</v>
      </c>
      <c r="AK74" s="17">
        <v>0</v>
      </c>
      <c r="AL74" s="17">
        <v>0</v>
      </c>
      <c r="AM74" s="17">
        <v>0</v>
      </c>
      <c r="AN74" s="17">
        <v>1</v>
      </c>
      <c r="AO74" s="17">
        <v>4</v>
      </c>
      <c r="AP74" s="17">
        <v>9</v>
      </c>
      <c r="AQ74" s="17">
        <v>30</v>
      </c>
      <c r="AR74" s="17">
        <v>60</v>
      </c>
      <c r="AS74" s="17">
        <v>77</v>
      </c>
      <c r="AT74" s="17">
        <v>94</v>
      </c>
      <c r="AU74" s="17">
        <v>125</v>
      </c>
      <c r="AV74" s="17">
        <v>179</v>
      </c>
      <c r="AW74" s="17">
        <v>233</v>
      </c>
      <c r="AX74" s="17">
        <v>327</v>
      </c>
      <c r="AY74" s="17">
        <v>449</v>
      </c>
      <c r="AZ74" s="17">
        <v>579</v>
      </c>
      <c r="BA74" s="17">
        <v>756</v>
      </c>
      <c r="BB74" s="17">
        <v>931</v>
      </c>
      <c r="BC74" s="17">
        <v>1242</v>
      </c>
      <c r="BD74" s="17">
        <v>1631</v>
      </c>
      <c r="BE74" s="17">
        <v>2022</v>
      </c>
      <c r="BF74" s="17">
        <v>2458</v>
      </c>
      <c r="BG74" s="17">
        <v>2975</v>
      </c>
      <c r="BH74" s="17">
        <v>3456</v>
      </c>
      <c r="BI74" s="17">
        <v>3846</v>
      </c>
      <c r="BJ74" s="17">
        <v>4232</v>
      </c>
      <c r="BK74" s="17">
        <v>4608</v>
      </c>
      <c r="BL74" s="17">
        <v>4950</v>
      </c>
      <c r="BM74" s="17">
        <v>5237</v>
      </c>
      <c r="BN74" s="17">
        <v>5607</v>
      </c>
      <c r="BO74" s="17">
        <v>5984</v>
      </c>
      <c r="BP74" s="17">
        <v>6389</v>
      </c>
      <c r="BQ74" s="17">
        <v>6778</v>
      </c>
      <c r="BR74" s="17">
        <v>7187</v>
      </c>
      <c r="BS74" s="17">
        <v>7512</v>
      </c>
      <c r="BT74" s="17">
        <v>7798</v>
      </c>
      <c r="BU74" s="17">
        <v>8017</v>
      </c>
      <c r="BV74" s="17">
        <v>8198</v>
      </c>
      <c r="BW74" s="17">
        <v>8326</v>
      </c>
      <c r="BX74" s="17">
        <v>8422</v>
      </c>
      <c r="BY74" s="17">
        <v>8503</v>
      </c>
      <c r="BZ74" s="17">
        <v>8574</v>
      </c>
      <c r="CA74" s="17">
        <v>8632</v>
      </c>
      <c r="CB74" s="17">
        <v>8663</v>
      </c>
      <c r="CC74" s="17">
        <v>8681</v>
      </c>
      <c r="CD74" s="17">
        <v>8707</v>
      </c>
      <c r="CE74" s="17">
        <v>8719</v>
      </c>
      <c r="CF74" s="17">
        <v>8727</v>
      </c>
      <c r="CG74" s="17">
        <v>8742</v>
      </c>
      <c r="CH74" s="17">
        <v>8753</v>
      </c>
      <c r="CI74" s="17">
        <v>8760</v>
      </c>
      <c r="CJ74" s="17">
        <v>8760</v>
      </c>
      <c r="CK74" s="17">
        <v>8760</v>
      </c>
      <c r="CL74" s="17">
        <v>8760</v>
      </c>
      <c r="CM74" s="17">
        <v>8760</v>
      </c>
      <c r="CN74" s="17">
        <v>8760</v>
      </c>
      <c r="CO74" s="17">
        <v>8760</v>
      </c>
      <c r="CP74" s="17">
        <v>8760</v>
      </c>
      <c r="CQ74" s="17">
        <v>8760</v>
      </c>
      <c r="CR74" s="17">
        <v>8760</v>
      </c>
      <c r="CS74" s="17">
        <v>8760</v>
      </c>
      <c r="CT74" s="17">
        <v>8760</v>
      </c>
      <c r="CU74" s="17">
        <v>8760</v>
      </c>
      <c r="CV74" s="17">
        <v>8760</v>
      </c>
      <c r="CW74" s="17">
        <v>8760</v>
      </c>
      <c r="CX74" s="17">
        <v>8760</v>
      </c>
      <c r="CY74" s="17">
        <v>8760</v>
      </c>
      <c r="CZ74" s="17">
        <v>8760</v>
      </c>
      <c r="DA74" s="17">
        <v>8760</v>
      </c>
      <c r="DB74" s="17">
        <v>8760</v>
      </c>
    </row>
    <row r="75" spans="1:106" s="17" customFormat="1" x14ac:dyDescent="0.25">
      <c r="A75" s="22" t="s">
        <v>93</v>
      </c>
      <c r="B75" s="17" t="s">
        <v>98</v>
      </c>
      <c r="C75" s="17" t="s">
        <v>438</v>
      </c>
      <c r="D75" s="17" t="s">
        <v>546</v>
      </c>
      <c r="E75" s="17" t="s">
        <v>547</v>
      </c>
      <c r="F75" s="17">
        <v>102419</v>
      </c>
      <c r="G75" s="17">
        <v>0</v>
      </c>
      <c r="H75" s="17">
        <v>0</v>
      </c>
      <c r="I75" s="17">
        <v>0</v>
      </c>
      <c r="J75" s="17">
        <v>0</v>
      </c>
      <c r="K75" s="17">
        <v>0</v>
      </c>
      <c r="L75" s="17">
        <v>0</v>
      </c>
      <c r="M75" s="17">
        <v>0</v>
      </c>
      <c r="N75" s="17">
        <v>0</v>
      </c>
      <c r="O75" s="17">
        <v>0</v>
      </c>
      <c r="P75" s="17">
        <v>0</v>
      </c>
      <c r="Q75" s="17">
        <v>0</v>
      </c>
      <c r="R75" s="17">
        <v>0</v>
      </c>
      <c r="S75" s="17">
        <v>0</v>
      </c>
      <c r="T75" s="17">
        <v>0</v>
      </c>
      <c r="U75" s="17">
        <v>0</v>
      </c>
      <c r="V75" s="17">
        <v>0</v>
      </c>
      <c r="W75" s="17">
        <v>0</v>
      </c>
      <c r="X75" s="17">
        <v>0</v>
      </c>
      <c r="Y75" s="17">
        <v>0</v>
      </c>
      <c r="Z75" s="17">
        <v>0</v>
      </c>
      <c r="AA75" s="17">
        <v>0</v>
      </c>
      <c r="AB75" s="17">
        <v>0</v>
      </c>
      <c r="AC75" s="17">
        <v>0</v>
      </c>
      <c r="AD75" s="17">
        <v>0</v>
      </c>
      <c r="AE75" s="17">
        <v>0</v>
      </c>
      <c r="AF75" s="17">
        <v>0</v>
      </c>
      <c r="AG75" s="17">
        <v>0</v>
      </c>
      <c r="AH75" s="17">
        <v>0</v>
      </c>
      <c r="AI75" s="17">
        <v>0</v>
      </c>
      <c r="AJ75" s="17">
        <v>0</v>
      </c>
      <c r="AK75" s="17">
        <v>0</v>
      </c>
      <c r="AL75" s="17">
        <v>0</v>
      </c>
      <c r="AM75" s="17">
        <v>0</v>
      </c>
      <c r="AN75" s="17">
        <v>1</v>
      </c>
      <c r="AO75" s="17">
        <v>10</v>
      </c>
      <c r="AP75" s="17">
        <v>20</v>
      </c>
      <c r="AQ75" s="17">
        <v>25</v>
      </c>
      <c r="AR75" s="17">
        <v>41</v>
      </c>
      <c r="AS75" s="17">
        <v>54</v>
      </c>
      <c r="AT75" s="17">
        <v>76</v>
      </c>
      <c r="AU75" s="17">
        <v>110</v>
      </c>
      <c r="AV75" s="17">
        <v>150</v>
      </c>
      <c r="AW75" s="17">
        <v>185</v>
      </c>
      <c r="AX75" s="17">
        <v>256</v>
      </c>
      <c r="AY75" s="17">
        <v>383</v>
      </c>
      <c r="AZ75" s="17">
        <v>541</v>
      </c>
      <c r="BA75" s="17">
        <v>710</v>
      </c>
      <c r="BB75" s="17">
        <v>943</v>
      </c>
      <c r="BC75" s="17">
        <v>1238</v>
      </c>
      <c r="BD75" s="17">
        <v>1586</v>
      </c>
      <c r="BE75" s="17">
        <v>2067</v>
      </c>
      <c r="BF75" s="17">
        <v>2542</v>
      </c>
      <c r="BG75" s="17">
        <v>2996</v>
      </c>
      <c r="BH75" s="17">
        <v>3401</v>
      </c>
      <c r="BI75" s="17">
        <v>3882</v>
      </c>
      <c r="BJ75" s="17">
        <v>4322</v>
      </c>
      <c r="BK75" s="17">
        <v>4661</v>
      </c>
      <c r="BL75" s="17">
        <v>4946</v>
      </c>
      <c r="BM75" s="17">
        <v>5249</v>
      </c>
      <c r="BN75" s="17">
        <v>5533</v>
      </c>
      <c r="BO75" s="17">
        <v>5878</v>
      </c>
      <c r="BP75" s="17">
        <v>6218</v>
      </c>
      <c r="BQ75" s="17">
        <v>6576</v>
      </c>
      <c r="BR75" s="17">
        <v>6916</v>
      </c>
      <c r="BS75" s="17">
        <v>7263</v>
      </c>
      <c r="BT75" s="17">
        <v>7537</v>
      </c>
      <c r="BU75" s="17">
        <v>7792</v>
      </c>
      <c r="BV75" s="17">
        <v>8033</v>
      </c>
      <c r="BW75" s="17">
        <v>8230</v>
      </c>
      <c r="BX75" s="17">
        <v>8358</v>
      </c>
      <c r="BY75" s="17">
        <v>8473</v>
      </c>
      <c r="BZ75" s="17">
        <v>8568</v>
      </c>
      <c r="CA75" s="17">
        <v>8647</v>
      </c>
      <c r="CB75" s="17">
        <v>8712</v>
      </c>
      <c r="CC75" s="17">
        <v>8725</v>
      </c>
      <c r="CD75" s="17">
        <v>8739</v>
      </c>
      <c r="CE75" s="17">
        <v>8750</v>
      </c>
      <c r="CF75" s="17">
        <v>8760</v>
      </c>
      <c r="CG75" s="17">
        <v>8760</v>
      </c>
      <c r="CH75" s="17">
        <v>8760</v>
      </c>
      <c r="CI75" s="17">
        <v>8760</v>
      </c>
      <c r="CJ75" s="17">
        <v>8760</v>
      </c>
      <c r="CK75" s="17">
        <v>8760</v>
      </c>
      <c r="CL75" s="17">
        <v>8760</v>
      </c>
      <c r="CM75" s="17">
        <v>8760</v>
      </c>
      <c r="CN75" s="17">
        <v>8760</v>
      </c>
      <c r="CO75" s="17">
        <v>8760</v>
      </c>
      <c r="CP75" s="17">
        <v>8760</v>
      </c>
      <c r="CQ75" s="17">
        <v>8760</v>
      </c>
      <c r="CR75" s="17">
        <v>8760</v>
      </c>
      <c r="CS75" s="17">
        <v>8760</v>
      </c>
      <c r="CT75" s="17">
        <v>8760</v>
      </c>
      <c r="CU75" s="17">
        <v>8760</v>
      </c>
      <c r="CV75" s="17">
        <v>8760</v>
      </c>
      <c r="CW75" s="17">
        <v>8760</v>
      </c>
      <c r="CX75" s="17">
        <v>8760</v>
      </c>
      <c r="CY75" s="17">
        <v>8760</v>
      </c>
      <c r="CZ75" s="17">
        <v>8760</v>
      </c>
      <c r="DA75" s="17">
        <v>8760</v>
      </c>
      <c r="DB75" s="17">
        <v>8760</v>
      </c>
    </row>
    <row r="76" spans="1:106" s="17" customFormat="1" x14ac:dyDescent="0.25">
      <c r="A76" s="22" t="s">
        <v>94</v>
      </c>
      <c r="B76" s="17" t="s">
        <v>371</v>
      </c>
      <c r="C76" s="17" t="s">
        <v>438</v>
      </c>
      <c r="D76" s="17" t="s">
        <v>548</v>
      </c>
      <c r="E76" s="17" t="s">
        <v>549</v>
      </c>
      <c r="F76" s="17">
        <v>102344</v>
      </c>
      <c r="G76" s="17">
        <v>0</v>
      </c>
      <c r="H76" s="17">
        <v>0</v>
      </c>
      <c r="I76" s="17">
        <v>0</v>
      </c>
      <c r="J76" s="17">
        <v>0</v>
      </c>
      <c r="K76" s="17">
        <v>0</v>
      </c>
      <c r="L76" s="17">
        <v>0</v>
      </c>
      <c r="M76" s="17">
        <v>0</v>
      </c>
      <c r="N76" s="17">
        <v>0</v>
      </c>
      <c r="O76" s="17">
        <v>0</v>
      </c>
      <c r="P76" s="17">
        <v>0</v>
      </c>
      <c r="Q76" s="17">
        <v>0</v>
      </c>
      <c r="R76" s="17">
        <v>0</v>
      </c>
      <c r="S76" s="17">
        <v>0</v>
      </c>
      <c r="T76" s="17">
        <v>0</v>
      </c>
      <c r="U76" s="17">
        <v>0</v>
      </c>
      <c r="V76" s="17">
        <v>0</v>
      </c>
      <c r="W76" s="17">
        <v>0</v>
      </c>
      <c r="X76" s="17">
        <v>0</v>
      </c>
      <c r="Y76" s="17">
        <v>0</v>
      </c>
      <c r="Z76" s="17">
        <v>0</v>
      </c>
      <c r="AA76" s="17">
        <v>0</v>
      </c>
      <c r="AB76" s="17">
        <v>0</v>
      </c>
      <c r="AC76" s="17">
        <v>0</v>
      </c>
      <c r="AD76" s="17">
        <v>0</v>
      </c>
      <c r="AE76" s="17">
        <v>0</v>
      </c>
      <c r="AF76" s="17">
        <v>0</v>
      </c>
      <c r="AG76" s="17">
        <v>0</v>
      </c>
      <c r="AH76" s="17">
        <v>0</v>
      </c>
      <c r="AI76" s="17">
        <v>0</v>
      </c>
      <c r="AJ76" s="17">
        <v>0</v>
      </c>
      <c r="AK76" s="17">
        <v>0</v>
      </c>
      <c r="AL76" s="17">
        <v>0</v>
      </c>
      <c r="AM76" s="17">
        <v>1</v>
      </c>
      <c r="AN76" s="17">
        <v>3</v>
      </c>
      <c r="AO76" s="17">
        <v>8</v>
      </c>
      <c r="AP76" s="17">
        <v>12</v>
      </c>
      <c r="AQ76" s="17">
        <v>18</v>
      </c>
      <c r="AR76" s="17">
        <v>32</v>
      </c>
      <c r="AS76" s="17">
        <v>56</v>
      </c>
      <c r="AT76" s="17">
        <v>100</v>
      </c>
      <c r="AU76" s="17">
        <v>147</v>
      </c>
      <c r="AV76" s="17">
        <v>240</v>
      </c>
      <c r="AW76" s="17">
        <v>322</v>
      </c>
      <c r="AX76" s="17">
        <v>446</v>
      </c>
      <c r="AY76" s="17">
        <v>592</v>
      </c>
      <c r="AZ76" s="17">
        <v>810</v>
      </c>
      <c r="BA76" s="17">
        <v>1055</v>
      </c>
      <c r="BB76" s="17">
        <v>1308</v>
      </c>
      <c r="BC76" s="17">
        <v>1578</v>
      </c>
      <c r="BD76" s="17">
        <v>1941</v>
      </c>
      <c r="BE76" s="17">
        <v>2412</v>
      </c>
      <c r="BF76" s="17">
        <v>2823</v>
      </c>
      <c r="BG76" s="17">
        <v>3264</v>
      </c>
      <c r="BH76" s="17">
        <v>3653</v>
      </c>
      <c r="BI76" s="17">
        <v>4022</v>
      </c>
      <c r="BJ76" s="17">
        <v>4357</v>
      </c>
      <c r="BK76" s="17">
        <v>4680</v>
      </c>
      <c r="BL76" s="17">
        <v>4982</v>
      </c>
      <c r="BM76" s="17">
        <v>5291</v>
      </c>
      <c r="BN76" s="17">
        <v>5636</v>
      </c>
      <c r="BO76" s="17">
        <v>6017</v>
      </c>
      <c r="BP76" s="17">
        <v>6388</v>
      </c>
      <c r="BQ76" s="17">
        <v>6767</v>
      </c>
      <c r="BR76" s="17">
        <v>7086</v>
      </c>
      <c r="BS76" s="17">
        <v>7369</v>
      </c>
      <c r="BT76" s="17">
        <v>7635</v>
      </c>
      <c r="BU76" s="17">
        <v>7868</v>
      </c>
      <c r="BV76" s="17">
        <v>8058</v>
      </c>
      <c r="BW76" s="17">
        <v>8211</v>
      </c>
      <c r="BX76" s="17">
        <v>8325</v>
      </c>
      <c r="BY76" s="17">
        <v>8431</v>
      </c>
      <c r="BZ76" s="17">
        <v>8511</v>
      </c>
      <c r="CA76" s="17">
        <v>8582</v>
      </c>
      <c r="CB76" s="17">
        <v>8637</v>
      </c>
      <c r="CC76" s="17">
        <v>8685</v>
      </c>
      <c r="CD76" s="17">
        <v>8711</v>
      </c>
      <c r="CE76" s="17">
        <v>8721</v>
      </c>
      <c r="CF76" s="17">
        <v>8734</v>
      </c>
      <c r="CG76" s="17">
        <v>8750</v>
      </c>
      <c r="CH76" s="17">
        <v>8757</v>
      </c>
      <c r="CI76" s="17">
        <v>8760</v>
      </c>
      <c r="CJ76" s="17">
        <v>8760</v>
      </c>
      <c r="CK76" s="17">
        <v>8760</v>
      </c>
      <c r="CL76" s="17">
        <v>8760</v>
      </c>
      <c r="CM76" s="17">
        <v>8760</v>
      </c>
      <c r="CN76" s="17">
        <v>8760</v>
      </c>
      <c r="CO76" s="17">
        <v>8760</v>
      </c>
      <c r="CP76" s="17">
        <v>8760</v>
      </c>
      <c r="CQ76" s="17">
        <v>8760</v>
      </c>
      <c r="CR76" s="17">
        <v>8760</v>
      </c>
      <c r="CS76" s="17">
        <v>8760</v>
      </c>
      <c r="CT76" s="17">
        <v>8760</v>
      </c>
      <c r="CU76" s="17">
        <v>8760</v>
      </c>
      <c r="CV76" s="17">
        <v>8760</v>
      </c>
      <c r="CW76" s="17">
        <v>8760</v>
      </c>
      <c r="CX76" s="17">
        <v>8760</v>
      </c>
      <c r="CY76" s="17">
        <v>8760</v>
      </c>
      <c r="CZ76" s="17">
        <v>8760</v>
      </c>
      <c r="DA76" s="17">
        <v>8760</v>
      </c>
      <c r="DB76" s="17">
        <v>8760</v>
      </c>
    </row>
    <row r="77" spans="1:106" s="17" customFormat="1" x14ac:dyDescent="0.25">
      <c r="A77" s="22" t="s">
        <v>95</v>
      </c>
      <c r="B77" s="17" t="s">
        <v>372</v>
      </c>
      <c r="C77" s="17" t="s">
        <v>438</v>
      </c>
      <c r="D77" s="17" t="s">
        <v>550</v>
      </c>
      <c r="E77" s="17" t="s">
        <v>551</v>
      </c>
      <c r="F77" s="17">
        <v>102535</v>
      </c>
      <c r="G77" s="17">
        <v>0</v>
      </c>
      <c r="H77" s="17">
        <v>0</v>
      </c>
      <c r="I77" s="17">
        <v>0</v>
      </c>
      <c r="J77" s="17">
        <v>0</v>
      </c>
      <c r="K77" s="17">
        <v>0</v>
      </c>
      <c r="L77" s="17">
        <v>0</v>
      </c>
      <c r="M77" s="17">
        <v>0</v>
      </c>
      <c r="N77" s="17">
        <v>0</v>
      </c>
      <c r="O77" s="17">
        <v>0</v>
      </c>
      <c r="P77" s="17">
        <v>0</v>
      </c>
      <c r="Q77" s="17">
        <v>0</v>
      </c>
      <c r="R77" s="17">
        <v>0</v>
      </c>
      <c r="S77" s="17">
        <v>0</v>
      </c>
      <c r="T77" s="17">
        <v>0</v>
      </c>
      <c r="U77" s="17">
        <v>0</v>
      </c>
      <c r="V77" s="17">
        <v>0</v>
      </c>
      <c r="W77" s="17">
        <v>0</v>
      </c>
      <c r="X77" s="17">
        <v>0</v>
      </c>
      <c r="Y77" s="17">
        <v>0</v>
      </c>
      <c r="Z77" s="17">
        <v>0</v>
      </c>
      <c r="AA77" s="17">
        <v>0</v>
      </c>
      <c r="AB77" s="17">
        <v>0</v>
      </c>
      <c r="AC77" s="17">
        <v>0</v>
      </c>
      <c r="AD77" s="17">
        <v>0</v>
      </c>
      <c r="AE77" s="17">
        <v>0</v>
      </c>
      <c r="AF77" s="17">
        <v>0</v>
      </c>
      <c r="AG77" s="17">
        <v>0</v>
      </c>
      <c r="AH77" s="17">
        <v>0</v>
      </c>
      <c r="AI77" s="17">
        <v>0</v>
      </c>
      <c r="AJ77" s="17">
        <v>1</v>
      </c>
      <c r="AK77" s="17">
        <v>3</v>
      </c>
      <c r="AL77" s="17">
        <v>7</v>
      </c>
      <c r="AM77" s="17">
        <v>14</v>
      </c>
      <c r="AN77" s="17">
        <v>35</v>
      </c>
      <c r="AO77" s="17">
        <v>84</v>
      </c>
      <c r="AP77" s="17">
        <v>136</v>
      </c>
      <c r="AQ77" s="17">
        <v>169</v>
      </c>
      <c r="AR77" s="17">
        <v>216</v>
      </c>
      <c r="AS77" s="17">
        <v>270</v>
      </c>
      <c r="AT77" s="17">
        <v>320</v>
      </c>
      <c r="AU77" s="17">
        <v>401</v>
      </c>
      <c r="AV77" s="17">
        <v>464</v>
      </c>
      <c r="AW77" s="17">
        <v>543</v>
      </c>
      <c r="AX77" s="17">
        <v>639</v>
      </c>
      <c r="AY77" s="17">
        <v>768</v>
      </c>
      <c r="AZ77" s="17">
        <v>915</v>
      </c>
      <c r="BA77" s="17">
        <v>1100</v>
      </c>
      <c r="BB77" s="17">
        <v>1372</v>
      </c>
      <c r="BC77" s="17">
        <v>1631</v>
      </c>
      <c r="BD77" s="17">
        <v>1960</v>
      </c>
      <c r="BE77" s="17">
        <v>2438</v>
      </c>
      <c r="BF77" s="17">
        <v>2881</v>
      </c>
      <c r="BG77" s="17">
        <v>3331</v>
      </c>
      <c r="BH77" s="17">
        <v>3681</v>
      </c>
      <c r="BI77" s="17">
        <v>4003</v>
      </c>
      <c r="BJ77" s="17">
        <v>4328</v>
      </c>
      <c r="BK77" s="17">
        <v>4633</v>
      </c>
      <c r="BL77" s="17">
        <v>4927</v>
      </c>
      <c r="BM77" s="17">
        <v>5227</v>
      </c>
      <c r="BN77" s="17">
        <v>5541</v>
      </c>
      <c r="BO77" s="17">
        <v>5892</v>
      </c>
      <c r="BP77" s="17">
        <v>6236</v>
      </c>
      <c r="BQ77" s="17">
        <v>6592</v>
      </c>
      <c r="BR77" s="17">
        <v>6925</v>
      </c>
      <c r="BS77" s="17">
        <v>7250</v>
      </c>
      <c r="BT77" s="17">
        <v>7565</v>
      </c>
      <c r="BU77" s="17">
        <v>7790</v>
      </c>
      <c r="BV77" s="17">
        <v>8010</v>
      </c>
      <c r="BW77" s="17">
        <v>8181</v>
      </c>
      <c r="BX77" s="17">
        <v>8302</v>
      </c>
      <c r="BY77" s="17">
        <v>8404</v>
      </c>
      <c r="BZ77" s="17">
        <v>8478</v>
      </c>
      <c r="CA77" s="17">
        <v>8546</v>
      </c>
      <c r="CB77" s="17">
        <v>8596</v>
      </c>
      <c r="CC77" s="17">
        <v>8654</v>
      </c>
      <c r="CD77" s="17">
        <v>8689</v>
      </c>
      <c r="CE77" s="17">
        <v>8714</v>
      </c>
      <c r="CF77" s="17">
        <v>8736</v>
      </c>
      <c r="CG77" s="17">
        <v>8758</v>
      </c>
      <c r="CH77" s="17">
        <v>8760</v>
      </c>
      <c r="CI77" s="17">
        <v>8760</v>
      </c>
      <c r="CJ77" s="17">
        <v>8760</v>
      </c>
      <c r="CK77" s="17">
        <v>8760</v>
      </c>
      <c r="CL77" s="17">
        <v>8760</v>
      </c>
      <c r="CM77" s="17">
        <v>8760</v>
      </c>
      <c r="CN77" s="17">
        <v>8760</v>
      </c>
      <c r="CO77" s="17">
        <v>8760</v>
      </c>
      <c r="CP77" s="17">
        <v>8760</v>
      </c>
      <c r="CQ77" s="17">
        <v>8760</v>
      </c>
      <c r="CR77" s="17">
        <v>8760</v>
      </c>
      <c r="CS77" s="17">
        <v>8760</v>
      </c>
      <c r="CT77" s="17">
        <v>8760</v>
      </c>
      <c r="CU77" s="17">
        <v>8760</v>
      </c>
      <c r="CV77" s="17">
        <v>8760</v>
      </c>
      <c r="CW77" s="17">
        <v>8760</v>
      </c>
      <c r="CX77" s="17">
        <v>8760</v>
      </c>
      <c r="CY77" s="17">
        <v>8760</v>
      </c>
      <c r="CZ77" s="17">
        <v>8760</v>
      </c>
      <c r="DA77" s="17">
        <v>8760</v>
      </c>
      <c r="DB77" s="17">
        <v>8760</v>
      </c>
    </row>
    <row r="78" spans="1:106" s="17" customFormat="1" x14ac:dyDescent="0.25">
      <c r="A78" s="22" t="s">
        <v>96</v>
      </c>
      <c r="B78" s="17" t="s">
        <v>101</v>
      </c>
      <c r="C78" s="17" t="s">
        <v>438</v>
      </c>
      <c r="D78" s="17" t="s">
        <v>552</v>
      </c>
      <c r="E78" s="17" t="s">
        <v>553</v>
      </c>
      <c r="F78" s="17">
        <v>102248</v>
      </c>
      <c r="G78" s="17">
        <v>0</v>
      </c>
      <c r="H78" s="17">
        <v>0</v>
      </c>
      <c r="I78" s="17">
        <v>0</v>
      </c>
      <c r="J78" s="17">
        <v>0</v>
      </c>
      <c r="K78" s="17">
        <v>0</v>
      </c>
      <c r="L78" s="17">
        <v>0</v>
      </c>
      <c r="M78" s="17">
        <v>0</v>
      </c>
      <c r="N78" s="17">
        <v>0</v>
      </c>
      <c r="O78" s="17">
        <v>0</v>
      </c>
      <c r="P78" s="17">
        <v>0</v>
      </c>
      <c r="Q78" s="17">
        <v>0</v>
      </c>
      <c r="R78" s="17">
        <v>0</v>
      </c>
      <c r="S78" s="17">
        <v>0</v>
      </c>
      <c r="T78" s="17">
        <v>0</v>
      </c>
      <c r="U78" s="17">
        <v>0</v>
      </c>
      <c r="V78" s="17">
        <v>0</v>
      </c>
      <c r="W78" s="17">
        <v>0</v>
      </c>
      <c r="X78" s="17">
        <v>0</v>
      </c>
      <c r="Y78" s="17">
        <v>0</v>
      </c>
      <c r="Z78" s="17">
        <v>0</v>
      </c>
      <c r="AA78" s="17">
        <v>0</v>
      </c>
      <c r="AB78" s="17">
        <v>0</v>
      </c>
      <c r="AC78" s="17">
        <v>0</v>
      </c>
      <c r="AD78" s="17">
        <v>0</v>
      </c>
      <c r="AE78" s="17">
        <v>0</v>
      </c>
      <c r="AF78" s="17">
        <v>0</v>
      </c>
      <c r="AG78" s="17">
        <v>0</v>
      </c>
      <c r="AH78" s="17">
        <v>0</v>
      </c>
      <c r="AI78" s="17">
        <v>0</v>
      </c>
      <c r="AJ78" s="17">
        <v>2</v>
      </c>
      <c r="AK78" s="17">
        <v>10</v>
      </c>
      <c r="AL78" s="17">
        <v>15</v>
      </c>
      <c r="AM78" s="17">
        <v>20</v>
      </c>
      <c r="AN78" s="17">
        <v>43</v>
      </c>
      <c r="AO78" s="17">
        <v>65</v>
      </c>
      <c r="AP78" s="17">
        <v>113</v>
      </c>
      <c r="AQ78" s="17">
        <v>159</v>
      </c>
      <c r="AR78" s="17">
        <v>207</v>
      </c>
      <c r="AS78" s="17">
        <v>266</v>
      </c>
      <c r="AT78" s="17">
        <v>315</v>
      </c>
      <c r="AU78" s="17">
        <v>365</v>
      </c>
      <c r="AV78" s="17">
        <v>436</v>
      </c>
      <c r="AW78" s="17">
        <v>515</v>
      </c>
      <c r="AX78" s="17">
        <v>610</v>
      </c>
      <c r="AY78" s="17">
        <v>735</v>
      </c>
      <c r="AZ78" s="17">
        <v>858</v>
      </c>
      <c r="BA78" s="17">
        <v>1000</v>
      </c>
      <c r="BB78" s="17">
        <v>1157</v>
      </c>
      <c r="BC78" s="17">
        <v>1386</v>
      </c>
      <c r="BD78" s="17">
        <v>1691</v>
      </c>
      <c r="BE78" s="17">
        <v>2082</v>
      </c>
      <c r="BF78" s="17">
        <v>2453</v>
      </c>
      <c r="BG78" s="17">
        <v>2866</v>
      </c>
      <c r="BH78" s="17">
        <v>3303</v>
      </c>
      <c r="BI78" s="17">
        <v>3778</v>
      </c>
      <c r="BJ78" s="17">
        <v>4118</v>
      </c>
      <c r="BK78" s="17">
        <v>4441</v>
      </c>
      <c r="BL78" s="17">
        <v>4692</v>
      </c>
      <c r="BM78" s="17">
        <v>4991</v>
      </c>
      <c r="BN78" s="17">
        <v>5337</v>
      </c>
      <c r="BO78" s="17">
        <v>5674</v>
      </c>
      <c r="BP78" s="17">
        <v>6042</v>
      </c>
      <c r="BQ78" s="17">
        <v>6417</v>
      </c>
      <c r="BR78" s="17">
        <v>6817</v>
      </c>
      <c r="BS78" s="17">
        <v>7227</v>
      </c>
      <c r="BT78" s="17">
        <v>7579</v>
      </c>
      <c r="BU78" s="17">
        <v>7874</v>
      </c>
      <c r="BV78" s="17">
        <v>8160</v>
      </c>
      <c r="BW78" s="17">
        <v>8341</v>
      </c>
      <c r="BX78" s="17">
        <v>8494</v>
      </c>
      <c r="BY78" s="17">
        <v>8592</v>
      </c>
      <c r="BZ78" s="17">
        <v>8670</v>
      </c>
      <c r="CA78" s="17">
        <v>8719</v>
      </c>
      <c r="CB78" s="17">
        <v>8743</v>
      </c>
      <c r="CC78" s="17">
        <v>8754</v>
      </c>
      <c r="CD78" s="17">
        <v>8760</v>
      </c>
      <c r="CE78" s="17">
        <v>8760</v>
      </c>
      <c r="CF78" s="17">
        <v>8760</v>
      </c>
      <c r="CG78" s="17">
        <v>8760</v>
      </c>
      <c r="CH78" s="17">
        <v>8760</v>
      </c>
      <c r="CI78" s="17">
        <v>8760</v>
      </c>
      <c r="CJ78" s="17">
        <v>8760</v>
      </c>
      <c r="CK78" s="17">
        <v>8760</v>
      </c>
      <c r="CL78" s="17">
        <v>8760</v>
      </c>
      <c r="CM78" s="17">
        <v>8760</v>
      </c>
      <c r="CN78" s="17">
        <v>8760</v>
      </c>
      <c r="CO78" s="17">
        <v>8760</v>
      </c>
      <c r="CP78" s="17">
        <v>8760</v>
      </c>
      <c r="CQ78" s="17">
        <v>8760</v>
      </c>
      <c r="CR78" s="17">
        <v>8760</v>
      </c>
      <c r="CS78" s="17">
        <v>8760</v>
      </c>
      <c r="CT78" s="17">
        <v>8760</v>
      </c>
      <c r="CU78" s="17">
        <v>8760</v>
      </c>
      <c r="CV78" s="17">
        <v>8760</v>
      </c>
      <c r="CW78" s="17">
        <v>8760</v>
      </c>
      <c r="CX78" s="17">
        <v>8760</v>
      </c>
      <c r="CY78" s="17">
        <v>8760</v>
      </c>
      <c r="CZ78" s="17">
        <v>8760</v>
      </c>
      <c r="DA78" s="17">
        <v>8760</v>
      </c>
      <c r="DB78" s="17">
        <v>8760</v>
      </c>
    </row>
    <row r="79" spans="1:106" s="17" customFormat="1" x14ac:dyDescent="0.25">
      <c r="A79" s="22" t="s">
        <v>97</v>
      </c>
      <c r="B79" s="17" t="s">
        <v>93</v>
      </c>
      <c r="C79" s="17" t="s">
        <v>438</v>
      </c>
      <c r="D79" s="17" t="s">
        <v>554</v>
      </c>
      <c r="E79" s="17" t="s">
        <v>555</v>
      </c>
      <c r="F79" s="17">
        <v>102813</v>
      </c>
      <c r="G79" s="17">
        <v>0</v>
      </c>
      <c r="H79" s="17">
        <v>0</v>
      </c>
      <c r="I79" s="17">
        <v>0</v>
      </c>
      <c r="J79" s="17">
        <v>0</v>
      </c>
      <c r="K79" s="17">
        <v>0</v>
      </c>
      <c r="L79" s="17">
        <v>0</v>
      </c>
      <c r="M79" s="17">
        <v>0</v>
      </c>
      <c r="N79" s="17">
        <v>0</v>
      </c>
      <c r="O79" s="17">
        <v>0</v>
      </c>
      <c r="P79" s="17">
        <v>0</v>
      </c>
      <c r="Q79" s="17">
        <v>0</v>
      </c>
      <c r="R79" s="17">
        <v>0</v>
      </c>
      <c r="S79" s="17">
        <v>0</v>
      </c>
      <c r="T79" s="17">
        <v>0</v>
      </c>
      <c r="U79" s="17">
        <v>3</v>
      </c>
      <c r="V79" s="17">
        <v>6</v>
      </c>
      <c r="W79" s="17">
        <v>8</v>
      </c>
      <c r="X79" s="17">
        <v>15</v>
      </c>
      <c r="Y79" s="17">
        <v>18</v>
      </c>
      <c r="Z79" s="17">
        <v>39</v>
      </c>
      <c r="AA79" s="17">
        <v>57</v>
      </c>
      <c r="AB79" s="17">
        <v>73</v>
      </c>
      <c r="AC79" s="17">
        <v>96</v>
      </c>
      <c r="AD79" s="17">
        <v>128</v>
      </c>
      <c r="AE79" s="17">
        <v>146</v>
      </c>
      <c r="AF79" s="17">
        <v>177</v>
      </c>
      <c r="AG79" s="17">
        <v>215</v>
      </c>
      <c r="AH79" s="17">
        <v>260</v>
      </c>
      <c r="AI79" s="17">
        <v>305</v>
      </c>
      <c r="AJ79" s="17">
        <v>359</v>
      </c>
      <c r="AK79" s="17">
        <v>428</v>
      </c>
      <c r="AL79" s="17">
        <v>511</v>
      </c>
      <c r="AM79" s="17">
        <v>588</v>
      </c>
      <c r="AN79" s="17">
        <v>665</v>
      </c>
      <c r="AO79" s="17">
        <v>756</v>
      </c>
      <c r="AP79" s="17">
        <v>846</v>
      </c>
      <c r="AQ79" s="17">
        <v>941</v>
      </c>
      <c r="AR79" s="17">
        <v>1055</v>
      </c>
      <c r="AS79" s="17">
        <v>1209</v>
      </c>
      <c r="AT79" s="17">
        <v>1372</v>
      </c>
      <c r="AU79" s="17">
        <v>1520</v>
      </c>
      <c r="AV79" s="17">
        <v>1669</v>
      </c>
      <c r="AW79" s="17">
        <v>1848</v>
      </c>
      <c r="AX79" s="17">
        <v>2039</v>
      </c>
      <c r="AY79" s="17">
        <v>2279</v>
      </c>
      <c r="AZ79" s="17">
        <v>2556</v>
      </c>
      <c r="BA79" s="17">
        <v>2901</v>
      </c>
      <c r="BB79" s="17">
        <v>3263</v>
      </c>
      <c r="BC79" s="17">
        <v>3608</v>
      </c>
      <c r="BD79" s="17">
        <v>4011</v>
      </c>
      <c r="BE79" s="17">
        <v>4369</v>
      </c>
      <c r="BF79" s="17">
        <v>4668</v>
      </c>
      <c r="BG79" s="17">
        <v>4938</v>
      </c>
      <c r="BH79" s="17">
        <v>5202</v>
      </c>
      <c r="BI79" s="17">
        <v>5501</v>
      </c>
      <c r="BJ79" s="17">
        <v>5864</v>
      </c>
      <c r="BK79" s="17">
        <v>6190</v>
      </c>
      <c r="BL79" s="17">
        <v>6476</v>
      </c>
      <c r="BM79" s="17">
        <v>6716</v>
      </c>
      <c r="BN79" s="17">
        <v>7008</v>
      </c>
      <c r="BO79" s="17">
        <v>7241</v>
      </c>
      <c r="BP79" s="17">
        <v>7454</v>
      </c>
      <c r="BQ79" s="17">
        <v>7674</v>
      </c>
      <c r="BR79" s="17">
        <v>7883</v>
      </c>
      <c r="BS79" s="17">
        <v>8102</v>
      </c>
      <c r="BT79" s="17">
        <v>8284</v>
      </c>
      <c r="BU79" s="17">
        <v>8424</v>
      </c>
      <c r="BV79" s="17">
        <v>8540</v>
      </c>
      <c r="BW79" s="17">
        <v>8629</v>
      </c>
      <c r="BX79" s="17">
        <v>8676</v>
      </c>
      <c r="BY79" s="17">
        <v>8706</v>
      </c>
      <c r="BZ79" s="17">
        <v>8729</v>
      </c>
      <c r="CA79" s="17">
        <v>8734</v>
      </c>
      <c r="CB79" s="17">
        <v>8743</v>
      </c>
      <c r="CC79" s="17">
        <v>8755</v>
      </c>
      <c r="CD79" s="17">
        <v>8760</v>
      </c>
      <c r="CE79" s="17">
        <v>8760</v>
      </c>
      <c r="CF79" s="17">
        <v>8760</v>
      </c>
      <c r="CG79" s="17">
        <v>8760</v>
      </c>
      <c r="CH79" s="17">
        <v>8760</v>
      </c>
      <c r="CI79" s="17">
        <v>8760</v>
      </c>
      <c r="CJ79" s="17">
        <v>8760</v>
      </c>
      <c r="CK79" s="17">
        <v>8760</v>
      </c>
      <c r="CL79" s="17">
        <v>8760</v>
      </c>
      <c r="CM79" s="17">
        <v>8760</v>
      </c>
      <c r="CN79" s="17">
        <v>8760</v>
      </c>
      <c r="CO79" s="17">
        <v>8760</v>
      </c>
      <c r="CP79" s="17">
        <v>8760</v>
      </c>
      <c r="CQ79" s="17">
        <v>8760</v>
      </c>
      <c r="CR79" s="17">
        <v>8760</v>
      </c>
      <c r="CS79" s="17">
        <v>8760</v>
      </c>
      <c r="CT79" s="17">
        <v>8760</v>
      </c>
      <c r="CU79" s="17">
        <v>8760</v>
      </c>
      <c r="CV79" s="17">
        <v>8760</v>
      </c>
      <c r="CW79" s="17">
        <v>8760</v>
      </c>
      <c r="CX79" s="17">
        <v>8760</v>
      </c>
      <c r="CY79" s="17">
        <v>8760</v>
      </c>
      <c r="CZ79" s="17">
        <v>8760</v>
      </c>
      <c r="DA79" s="17">
        <v>8760</v>
      </c>
      <c r="DB79" s="17">
        <v>8760</v>
      </c>
    </row>
    <row r="80" spans="1:106" s="17" customFormat="1" x14ac:dyDescent="0.25">
      <c r="A80" s="22" t="s">
        <v>98</v>
      </c>
      <c r="B80" s="17" t="s">
        <v>95</v>
      </c>
      <c r="C80" s="17" t="s">
        <v>438</v>
      </c>
      <c r="D80" s="17" t="s">
        <v>556</v>
      </c>
      <c r="E80" s="17" t="s">
        <v>557</v>
      </c>
      <c r="F80" s="17">
        <v>102012</v>
      </c>
      <c r="G80" s="17">
        <v>0</v>
      </c>
      <c r="H80" s="17">
        <v>0</v>
      </c>
      <c r="I80" s="17">
        <v>0</v>
      </c>
      <c r="J80" s="17">
        <v>0</v>
      </c>
      <c r="K80" s="17">
        <v>0</v>
      </c>
      <c r="L80" s="17">
        <v>0</v>
      </c>
      <c r="M80" s="17">
        <v>0</v>
      </c>
      <c r="N80" s="17">
        <v>0</v>
      </c>
      <c r="O80" s="17">
        <v>0</v>
      </c>
      <c r="P80" s="17">
        <v>0</v>
      </c>
      <c r="Q80" s="17">
        <v>0</v>
      </c>
      <c r="R80" s="17">
        <v>0</v>
      </c>
      <c r="S80" s="17">
        <v>0</v>
      </c>
      <c r="T80" s="17">
        <v>0</v>
      </c>
      <c r="U80" s="17">
        <v>0</v>
      </c>
      <c r="V80" s="17">
        <v>0</v>
      </c>
      <c r="W80" s="17">
        <v>0</v>
      </c>
      <c r="X80" s="17">
        <v>0</v>
      </c>
      <c r="Y80" s="17">
        <v>0</v>
      </c>
      <c r="Z80" s="17">
        <v>13</v>
      </c>
      <c r="AA80" s="17">
        <v>16</v>
      </c>
      <c r="AB80" s="17">
        <v>20</v>
      </c>
      <c r="AC80" s="17">
        <v>54</v>
      </c>
      <c r="AD80" s="17">
        <v>77</v>
      </c>
      <c r="AE80" s="17">
        <v>108</v>
      </c>
      <c r="AF80" s="17">
        <v>142</v>
      </c>
      <c r="AG80" s="17">
        <v>180</v>
      </c>
      <c r="AH80" s="17">
        <v>236</v>
      </c>
      <c r="AI80" s="17">
        <v>317</v>
      </c>
      <c r="AJ80" s="17">
        <v>385</v>
      </c>
      <c r="AK80" s="17">
        <v>451</v>
      </c>
      <c r="AL80" s="17">
        <v>534</v>
      </c>
      <c r="AM80" s="17">
        <v>641</v>
      </c>
      <c r="AN80" s="17">
        <v>745</v>
      </c>
      <c r="AO80" s="17">
        <v>844</v>
      </c>
      <c r="AP80" s="17">
        <v>946</v>
      </c>
      <c r="AQ80" s="17">
        <v>1085</v>
      </c>
      <c r="AR80" s="17">
        <v>1207</v>
      </c>
      <c r="AS80" s="17">
        <v>1329</v>
      </c>
      <c r="AT80" s="17">
        <v>1543</v>
      </c>
      <c r="AU80" s="17">
        <v>1772</v>
      </c>
      <c r="AV80" s="17">
        <v>1990</v>
      </c>
      <c r="AW80" s="17">
        <v>2253</v>
      </c>
      <c r="AX80" s="17">
        <v>2480</v>
      </c>
      <c r="AY80" s="17">
        <v>2748</v>
      </c>
      <c r="AZ80" s="17">
        <v>3029</v>
      </c>
      <c r="BA80" s="17">
        <v>3343</v>
      </c>
      <c r="BB80" s="17">
        <v>3686</v>
      </c>
      <c r="BC80" s="17">
        <v>4002</v>
      </c>
      <c r="BD80" s="17">
        <v>4342</v>
      </c>
      <c r="BE80" s="17">
        <v>4612</v>
      </c>
      <c r="BF80" s="17">
        <v>4909</v>
      </c>
      <c r="BG80" s="17">
        <v>5205</v>
      </c>
      <c r="BH80" s="17">
        <v>5516</v>
      </c>
      <c r="BI80" s="17">
        <v>5764</v>
      </c>
      <c r="BJ80" s="17">
        <v>6067</v>
      </c>
      <c r="BK80" s="17">
        <v>6357</v>
      </c>
      <c r="BL80" s="17">
        <v>6602</v>
      </c>
      <c r="BM80" s="17">
        <v>6857</v>
      </c>
      <c r="BN80" s="17">
        <v>7099</v>
      </c>
      <c r="BO80" s="17">
        <v>7380</v>
      </c>
      <c r="BP80" s="17">
        <v>7659</v>
      </c>
      <c r="BQ80" s="17">
        <v>7895</v>
      </c>
      <c r="BR80" s="17">
        <v>8105</v>
      </c>
      <c r="BS80" s="17">
        <v>8278</v>
      </c>
      <c r="BT80" s="17">
        <v>8411</v>
      </c>
      <c r="BU80" s="17">
        <v>8531</v>
      </c>
      <c r="BV80" s="17">
        <v>8615</v>
      </c>
      <c r="BW80" s="17">
        <v>8674</v>
      </c>
      <c r="BX80" s="17">
        <v>8710</v>
      </c>
      <c r="BY80" s="17">
        <v>8737</v>
      </c>
      <c r="BZ80" s="17">
        <v>8755</v>
      </c>
      <c r="CA80" s="17">
        <v>8757</v>
      </c>
      <c r="CB80" s="17">
        <v>8759</v>
      </c>
      <c r="CC80" s="17">
        <v>8760</v>
      </c>
      <c r="CD80" s="17">
        <v>8760</v>
      </c>
      <c r="CE80" s="17">
        <v>8760</v>
      </c>
      <c r="CF80" s="17">
        <v>8760</v>
      </c>
      <c r="CG80" s="17">
        <v>8760</v>
      </c>
      <c r="CH80" s="17">
        <v>8760</v>
      </c>
      <c r="CI80" s="17">
        <v>8760</v>
      </c>
      <c r="CJ80" s="17">
        <v>8760</v>
      </c>
      <c r="CK80" s="17">
        <v>8760</v>
      </c>
      <c r="CL80" s="17">
        <v>8760</v>
      </c>
      <c r="CM80" s="17">
        <v>8760</v>
      </c>
      <c r="CN80" s="17">
        <v>8760</v>
      </c>
      <c r="CO80" s="17">
        <v>8760</v>
      </c>
      <c r="CP80" s="17">
        <v>8760</v>
      </c>
      <c r="CQ80" s="17">
        <v>8760</v>
      </c>
      <c r="CR80" s="17">
        <v>8760</v>
      </c>
      <c r="CS80" s="17">
        <v>8760</v>
      </c>
      <c r="CT80" s="17">
        <v>8760</v>
      </c>
      <c r="CU80" s="17">
        <v>8760</v>
      </c>
      <c r="CV80" s="17">
        <v>8760</v>
      </c>
      <c r="CW80" s="17">
        <v>8760</v>
      </c>
      <c r="CX80" s="17">
        <v>8760</v>
      </c>
      <c r="CY80" s="17">
        <v>8760</v>
      </c>
      <c r="CZ80" s="17">
        <v>8760</v>
      </c>
      <c r="DA80" s="17">
        <v>8760</v>
      </c>
      <c r="DB80" s="17">
        <v>8760</v>
      </c>
    </row>
    <row r="81" spans="1:106" s="17" customFormat="1" x14ac:dyDescent="0.25">
      <c r="A81" s="22" t="s">
        <v>99</v>
      </c>
      <c r="B81" s="17" t="s">
        <v>96</v>
      </c>
      <c r="C81" s="17" t="s">
        <v>438</v>
      </c>
      <c r="D81" s="17" t="s">
        <v>558</v>
      </c>
      <c r="E81" s="17" t="s">
        <v>559</v>
      </c>
      <c r="F81" s="17">
        <v>102711</v>
      </c>
      <c r="G81" s="17">
        <v>0</v>
      </c>
      <c r="H81" s="17">
        <v>0</v>
      </c>
      <c r="I81" s="17">
        <v>0</v>
      </c>
      <c r="J81" s="17">
        <v>0</v>
      </c>
      <c r="K81" s="17">
        <v>0</v>
      </c>
      <c r="L81" s="17">
        <v>0</v>
      </c>
      <c r="M81" s="17">
        <v>0</v>
      </c>
      <c r="N81" s="17">
        <v>0</v>
      </c>
      <c r="O81" s="17">
        <v>0</v>
      </c>
      <c r="P81" s="17">
        <v>0</v>
      </c>
      <c r="Q81" s="17">
        <v>0</v>
      </c>
      <c r="R81" s="17">
        <v>0</v>
      </c>
      <c r="S81" s="17">
        <v>0</v>
      </c>
      <c r="T81" s="17">
        <v>0</v>
      </c>
      <c r="U81" s="17">
        <v>0</v>
      </c>
      <c r="V81" s="17">
        <v>0</v>
      </c>
      <c r="W81" s="17">
        <v>0</v>
      </c>
      <c r="X81" s="17">
        <v>0</v>
      </c>
      <c r="Y81" s="17">
        <v>0</v>
      </c>
      <c r="Z81" s="17">
        <v>0</v>
      </c>
      <c r="AA81" s="17">
        <v>0</v>
      </c>
      <c r="AB81" s="17">
        <v>0</v>
      </c>
      <c r="AC81" s="17">
        <v>0</v>
      </c>
      <c r="AD81" s="17">
        <v>0</v>
      </c>
      <c r="AE81" s="17">
        <v>0</v>
      </c>
      <c r="AF81" s="17">
        <v>0</v>
      </c>
      <c r="AG81" s="17">
        <v>0</v>
      </c>
      <c r="AH81" s="17">
        <v>0</v>
      </c>
      <c r="AI81" s="17">
        <v>0</v>
      </c>
      <c r="AJ81" s="17">
        <v>1</v>
      </c>
      <c r="AK81" s="17">
        <v>9</v>
      </c>
      <c r="AL81" s="17">
        <v>15</v>
      </c>
      <c r="AM81" s="17">
        <v>25</v>
      </c>
      <c r="AN81" s="17">
        <v>41</v>
      </c>
      <c r="AO81" s="17">
        <v>53</v>
      </c>
      <c r="AP81" s="17">
        <v>92</v>
      </c>
      <c r="AQ81" s="17">
        <v>149</v>
      </c>
      <c r="AR81" s="17">
        <v>198</v>
      </c>
      <c r="AS81" s="17">
        <v>262</v>
      </c>
      <c r="AT81" s="17">
        <v>340</v>
      </c>
      <c r="AU81" s="17">
        <v>435</v>
      </c>
      <c r="AV81" s="17">
        <v>570</v>
      </c>
      <c r="AW81" s="17">
        <v>677</v>
      </c>
      <c r="AX81" s="17">
        <v>780</v>
      </c>
      <c r="AY81" s="17">
        <v>915</v>
      </c>
      <c r="AZ81" s="17">
        <v>1063</v>
      </c>
      <c r="BA81" s="17">
        <v>1255</v>
      </c>
      <c r="BB81" s="17">
        <v>1525</v>
      </c>
      <c r="BC81" s="17">
        <v>1813</v>
      </c>
      <c r="BD81" s="17">
        <v>2105</v>
      </c>
      <c r="BE81" s="17">
        <v>2539</v>
      </c>
      <c r="BF81" s="17">
        <v>2966</v>
      </c>
      <c r="BG81" s="17">
        <v>3387</v>
      </c>
      <c r="BH81" s="17">
        <v>3759</v>
      </c>
      <c r="BI81" s="17">
        <v>4092</v>
      </c>
      <c r="BJ81" s="17">
        <v>4464</v>
      </c>
      <c r="BK81" s="17">
        <v>4795</v>
      </c>
      <c r="BL81" s="17">
        <v>5174</v>
      </c>
      <c r="BM81" s="17">
        <v>5525</v>
      </c>
      <c r="BN81" s="17">
        <v>5858</v>
      </c>
      <c r="BO81" s="17">
        <v>6186</v>
      </c>
      <c r="BP81" s="17">
        <v>6507</v>
      </c>
      <c r="BQ81" s="17">
        <v>6822</v>
      </c>
      <c r="BR81" s="17">
        <v>7111</v>
      </c>
      <c r="BS81" s="17">
        <v>7403</v>
      </c>
      <c r="BT81" s="17">
        <v>7654</v>
      </c>
      <c r="BU81" s="17">
        <v>7887</v>
      </c>
      <c r="BV81" s="17">
        <v>8096</v>
      </c>
      <c r="BW81" s="17">
        <v>8273</v>
      </c>
      <c r="BX81" s="17">
        <v>8428</v>
      </c>
      <c r="BY81" s="17">
        <v>8549</v>
      </c>
      <c r="BZ81" s="17">
        <v>8615</v>
      </c>
      <c r="CA81" s="17">
        <v>8664</v>
      </c>
      <c r="CB81" s="17">
        <v>8688</v>
      </c>
      <c r="CC81" s="17">
        <v>8710</v>
      </c>
      <c r="CD81" s="17">
        <v>8729</v>
      </c>
      <c r="CE81" s="17">
        <v>8737</v>
      </c>
      <c r="CF81" s="17">
        <v>8748</v>
      </c>
      <c r="CG81" s="17">
        <v>8759</v>
      </c>
      <c r="CH81" s="17">
        <v>8760</v>
      </c>
      <c r="CI81" s="17">
        <v>8760</v>
      </c>
      <c r="CJ81" s="17">
        <v>8760</v>
      </c>
      <c r="CK81" s="17">
        <v>8760</v>
      </c>
      <c r="CL81" s="17">
        <v>8760</v>
      </c>
      <c r="CM81" s="17">
        <v>8760</v>
      </c>
      <c r="CN81" s="17">
        <v>8760</v>
      </c>
      <c r="CO81" s="17">
        <v>8760</v>
      </c>
      <c r="CP81" s="17">
        <v>8760</v>
      </c>
      <c r="CQ81" s="17">
        <v>8760</v>
      </c>
      <c r="CR81" s="17">
        <v>8760</v>
      </c>
      <c r="CS81" s="17">
        <v>8760</v>
      </c>
      <c r="CT81" s="17">
        <v>8760</v>
      </c>
      <c r="CU81" s="17">
        <v>8760</v>
      </c>
      <c r="CV81" s="17">
        <v>8760</v>
      </c>
      <c r="CW81" s="17">
        <v>8760</v>
      </c>
      <c r="CX81" s="17">
        <v>8760</v>
      </c>
      <c r="CY81" s="17">
        <v>8760</v>
      </c>
      <c r="CZ81" s="17">
        <v>8760</v>
      </c>
      <c r="DA81" s="17">
        <v>8760</v>
      </c>
      <c r="DB81" s="17">
        <v>8760</v>
      </c>
    </row>
    <row r="82" spans="1:106" s="17" customFormat="1" x14ac:dyDescent="0.25">
      <c r="A82" s="22" t="s">
        <v>100</v>
      </c>
      <c r="B82" s="17" t="s">
        <v>99</v>
      </c>
      <c r="C82" s="17" t="s">
        <v>438</v>
      </c>
      <c r="D82" s="17" t="s">
        <v>560</v>
      </c>
      <c r="E82" s="17" t="s">
        <v>561</v>
      </c>
      <c r="F82" s="17">
        <v>102201</v>
      </c>
      <c r="G82" s="17">
        <v>0</v>
      </c>
      <c r="H82" s="17">
        <v>0</v>
      </c>
      <c r="I82" s="17">
        <v>0</v>
      </c>
      <c r="J82" s="17">
        <v>0</v>
      </c>
      <c r="K82" s="17">
        <v>0</v>
      </c>
      <c r="L82" s="17">
        <v>0</v>
      </c>
      <c r="M82" s="17">
        <v>0</v>
      </c>
      <c r="N82" s="17">
        <v>0</v>
      </c>
      <c r="O82" s="17">
        <v>0</v>
      </c>
      <c r="P82" s="17">
        <v>0</v>
      </c>
      <c r="Q82" s="17">
        <v>0</v>
      </c>
      <c r="R82" s="17">
        <v>0</v>
      </c>
      <c r="S82" s="17">
        <v>0</v>
      </c>
      <c r="T82" s="17">
        <v>0</v>
      </c>
      <c r="U82" s="17">
        <v>0</v>
      </c>
      <c r="V82" s="17">
        <v>0</v>
      </c>
      <c r="W82" s="17">
        <v>0</v>
      </c>
      <c r="X82" s="17">
        <v>0</v>
      </c>
      <c r="Y82" s="17">
        <v>0</v>
      </c>
      <c r="Z82" s="17">
        <v>0</v>
      </c>
      <c r="AA82" s="17">
        <v>0</v>
      </c>
      <c r="AB82" s="17">
        <v>0</v>
      </c>
      <c r="AC82" s="17">
        <v>0</v>
      </c>
      <c r="AD82" s="17">
        <v>0</v>
      </c>
      <c r="AE82" s="17">
        <v>0</v>
      </c>
      <c r="AF82" s="17">
        <v>0</v>
      </c>
      <c r="AG82" s="17">
        <v>0</v>
      </c>
      <c r="AH82" s="17">
        <v>0</v>
      </c>
      <c r="AI82" s="17">
        <v>0</v>
      </c>
      <c r="AJ82" s="17">
        <v>0</v>
      </c>
      <c r="AK82" s="17">
        <v>0</v>
      </c>
      <c r="AL82" s="17">
        <v>0</v>
      </c>
      <c r="AM82" s="17">
        <v>0</v>
      </c>
      <c r="AN82" s="17">
        <v>0</v>
      </c>
      <c r="AO82" s="17">
        <v>1</v>
      </c>
      <c r="AP82" s="17">
        <v>8</v>
      </c>
      <c r="AQ82" s="17">
        <v>13</v>
      </c>
      <c r="AR82" s="17">
        <v>18</v>
      </c>
      <c r="AS82" s="17">
        <v>23</v>
      </c>
      <c r="AT82" s="17">
        <v>30</v>
      </c>
      <c r="AU82" s="17">
        <v>62</v>
      </c>
      <c r="AV82" s="17">
        <v>84</v>
      </c>
      <c r="AW82" s="17">
        <v>126</v>
      </c>
      <c r="AX82" s="17">
        <v>162</v>
      </c>
      <c r="AY82" s="17">
        <v>196</v>
      </c>
      <c r="AZ82" s="17">
        <v>248</v>
      </c>
      <c r="BA82" s="17">
        <v>332</v>
      </c>
      <c r="BB82" s="17">
        <v>511</v>
      </c>
      <c r="BC82" s="17">
        <v>763</v>
      </c>
      <c r="BD82" s="17">
        <v>1043</v>
      </c>
      <c r="BE82" s="17">
        <v>1443</v>
      </c>
      <c r="BF82" s="17">
        <v>1967</v>
      </c>
      <c r="BG82" s="17">
        <v>2438</v>
      </c>
      <c r="BH82" s="17">
        <v>2945</v>
      </c>
      <c r="BI82" s="17">
        <v>3378</v>
      </c>
      <c r="BJ82" s="17">
        <v>3730</v>
      </c>
      <c r="BK82" s="17">
        <v>4032</v>
      </c>
      <c r="BL82" s="17">
        <v>4395</v>
      </c>
      <c r="BM82" s="17">
        <v>4708</v>
      </c>
      <c r="BN82" s="17">
        <v>5044</v>
      </c>
      <c r="BO82" s="17">
        <v>5359</v>
      </c>
      <c r="BP82" s="17">
        <v>5721</v>
      </c>
      <c r="BQ82" s="17">
        <v>6124</v>
      </c>
      <c r="BR82" s="17">
        <v>6576</v>
      </c>
      <c r="BS82" s="17">
        <v>7034</v>
      </c>
      <c r="BT82" s="17">
        <v>7408</v>
      </c>
      <c r="BU82" s="17">
        <v>7708</v>
      </c>
      <c r="BV82" s="17">
        <v>7966</v>
      </c>
      <c r="BW82" s="17">
        <v>8138</v>
      </c>
      <c r="BX82" s="17">
        <v>8277</v>
      </c>
      <c r="BY82" s="17">
        <v>8401</v>
      </c>
      <c r="BZ82" s="17">
        <v>8495</v>
      </c>
      <c r="CA82" s="17">
        <v>8592</v>
      </c>
      <c r="CB82" s="17">
        <v>8667</v>
      </c>
      <c r="CC82" s="17">
        <v>8697</v>
      </c>
      <c r="CD82" s="17">
        <v>8718</v>
      </c>
      <c r="CE82" s="17">
        <v>8738</v>
      </c>
      <c r="CF82" s="17">
        <v>8750</v>
      </c>
      <c r="CG82" s="17">
        <v>8756</v>
      </c>
      <c r="CH82" s="17">
        <v>8759</v>
      </c>
      <c r="CI82" s="17">
        <v>8760</v>
      </c>
      <c r="CJ82" s="17">
        <v>8760</v>
      </c>
      <c r="CK82" s="17">
        <v>8760</v>
      </c>
      <c r="CL82" s="17">
        <v>8760</v>
      </c>
      <c r="CM82" s="17">
        <v>8760</v>
      </c>
      <c r="CN82" s="17">
        <v>8760</v>
      </c>
      <c r="CO82" s="17">
        <v>8760</v>
      </c>
      <c r="CP82" s="17">
        <v>8760</v>
      </c>
      <c r="CQ82" s="17">
        <v>8760</v>
      </c>
      <c r="CR82" s="17">
        <v>8760</v>
      </c>
      <c r="CS82" s="17">
        <v>8760</v>
      </c>
      <c r="CT82" s="17">
        <v>8760</v>
      </c>
      <c r="CU82" s="17">
        <v>8760</v>
      </c>
      <c r="CV82" s="17">
        <v>8760</v>
      </c>
      <c r="CW82" s="17">
        <v>8760</v>
      </c>
      <c r="CX82" s="17">
        <v>8760</v>
      </c>
      <c r="CY82" s="17">
        <v>8760</v>
      </c>
      <c r="CZ82" s="17">
        <v>8760</v>
      </c>
      <c r="DA82" s="17">
        <v>8760</v>
      </c>
      <c r="DB82" s="17">
        <v>8760</v>
      </c>
    </row>
    <row r="83" spans="1:106" s="17" customFormat="1" x14ac:dyDescent="0.25">
      <c r="A83" s="22" t="s">
        <v>101</v>
      </c>
      <c r="B83" s="17" t="s">
        <v>100</v>
      </c>
      <c r="C83" s="17" t="s">
        <v>438</v>
      </c>
      <c r="D83" s="17" t="s">
        <v>562</v>
      </c>
      <c r="E83" s="17" t="s">
        <v>563</v>
      </c>
      <c r="F83" s="17">
        <v>102519</v>
      </c>
      <c r="G83" s="17">
        <v>0</v>
      </c>
      <c r="H83" s="17">
        <v>0</v>
      </c>
      <c r="I83" s="17">
        <v>0</v>
      </c>
      <c r="J83" s="17">
        <v>0</v>
      </c>
      <c r="K83" s="17">
        <v>0</v>
      </c>
      <c r="L83" s="17">
        <v>0</v>
      </c>
      <c r="M83" s="17">
        <v>0</v>
      </c>
      <c r="N83" s="17">
        <v>0</v>
      </c>
      <c r="O83" s="17">
        <v>0</v>
      </c>
      <c r="P83" s="17">
        <v>0</v>
      </c>
      <c r="Q83" s="17">
        <v>0</v>
      </c>
      <c r="R83" s="17">
        <v>0</v>
      </c>
      <c r="S83" s="17">
        <v>0</v>
      </c>
      <c r="T83" s="17">
        <v>0</v>
      </c>
      <c r="U83" s="17">
        <v>0</v>
      </c>
      <c r="V83" s="17">
        <v>0</v>
      </c>
      <c r="W83" s="17">
        <v>0</v>
      </c>
      <c r="X83" s="17">
        <v>0</v>
      </c>
      <c r="Y83" s="17">
        <v>0</v>
      </c>
      <c r="Z83" s="17">
        <v>0</v>
      </c>
      <c r="AA83" s="17">
        <v>0</v>
      </c>
      <c r="AB83" s="17">
        <v>0</v>
      </c>
      <c r="AC83" s="17">
        <v>0</v>
      </c>
      <c r="AD83" s="17">
        <v>0</v>
      </c>
      <c r="AE83" s="17">
        <v>0</v>
      </c>
      <c r="AF83" s="17">
        <v>0</v>
      </c>
      <c r="AG83" s="17">
        <v>0</v>
      </c>
      <c r="AH83" s="17">
        <v>0</v>
      </c>
      <c r="AI83" s="17">
        <v>0</v>
      </c>
      <c r="AJ83" s="17">
        <v>0</v>
      </c>
      <c r="AK83" s="17">
        <v>4</v>
      </c>
      <c r="AL83" s="17">
        <v>9</v>
      </c>
      <c r="AM83" s="17">
        <v>18</v>
      </c>
      <c r="AN83" s="17">
        <v>25</v>
      </c>
      <c r="AO83" s="17">
        <v>41</v>
      </c>
      <c r="AP83" s="17">
        <v>57</v>
      </c>
      <c r="AQ83" s="17">
        <v>72</v>
      </c>
      <c r="AR83" s="17">
        <v>84</v>
      </c>
      <c r="AS83" s="17">
        <v>107</v>
      </c>
      <c r="AT83" s="17">
        <v>130</v>
      </c>
      <c r="AU83" s="17">
        <v>163</v>
      </c>
      <c r="AV83" s="17">
        <v>211</v>
      </c>
      <c r="AW83" s="17">
        <v>264</v>
      </c>
      <c r="AX83" s="17">
        <v>367</v>
      </c>
      <c r="AY83" s="17">
        <v>500</v>
      </c>
      <c r="AZ83" s="17">
        <v>659</v>
      </c>
      <c r="BA83" s="17">
        <v>825</v>
      </c>
      <c r="BB83" s="17">
        <v>1038</v>
      </c>
      <c r="BC83" s="17">
        <v>1294</v>
      </c>
      <c r="BD83" s="17">
        <v>1594</v>
      </c>
      <c r="BE83" s="17">
        <v>2055</v>
      </c>
      <c r="BF83" s="17">
        <v>2447</v>
      </c>
      <c r="BG83" s="17">
        <v>2854</v>
      </c>
      <c r="BH83" s="17">
        <v>3311</v>
      </c>
      <c r="BI83" s="17">
        <v>3695</v>
      </c>
      <c r="BJ83" s="17">
        <v>4075</v>
      </c>
      <c r="BK83" s="17">
        <v>4431</v>
      </c>
      <c r="BL83" s="17">
        <v>4785</v>
      </c>
      <c r="BM83" s="17">
        <v>5101</v>
      </c>
      <c r="BN83" s="17">
        <v>5447</v>
      </c>
      <c r="BO83" s="17">
        <v>5809</v>
      </c>
      <c r="BP83" s="17">
        <v>6171</v>
      </c>
      <c r="BQ83" s="17">
        <v>6591</v>
      </c>
      <c r="BR83" s="17">
        <v>6987</v>
      </c>
      <c r="BS83" s="17">
        <v>7355</v>
      </c>
      <c r="BT83" s="17">
        <v>7678</v>
      </c>
      <c r="BU83" s="17">
        <v>7941</v>
      </c>
      <c r="BV83" s="17">
        <v>8140</v>
      </c>
      <c r="BW83" s="17">
        <v>8298</v>
      </c>
      <c r="BX83" s="17">
        <v>8426</v>
      </c>
      <c r="BY83" s="17">
        <v>8514</v>
      </c>
      <c r="BZ83" s="17">
        <v>8579</v>
      </c>
      <c r="CA83" s="17">
        <v>8625</v>
      </c>
      <c r="CB83" s="17">
        <v>8670</v>
      </c>
      <c r="CC83" s="17">
        <v>8689</v>
      </c>
      <c r="CD83" s="17">
        <v>8710</v>
      </c>
      <c r="CE83" s="17">
        <v>8728</v>
      </c>
      <c r="CF83" s="17">
        <v>8749</v>
      </c>
      <c r="CG83" s="17">
        <v>8756</v>
      </c>
      <c r="CH83" s="17">
        <v>8758</v>
      </c>
      <c r="CI83" s="17">
        <v>8760</v>
      </c>
      <c r="CJ83" s="17">
        <v>8760</v>
      </c>
      <c r="CK83" s="17">
        <v>8760</v>
      </c>
      <c r="CL83" s="17">
        <v>8760</v>
      </c>
      <c r="CM83" s="17">
        <v>8760</v>
      </c>
      <c r="CN83" s="17">
        <v>8760</v>
      </c>
      <c r="CO83" s="17">
        <v>8760</v>
      </c>
      <c r="CP83" s="17">
        <v>8760</v>
      </c>
      <c r="CQ83" s="17">
        <v>8760</v>
      </c>
      <c r="CR83" s="17">
        <v>8760</v>
      </c>
      <c r="CS83" s="17">
        <v>8760</v>
      </c>
      <c r="CT83" s="17">
        <v>8760</v>
      </c>
      <c r="CU83" s="17">
        <v>8760</v>
      </c>
      <c r="CV83" s="17">
        <v>8760</v>
      </c>
      <c r="CW83" s="17">
        <v>8760</v>
      </c>
      <c r="CX83" s="17">
        <v>8760</v>
      </c>
      <c r="CY83" s="17">
        <v>8760</v>
      </c>
      <c r="CZ83" s="17">
        <v>8760</v>
      </c>
      <c r="DA83" s="17">
        <v>8760</v>
      </c>
      <c r="DB83" s="17">
        <v>8760</v>
      </c>
    </row>
    <row r="84" spans="1:106" s="17" customFormat="1" x14ac:dyDescent="0.25">
      <c r="A84" s="22" t="s">
        <v>102</v>
      </c>
      <c r="B84" s="17" t="s">
        <v>102</v>
      </c>
      <c r="C84" s="17" t="s">
        <v>438</v>
      </c>
      <c r="D84" s="17" t="s">
        <v>564</v>
      </c>
      <c r="E84" s="17" t="s">
        <v>565</v>
      </c>
      <c r="F84" s="17">
        <v>102345</v>
      </c>
      <c r="G84" s="17">
        <v>0</v>
      </c>
      <c r="H84" s="17">
        <v>0</v>
      </c>
      <c r="I84" s="17">
        <v>0</v>
      </c>
      <c r="J84" s="17">
        <v>0</v>
      </c>
      <c r="K84" s="17">
        <v>0</v>
      </c>
      <c r="L84" s="17">
        <v>0</v>
      </c>
      <c r="M84" s="17">
        <v>0</v>
      </c>
      <c r="N84" s="17">
        <v>0</v>
      </c>
      <c r="O84" s="17">
        <v>0</v>
      </c>
      <c r="P84" s="17">
        <v>0</v>
      </c>
      <c r="Q84" s="17">
        <v>0</v>
      </c>
      <c r="R84" s="17">
        <v>0</v>
      </c>
      <c r="S84" s="17">
        <v>0</v>
      </c>
      <c r="T84" s="17">
        <v>0</v>
      </c>
      <c r="U84" s="17">
        <v>0</v>
      </c>
      <c r="V84" s="17">
        <v>0</v>
      </c>
      <c r="W84" s="17">
        <v>0</v>
      </c>
      <c r="X84" s="17">
        <v>0</v>
      </c>
      <c r="Y84" s="17">
        <v>0</v>
      </c>
      <c r="Z84" s="17">
        <v>0</v>
      </c>
      <c r="AA84" s="17">
        <v>0</v>
      </c>
      <c r="AB84" s="17">
        <v>0</v>
      </c>
      <c r="AC84" s="17">
        <v>0</v>
      </c>
      <c r="AD84" s="17">
        <v>0</v>
      </c>
      <c r="AE84" s="17">
        <v>0</v>
      </c>
      <c r="AF84" s="17">
        <v>0</v>
      </c>
      <c r="AG84" s="17">
        <v>0</v>
      </c>
      <c r="AH84" s="17">
        <v>0</v>
      </c>
      <c r="AI84" s="17">
        <v>0</v>
      </c>
      <c r="AJ84" s="17">
        <v>0</v>
      </c>
      <c r="AK84" s="17">
        <v>0</v>
      </c>
      <c r="AL84" s="17">
        <v>1</v>
      </c>
      <c r="AM84" s="17">
        <v>6</v>
      </c>
      <c r="AN84" s="17">
        <v>20</v>
      </c>
      <c r="AO84" s="17">
        <v>28</v>
      </c>
      <c r="AP84" s="17">
        <v>42</v>
      </c>
      <c r="AQ84" s="17">
        <v>57</v>
      </c>
      <c r="AR84" s="17">
        <v>75</v>
      </c>
      <c r="AS84" s="17">
        <v>116</v>
      </c>
      <c r="AT84" s="17">
        <v>151</v>
      </c>
      <c r="AU84" s="17">
        <v>198</v>
      </c>
      <c r="AV84" s="17">
        <v>273</v>
      </c>
      <c r="AW84" s="17">
        <v>377</v>
      </c>
      <c r="AX84" s="17">
        <v>499</v>
      </c>
      <c r="AY84" s="17">
        <v>632</v>
      </c>
      <c r="AZ84" s="17">
        <v>789</v>
      </c>
      <c r="BA84" s="17">
        <v>939</v>
      </c>
      <c r="BB84" s="17">
        <v>1156</v>
      </c>
      <c r="BC84" s="17">
        <v>1472</v>
      </c>
      <c r="BD84" s="17">
        <v>1802</v>
      </c>
      <c r="BE84" s="17">
        <v>2171</v>
      </c>
      <c r="BF84" s="17">
        <v>2530</v>
      </c>
      <c r="BG84" s="17">
        <v>2877</v>
      </c>
      <c r="BH84" s="17">
        <v>3326</v>
      </c>
      <c r="BI84" s="17">
        <v>3735</v>
      </c>
      <c r="BJ84" s="17">
        <v>4113</v>
      </c>
      <c r="BK84" s="17">
        <v>4504</v>
      </c>
      <c r="BL84" s="17">
        <v>4914</v>
      </c>
      <c r="BM84" s="17">
        <v>5308</v>
      </c>
      <c r="BN84" s="17">
        <v>5717</v>
      </c>
      <c r="BO84" s="17">
        <v>6125</v>
      </c>
      <c r="BP84" s="17">
        <v>6488</v>
      </c>
      <c r="BQ84" s="17">
        <v>6851</v>
      </c>
      <c r="BR84" s="17">
        <v>7210</v>
      </c>
      <c r="BS84" s="17">
        <v>7555</v>
      </c>
      <c r="BT84" s="17">
        <v>7837</v>
      </c>
      <c r="BU84" s="17">
        <v>8047</v>
      </c>
      <c r="BV84" s="17">
        <v>8253</v>
      </c>
      <c r="BW84" s="17">
        <v>8378</v>
      </c>
      <c r="BX84" s="17">
        <v>8495</v>
      </c>
      <c r="BY84" s="17">
        <v>8587</v>
      </c>
      <c r="BZ84" s="17">
        <v>8651</v>
      </c>
      <c r="CA84" s="17">
        <v>8684</v>
      </c>
      <c r="CB84" s="17">
        <v>8709</v>
      </c>
      <c r="CC84" s="17">
        <v>8724</v>
      </c>
      <c r="CD84" s="17">
        <v>8736</v>
      </c>
      <c r="CE84" s="17">
        <v>8750</v>
      </c>
      <c r="CF84" s="17">
        <v>8758</v>
      </c>
      <c r="CG84" s="17">
        <v>8760</v>
      </c>
      <c r="CH84" s="17">
        <v>8760</v>
      </c>
      <c r="CI84" s="17">
        <v>8760</v>
      </c>
      <c r="CJ84" s="17">
        <v>8760</v>
      </c>
      <c r="CK84" s="17">
        <v>8760</v>
      </c>
      <c r="CL84" s="17">
        <v>8760</v>
      </c>
      <c r="CM84" s="17">
        <v>8760</v>
      </c>
      <c r="CN84" s="17">
        <v>8760</v>
      </c>
      <c r="CO84" s="17">
        <v>8760</v>
      </c>
      <c r="CP84" s="17">
        <v>8760</v>
      </c>
      <c r="CQ84" s="17">
        <v>8760</v>
      </c>
      <c r="CR84" s="17">
        <v>8760</v>
      </c>
      <c r="CS84" s="17">
        <v>8760</v>
      </c>
      <c r="CT84" s="17">
        <v>8760</v>
      </c>
      <c r="CU84" s="17">
        <v>8760</v>
      </c>
      <c r="CV84" s="17">
        <v>8760</v>
      </c>
      <c r="CW84" s="17">
        <v>8760</v>
      </c>
      <c r="CX84" s="17">
        <v>8760</v>
      </c>
      <c r="CY84" s="17">
        <v>8760</v>
      </c>
      <c r="CZ84" s="17">
        <v>8760</v>
      </c>
      <c r="DA84" s="17">
        <v>8760</v>
      </c>
      <c r="DB84" s="17">
        <v>8760</v>
      </c>
    </row>
    <row r="85" spans="1:106" s="17" customFormat="1" x14ac:dyDescent="0.25">
      <c r="A85" s="22" t="s">
        <v>103</v>
      </c>
      <c r="B85" s="17" t="s">
        <v>103</v>
      </c>
      <c r="C85" s="17" t="s">
        <v>438</v>
      </c>
      <c r="D85" s="17" t="s">
        <v>566</v>
      </c>
      <c r="E85" s="17" t="s">
        <v>567</v>
      </c>
      <c r="F85" s="17">
        <v>102506</v>
      </c>
      <c r="G85" s="17">
        <v>0</v>
      </c>
      <c r="H85" s="17">
        <v>0</v>
      </c>
      <c r="I85" s="17">
        <v>0</v>
      </c>
      <c r="J85" s="17">
        <v>0</v>
      </c>
      <c r="K85" s="17">
        <v>0</v>
      </c>
      <c r="L85" s="17">
        <v>0</v>
      </c>
      <c r="M85" s="17">
        <v>0</v>
      </c>
      <c r="N85" s="17">
        <v>0</v>
      </c>
      <c r="O85" s="17">
        <v>0</v>
      </c>
      <c r="P85" s="17">
        <v>0</v>
      </c>
      <c r="Q85" s="17">
        <v>0</v>
      </c>
      <c r="R85" s="17">
        <v>0</v>
      </c>
      <c r="S85" s="17">
        <v>0</v>
      </c>
      <c r="T85" s="17">
        <v>0</v>
      </c>
      <c r="U85" s="17">
        <v>0</v>
      </c>
      <c r="V85" s="17">
        <v>0</v>
      </c>
      <c r="W85" s="17">
        <v>0</v>
      </c>
      <c r="X85" s="17">
        <v>0</v>
      </c>
      <c r="Y85" s="17">
        <v>0</v>
      </c>
      <c r="Z85" s="17">
        <v>0</v>
      </c>
      <c r="AA85" s="17">
        <v>0</v>
      </c>
      <c r="AB85" s="17">
        <v>0</v>
      </c>
      <c r="AC85" s="17">
        <v>0</v>
      </c>
      <c r="AD85" s="17">
        <v>0</v>
      </c>
      <c r="AE85" s="17">
        <v>0</v>
      </c>
      <c r="AF85" s="17">
        <v>1</v>
      </c>
      <c r="AG85" s="17">
        <v>6</v>
      </c>
      <c r="AH85" s="17">
        <v>14</v>
      </c>
      <c r="AI85" s="17">
        <v>30</v>
      </c>
      <c r="AJ85" s="17">
        <v>41</v>
      </c>
      <c r="AK85" s="17">
        <v>57</v>
      </c>
      <c r="AL85" s="17">
        <v>67</v>
      </c>
      <c r="AM85" s="17">
        <v>94</v>
      </c>
      <c r="AN85" s="17">
        <v>120</v>
      </c>
      <c r="AO85" s="17">
        <v>146</v>
      </c>
      <c r="AP85" s="17">
        <v>170</v>
      </c>
      <c r="AQ85" s="17">
        <v>196</v>
      </c>
      <c r="AR85" s="17">
        <v>234</v>
      </c>
      <c r="AS85" s="17">
        <v>289</v>
      </c>
      <c r="AT85" s="17">
        <v>380</v>
      </c>
      <c r="AU85" s="17">
        <v>471</v>
      </c>
      <c r="AV85" s="17">
        <v>568</v>
      </c>
      <c r="AW85" s="17">
        <v>680</v>
      </c>
      <c r="AX85" s="17">
        <v>852</v>
      </c>
      <c r="AY85" s="17">
        <v>1017</v>
      </c>
      <c r="AZ85" s="17">
        <v>1208</v>
      </c>
      <c r="BA85" s="17">
        <v>1467</v>
      </c>
      <c r="BB85" s="17">
        <v>1793</v>
      </c>
      <c r="BC85" s="17">
        <v>2165</v>
      </c>
      <c r="BD85" s="17">
        <v>2540</v>
      </c>
      <c r="BE85" s="17">
        <v>3009</v>
      </c>
      <c r="BF85" s="17">
        <v>3414</v>
      </c>
      <c r="BG85" s="17">
        <v>3761</v>
      </c>
      <c r="BH85" s="17">
        <v>4144</v>
      </c>
      <c r="BI85" s="17">
        <v>4446</v>
      </c>
      <c r="BJ85" s="17">
        <v>4830</v>
      </c>
      <c r="BK85" s="17">
        <v>5178</v>
      </c>
      <c r="BL85" s="17">
        <v>5533</v>
      </c>
      <c r="BM85" s="17">
        <v>5796</v>
      </c>
      <c r="BN85" s="17">
        <v>6093</v>
      </c>
      <c r="BO85" s="17">
        <v>6357</v>
      </c>
      <c r="BP85" s="17">
        <v>6657</v>
      </c>
      <c r="BQ85" s="17">
        <v>6973</v>
      </c>
      <c r="BR85" s="17">
        <v>7290</v>
      </c>
      <c r="BS85" s="17">
        <v>7535</v>
      </c>
      <c r="BT85" s="17">
        <v>7787</v>
      </c>
      <c r="BU85" s="17">
        <v>7985</v>
      </c>
      <c r="BV85" s="17">
        <v>8167</v>
      </c>
      <c r="BW85" s="17">
        <v>8308</v>
      </c>
      <c r="BX85" s="17">
        <v>8413</v>
      </c>
      <c r="BY85" s="17">
        <v>8498</v>
      </c>
      <c r="BZ85" s="17">
        <v>8560</v>
      </c>
      <c r="CA85" s="17">
        <v>8617</v>
      </c>
      <c r="CB85" s="17">
        <v>8653</v>
      </c>
      <c r="CC85" s="17">
        <v>8680</v>
      </c>
      <c r="CD85" s="17">
        <v>8717</v>
      </c>
      <c r="CE85" s="17">
        <v>8749</v>
      </c>
      <c r="CF85" s="17">
        <v>8756</v>
      </c>
      <c r="CG85" s="17">
        <v>8760</v>
      </c>
      <c r="CH85" s="17">
        <v>8760</v>
      </c>
      <c r="CI85" s="17">
        <v>8760</v>
      </c>
      <c r="CJ85" s="17">
        <v>8760</v>
      </c>
      <c r="CK85" s="17">
        <v>8760</v>
      </c>
      <c r="CL85" s="17">
        <v>8760</v>
      </c>
      <c r="CM85" s="17">
        <v>8760</v>
      </c>
      <c r="CN85" s="17">
        <v>8760</v>
      </c>
      <c r="CO85" s="17">
        <v>8760</v>
      </c>
      <c r="CP85" s="17">
        <v>8760</v>
      </c>
      <c r="CQ85" s="17">
        <v>8760</v>
      </c>
      <c r="CR85" s="17">
        <v>8760</v>
      </c>
      <c r="CS85" s="17">
        <v>8760</v>
      </c>
      <c r="CT85" s="17">
        <v>8760</v>
      </c>
      <c r="CU85" s="17">
        <v>8760</v>
      </c>
      <c r="CV85" s="17">
        <v>8760</v>
      </c>
      <c r="CW85" s="17">
        <v>8760</v>
      </c>
      <c r="CX85" s="17">
        <v>8760</v>
      </c>
      <c r="CY85" s="17">
        <v>8760</v>
      </c>
      <c r="CZ85" s="17">
        <v>8760</v>
      </c>
      <c r="DA85" s="17">
        <v>8760</v>
      </c>
      <c r="DB85" s="17">
        <v>8760</v>
      </c>
    </row>
    <row r="86" spans="1:106" s="17" customFormat="1" x14ac:dyDescent="0.25">
      <c r="A86" s="22" t="s">
        <v>104</v>
      </c>
      <c r="B86" s="17" t="s">
        <v>105</v>
      </c>
      <c r="C86" s="17" t="s">
        <v>438</v>
      </c>
      <c r="D86" s="17" t="s">
        <v>568</v>
      </c>
      <c r="E86" s="17" t="s">
        <v>569</v>
      </c>
      <c r="F86" s="17">
        <v>102530</v>
      </c>
      <c r="G86" s="17">
        <v>0</v>
      </c>
      <c r="H86" s="17">
        <v>0</v>
      </c>
      <c r="I86" s="17">
        <v>0</v>
      </c>
      <c r="J86" s="17">
        <v>0</v>
      </c>
      <c r="K86" s="17">
        <v>0</v>
      </c>
      <c r="L86" s="17">
        <v>0</v>
      </c>
      <c r="M86" s="17">
        <v>0</v>
      </c>
      <c r="N86" s="17">
        <v>0</v>
      </c>
      <c r="O86" s="17">
        <v>0</v>
      </c>
      <c r="P86" s="17">
        <v>0</v>
      </c>
      <c r="Q86" s="17">
        <v>0</v>
      </c>
      <c r="R86" s="17">
        <v>0</v>
      </c>
      <c r="S86" s="17">
        <v>0</v>
      </c>
      <c r="T86" s="17">
        <v>0</v>
      </c>
      <c r="U86" s="17">
        <v>0</v>
      </c>
      <c r="V86" s="17">
        <v>0</v>
      </c>
      <c r="W86" s="17">
        <v>0</v>
      </c>
      <c r="X86" s="17">
        <v>0</v>
      </c>
      <c r="Y86" s="17">
        <v>0</v>
      </c>
      <c r="Z86" s="17">
        <v>0</v>
      </c>
      <c r="AA86" s="17">
        <v>0</v>
      </c>
      <c r="AB86" s="17">
        <v>0</v>
      </c>
      <c r="AC86" s="17">
        <v>0</v>
      </c>
      <c r="AD86" s="17">
        <v>0</v>
      </c>
      <c r="AE86" s="17">
        <v>0</v>
      </c>
      <c r="AF86" s="17">
        <v>0</v>
      </c>
      <c r="AG86" s="17">
        <v>0</v>
      </c>
      <c r="AH86" s="17">
        <v>0</v>
      </c>
      <c r="AI86" s="17">
        <v>0</v>
      </c>
      <c r="AJ86" s="17">
        <v>0</v>
      </c>
      <c r="AK86" s="17">
        <v>1</v>
      </c>
      <c r="AL86" s="17">
        <v>3</v>
      </c>
      <c r="AM86" s="17">
        <v>7</v>
      </c>
      <c r="AN86" s="17">
        <v>12</v>
      </c>
      <c r="AO86" s="17">
        <v>24</v>
      </c>
      <c r="AP86" s="17">
        <v>58</v>
      </c>
      <c r="AQ86" s="17">
        <v>95</v>
      </c>
      <c r="AR86" s="17">
        <v>129</v>
      </c>
      <c r="AS86" s="17">
        <v>179</v>
      </c>
      <c r="AT86" s="17">
        <v>222</v>
      </c>
      <c r="AU86" s="17">
        <v>267</v>
      </c>
      <c r="AV86" s="17">
        <v>325</v>
      </c>
      <c r="AW86" s="17">
        <v>401</v>
      </c>
      <c r="AX86" s="17">
        <v>528</v>
      </c>
      <c r="AY86" s="17">
        <v>674</v>
      </c>
      <c r="AZ86" s="17">
        <v>856</v>
      </c>
      <c r="BA86" s="17">
        <v>1098</v>
      </c>
      <c r="BB86" s="17">
        <v>1415</v>
      </c>
      <c r="BC86" s="17">
        <v>1733</v>
      </c>
      <c r="BD86" s="17">
        <v>2099</v>
      </c>
      <c r="BE86" s="17">
        <v>2527</v>
      </c>
      <c r="BF86" s="17">
        <v>2925</v>
      </c>
      <c r="BG86" s="17">
        <v>3319</v>
      </c>
      <c r="BH86" s="17">
        <v>3703</v>
      </c>
      <c r="BI86" s="17">
        <v>4078</v>
      </c>
      <c r="BJ86" s="17">
        <v>4420</v>
      </c>
      <c r="BK86" s="17">
        <v>4736</v>
      </c>
      <c r="BL86" s="17">
        <v>5043</v>
      </c>
      <c r="BM86" s="17">
        <v>5345</v>
      </c>
      <c r="BN86" s="17">
        <v>5571</v>
      </c>
      <c r="BO86" s="17">
        <v>5863</v>
      </c>
      <c r="BP86" s="17">
        <v>6184</v>
      </c>
      <c r="BQ86" s="17">
        <v>6552</v>
      </c>
      <c r="BR86" s="17">
        <v>6936</v>
      </c>
      <c r="BS86" s="17">
        <v>7313</v>
      </c>
      <c r="BT86" s="17">
        <v>7587</v>
      </c>
      <c r="BU86" s="17">
        <v>7828</v>
      </c>
      <c r="BV86" s="17">
        <v>8046</v>
      </c>
      <c r="BW86" s="17">
        <v>8244</v>
      </c>
      <c r="BX86" s="17">
        <v>8398</v>
      </c>
      <c r="BY86" s="17">
        <v>8509</v>
      </c>
      <c r="BZ86" s="17">
        <v>8599</v>
      </c>
      <c r="CA86" s="17">
        <v>8656</v>
      </c>
      <c r="CB86" s="17">
        <v>8697</v>
      </c>
      <c r="CC86" s="17">
        <v>8722</v>
      </c>
      <c r="CD86" s="17">
        <v>8732</v>
      </c>
      <c r="CE86" s="17">
        <v>8740</v>
      </c>
      <c r="CF86" s="17">
        <v>8747</v>
      </c>
      <c r="CG86" s="17">
        <v>8754</v>
      </c>
      <c r="CH86" s="17">
        <v>8760</v>
      </c>
      <c r="CI86" s="17">
        <v>8760</v>
      </c>
      <c r="CJ86" s="17">
        <v>8760</v>
      </c>
      <c r="CK86" s="17">
        <v>8760</v>
      </c>
      <c r="CL86" s="17">
        <v>8760</v>
      </c>
      <c r="CM86" s="17">
        <v>8760</v>
      </c>
      <c r="CN86" s="17">
        <v>8760</v>
      </c>
      <c r="CO86" s="17">
        <v>8760</v>
      </c>
      <c r="CP86" s="17">
        <v>8760</v>
      </c>
      <c r="CQ86" s="17">
        <v>8760</v>
      </c>
      <c r="CR86" s="17">
        <v>8760</v>
      </c>
      <c r="CS86" s="17">
        <v>8760</v>
      </c>
      <c r="CT86" s="17">
        <v>8760</v>
      </c>
      <c r="CU86" s="17">
        <v>8760</v>
      </c>
      <c r="CV86" s="17">
        <v>8760</v>
      </c>
      <c r="CW86" s="17">
        <v>8760</v>
      </c>
      <c r="CX86" s="17">
        <v>8760</v>
      </c>
      <c r="CY86" s="17">
        <v>8760</v>
      </c>
      <c r="CZ86" s="17">
        <v>8760</v>
      </c>
      <c r="DA86" s="17">
        <v>8760</v>
      </c>
      <c r="DB86" s="17">
        <v>8760</v>
      </c>
    </row>
    <row r="87" spans="1:106" s="17" customFormat="1" x14ac:dyDescent="0.25">
      <c r="A87" s="22" t="s">
        <v>105</v>
      </c>
      <c r="B87" s="17" t="s">
        <v>106</v>
      </c>
      <c r="C87" s="17" t="s">
        <v>438</v>
      </c>
      <c r="D87" s="17" t="s">
        <v>570</v>
      </c>
      <c r="E87" s="17" t="s">
        <v>571</v>
      </c>
      <c r="F87" s="17">
        <v>102634</v>
      </c>
      <c r="G87" s="17">
        <v>0</v>
      </c>
      <c r="H87" s="17">
        <v>0</v>
      </c>
      <c r="I87" s="17">
        <v>0</v>
      </c>
      <c r="J87" s="17">
        <v>0</v>
      </c>
      <c r="K87" s="17">
        <v>0</v>
      </c>
      <c r="L87" s="17">
        <v>0</v>
      </c>
      <c r="M87" s="17">
        <v>0</v>
      </c>
      <c r="N87" s="17">
        <v>0</v>
      </c>
      <c r="O87" s="17">
        <v>0</v>
      </c>
      <c r="P87" s="17">
        <v>0</v>
      </c>
      <c r="Q87" s="17">
        <v>0</v>
      </c>
      <c r="R87" s="17">
        <v>0</v>
      </c>
      <c r="S87" s="17">
        <v>0</v>
      </c>
      <c r="T87" s="17">
        <v>0</v>
      </c>
      <c r="U87" s="17">
        <v>0</v>
      </c>
      <c r="V87" s="17">
        <v>0</v>
      </c>
      <c r="W87" s="17">
        <v>0</v>
      </c>
      <c r="X87" s="17">
        <v>0</v>
      </c>
      <c r="Y87" s="17">
        <v>0</v>
      </c>
      <c r="Z87" s="17">
        <v>0</v>
      </c>
      <c r="AA87" s="17">
        <v>0</v>
      </c>
      <c r="AB87" s="17">
        <v>0</v>
      </c>
      <c r="AC87" s="17">
        <v>0</v>
      </c>
      <c r="AD87" s="17">
        <v>0</v>
      </c>
      <c r="AE87" s="17">
        <v>0</v>
      </c>
      <c r="AF87" s="17">
        <v>0</v>
      </c>
      <c r="AG87" s="17">
        <v>0</v>
      </c>
      <c r="AH87" s="17">
        <v>0</v>
      </c>
      <c r="AI87" s="17">
        <v>0</v>
      </c>
      <c r="AJ87" s="17">
        <v>4</v>
      </c>
      <c r="AK87" s="17">
        <v>9</v>
      </c>
      <c r="AL87" s="17">
        <v>24</v>
      </c>
      <c r="AM87" s="17">
        <v>38</v>
      </c>
      <c r="AN87" s="17">
        <v>50</v>
      </c>
      <c r="AO87" s="17">
        <v>72</v>
      </c>
      <c r="AP87" s="17">
        <v>103</v>
      </c>
      <c r="AQ87" s="17">
        <v>129</v>
      </c>
      <c r="AR87" s="17">
        <v>156</v>
      </c>
      <c r="AS87" s="17">
        <v>188</v>
      </c>
      <c r="AT87" s="17">
        <v>231</v>
      </c>
      <c r="AU87" s="17">
        <v>274</v>
      </c>
      <c r="AV87" s="17">
        <v>336</v>
      </c>
      <c r="AW87" s="17">
        <v>422</v>
      </c>
      <c r="AX87" s="17">
        <v>536</v>
      </c>
      <c r="AY87" s="17">
        <v>668</v>
      </c>
      <c r="AZ87" s="17">
        <v>849</v>
      </c>
      <c r="BA87" s="17">
        <v>1079</v>
      </c>
      <c r="BB87" s="17">
        <v>1386</v>
      </c>
      <c r="BC87" s="17">
        <v>1767</v>
      </c>
      <c r="BD87" s="17">
        <v>2173</v>
      </c>
      <c r="BE87" s="17">
        <v>2641</v>
      </c>
      <c r="BF87" s="17">
        <v>3051</v>
      </c>
      <c r="BG87" s="17">
        <v>3404</v>
      </c>
      <c r="BH87" s="17">
        <v>3799</v>
      </c>
      <c r="BI87" s="17">
        <v>4147</v>
      </c>
      <c r="BJ87" s="17">
        <v>4466</v>
      </c>
      <c r="BK87" s="17">
        <v>4729</v>
      </c>
      <c r="BL87" s="17">
        <v>4978</v>
      </c>
      <c r="BM87" s="17">
        <v>5212</v>
      </c>
      <c r="BN87" s="17">
        <v>5549</v>
      </c>
      <c r="BO87" s="17">
        <v>5842</v>
      </c>
      <c r="BP87" s="17">
        <v>6182</v>
      </c>
      <c r="BQ87" s="17">
        <v>6578</v>
      </c>
      <c r="BR87" s="17">
        <v>6965</v>
      </c>
      <c r="BS87" s="17">
        <v>7280</v>
      </c>
      <c r="BT87" s="17">
        <v>7542</v>
      </c>
      <c r="BU87" s="17">
        <v>7821</v>
      </c>
      <c r="BV87" s="17">
        <v>8090</v>
      </c>
      <c r="BW87" s="17">
        <v>8271</v>
      </c>
      <c r="BX87" s="17">
        <v>8420</v>
      </c>
      <c r="BY87" s="17">
        <v>8532</v>
      </c>
      <c r="BZ87" s="17">
        <v>8632</v>
      </c>
      <c r="CA87" s="17">
        <v>8690</v>
      </c>
      <c r="CB87" s="17">
        <v>8714</v>
      </c>
      <c r="CC87" s="17">
        <v>8733</v>
      </c>
      <c r="CD87" s="17">
        <v>8740</v>
      </c>
      <c r="CE87" s="17">
        <v>8743</v>
      </c>
      <c r="CF87" s="17">
        <v>8749</v>
      </c>
      <c r="CG87" s="17">
        <v>8753</v>
      </c>
      <c r="CH87" s="17">
        <v>8760</v>
      </c>
      <c r="CI87" s="17">
        <v>8760</v>
      </c>
      <c r="CJ87" s="17">
        <v>8760</v>
      </c>
      <c r="CK87" s="17">
        <v>8760</v>
      </c>
      <c r="CL87" s="17">
        <v>8760</v>
      </c>
      <c r="CM87" s="17">
        <v>8760</v>
      </c>
      <c r="CN87" s="17">
        <v>8760</v>
      </c>
      <c r="CO87" s="17">
        <v>8760</v>
      </c>
      <c r="CP87" s="17">
        <v>8760</v>
      </c>
      <c r="CQ87" s="17">
        <v>8760</v>
      </c>
      <c r="CR87" s="17">
        <v>8760</v>
      </c>
      <c r="CS87" s="17">
        <v>8760</v>
      </c>
      <c r="CT87" s="17">
        <v>8760</v>
      </c>
      <c r="CU87" s="17">
        <v>8760</v>
      </c>
      <c r="CV87" s="17">
        <v>8760</v>
      </c>
      <c r="CW87" s="17">
        <v>8760</v>
      </c>
      <c r="CX87" s="17">
        <v>8760</v>
      </c>
      <c r="CY87" s="17">
        <v>8760</v>
      </c>
      <c r="CZ87" s="17">
        <v>8760</v>
      </c>
      <c r="DA87" s="17">
        <v>8760</v>
      </c>
      <c r="DB87" s="17">
        <v>8760</v>
      </c>
    </row>
    <row r="88" spans="1:106" s="17" customFormat="1" x14ac:dyDescent="0.25">
      <c r="A88" s="22" t="s">
        <v>106</v>
      </c>
      <c r="B88" s="17" t="s">
        <v>107</v>
      </c>
      <c r="C88" s="17" t="s">
        <v>438</v>
      </c>
      <c r="D88" s="17" t="s">
        <v>572</v>
      </c>
      <c r="E88" s="17" t="s">
        <v>573</v>
      </c>
      <c r="F88" s="17">
        <v>102302</v>
      </c>
      <c r="G88" s="17">
        <v>0</v>
      </c>
      <c r="H88" s="17">
        <v>0</v>
      </c>
      <c r="I88" s="17">
        <v>0</v>
      </c>
      <c r="J88" s="17">
        <v>0</v>
      </c>
      <c r="K88" s="17">
        <v>0</v>
      </c>
      <c r="L88" s="17">
        <v>0</v>
      </c>
      <c r="M88" s="17">
        <v>0</v>
      </c>
      <c r="N88" s="17">
        <v>0</v>
      </c>
      <c r="O88" s="17">
        <v>0</v>
      </c>
      <c r="P88" s="17">
        <v>0</v>
      </c>
      <c r="Q88" s="17">
        <v>0</v>
      </c>
      <c r="R88" s="17">
        <v>0</v>
      </c>
      <c r="S88" s="17">
        <v>0</v>
      </c>
      <c r="T88" s="17">
        <v>0</v>
      </c>
      <c r="U88" s="17">
        <v>0</v>
      </c>
      <c r="V88" s="17">
        <v>0</v>
      </c>
      <c r="W88" s="17">
        <v>0</v>
      </c>
      <c r="X88" s="17">
        <v>0</v>
      </c>
      <c r="Y88" s="17">
        <v>0</v>
      </c>
      <c r="Z88" s="17">
        <v>0</v>
      </c>
      <c r="AA88" s="17">
        <v>0</v>
      </c>
      <c r="AB88" s="17">
        <v>0</v>
      </c>
      <c r="AC88" s="17">
        <v>0</v>
      </c>
      <c r="AD88" s="17">
        <v>0</v>
      </c>
      <c r="AE88" s="17">
        <v>0</v>
      </c>
      <c r="AF88" s="17">
        <v>0</v>
      </c>
      <c r="AG88" s="17">
        <v>0</v>
      </c>
      <c r="AH88" s="17">
        <v>0</v>
      </c>
      <c r="AI88" s="17">
        <v>0</v>
      </c>
      <c r="AJ88" s="17">
        <v>0</v>
      </c>
      <c r="AK88" s="17">
        <v>0</v>
      </c>
      <c r="AL88" s="17">
        <v>0</v>
      </c>
      <c r="AM88" s="17">
        <v>0</v>
      </c>
      <c r="AN88" s="17">
        <v>0</v>
      </c>
      <c r="AO88" s="17">
        <v>0</v>
      </c>
      <c r="AP88" s="17">
        <v>0</v>
      </c>
      <c r="AQ88" s="17">
        <v>0</v>
      </c>
      <c r="AR88" s="17">
        <v>0</v>
      </c>
      <c r="AS88" s="17">
        <v>7</v>
      </c>
      <c r="AT88" s="17">
        <v>12</v>
      </c>
      <c r="AU88" s="17">
        <v>26</v>
      </c>
      <c r="AV88" s="17">
        <v>48</v>
      </c>
      <c r="AW88" s="17">
        <v>66</v>
      </c>
      <c r="AX88" s="17">
        <v>89</v>
      </c>
      <c r="AY88" s="17">
        <v>139</v>
      </c>
      <c r="AZ88" s="17">
        <v>222</v>
      </c>
      <c r="BA88" s="17">
        <v>371</v>
      </c>
      <c r="BB88" s="17">
        <v>570</v>
      </c>
      <c r="BC88" s="17">
        <v>873</v>
      </c>
      <c r="BD88" s="17">
        <v>1182</v>
      </c>
      <c r="BE88" s="17">
        <v>1579</v>
      </c>
      <c r="BF88" s="17">
        <v>2042</v>
      </c>
      <c r="BG88" s="17">
        <v>2516</v>
      </c>
      <c r="BH88" s="17">
        <v>3017</v>
      </c>
      <c r="BI88" s="17">
        <v>3479</v>
      </c>
      <c r="BJ88" s="17">
        <v>3870</v>
      </c>
      <c r="BK88" s="17">
        <v>4232</v>
      </c>
      <c r="BL88" s="17">
        <v>4664</v>
      </c>
      <c r="BM88" s="17">
        <v>4946</v>
      </c>
      <c r="BN88" s="17">
        <v>5252</v>
      </c>
      <c r="BO88" s="17">
        <v>5555</v>
      </c>
      <c r="BP88" s="17">
        <v>5928</v>
      </c>
      <c r="BQ88" s="17">
        <v>6313</v>
      </c>
      <c r="BR88" s="17">
        <v>6726</v>
      </c>
      <c r="BS88" s="17">
        <v>7143</v>
      </c>
      <c r="BT88" s="17">
        <v>7554</v>
      </c>
      <c r="BU88" s="17">
        <v>7855</v>
      </c>
      <c r="BV88" s="17">
        <v>8092</v>
      </c>
      <c r="BW88" s="17">
        <v>8283</v>
      </c>
      <c r="BX88" s="17">
        <v>8414</v>
      </c>
      <c r="BY88" s="17">
        <v>8492</v>
      </c>
      <c r="BZ88" s="17">
        <v>8534</v>
      </c>
      <c r="CA88" s="17">
        <v>8576</v>
      </c>
      <c r="CB88" s="17">
        <v>8618</v>
      </c>
      <c r="CC88" s="17">
        <v>8659</v>
      </c>
      <c r="CD88" s="17">
        <v>8698</v>
      </c>
      <c r="CE88" s="17">
        <v>8717</v>
      </c>
      <c r="CF88" s="17">
        <v>8735</v>
      </c>
      <c r="CG88" s="17">
        <v>8744</v>
      </c>
      <c r="CH88" s="17">
        <v>8756</v>
      </c>
      <c r="CI88" s="17">
        <v>8759</v>
      </c>
      <c r="CJ88" s="17">
        <v>8760</v>
      </c>
      <c r="CK88" s="17">
        <v>8760</v>
      </c>
      <c r="CL88" s="17">
        <v>8760</v>
      </c>
      <c r="CM88" s="17">
        <v>8760</v>
      </c>
      <c r="CN88" s="17">
        <v>8760</v>
      </c>
      <c r="CO88" s="17">
        <v>8760</v>
      </c>
      <c r="CP88" s="17">
        <v>8760</v>
      </c>
      <c r="CQ88" s="17">
        <v>8760</v>
      </c>
      <c r="CR88" s="17">
        <v>8760</v>
      </c>
      <c r="CS88" s="17">
        <v>8760</v>
      </c>
      <c r="CT88" s="17">
        <v>8760</v>
      </c>
      <c r="CU88" s="17">
        <v>8760</v>
      </c>
      <c r="CV88" s="17">
        <v>8760</v>
      </c>
      <c r="CW88" s="17">
        <v>8760</v>
      </c>
      <c r="CX88" s="17">
        <v>8760</v>
      </c>
      <c r="CY88" s="17">
        <v>8760</v>
      </c>
      <c r="CZ88" s="17">
        <v>8760</v>
      </c>
      <c r="DA88" s="17">
        <v>8760</v>
      </c>
      <c r="DB88" s="17">
        <v>8760</v>
      </c>
    </row>
    <row r="89" spans="1:106" s="17" customFormat="1" x14ac:dyDescent="0.25">
      <c r="A89" s="22" t="s">
        <v>107</v>
      </c>
      <c r="B89" s="17" t="s">
        <v>109</v>
      </c>
      <c r="C89" s="17" t="s">
        <v>438</v>
      </c>
      <c r="D89" s="17" t="s">
        <v>574</v>
      </c>
      <c r="E89" s="17" t="s">
        <v>575</v>
      </c>
      <c r="F89" s="17">
        <v>102811</v>
      </c>
      <c r="G89" s="17">
        <v>0</v>
      </c>
      <c r="H89" s="17">
        <v>0</v>
      </c>
      <c r="I89" s="17">
        <v>0</v>
      </c>
      <c r="J89" s="17">
        <v>0</v>
      </c>
      <c r="K89" s="17">
        <v>0</v>
      </c>
      <c r="L89" s="17">
        <v>0</v>
      </c>
      <c r="M89" s="17">
        <v>0</v>
      </c>
      <c r="N89" s="17">
        <v>0</v>
      </c>
      <c r="O89" s="17">
        <v>0</v>
      </c>
      <c r="P89" s="17">
        <v>0</v>
      </c>
      <c r="Q89" s="17">
        <v>0</v>
      </c>
      <c r="R89" s="17">
        <v>0</v>
      </c>
      <c r="S89" s="17">
        <v>0</v>
      </c>
      <c r="T89" s="17">
        <v>0</v>
      </c>
      <c r="U89" s="17">
        <v>0</v>
      </c>
      <c r="V89" s="17">
        <v>0</v>
      </c>
      <c r="W89" s="17">
        <v>0</v>
      </c>
      <c r="X89" s="17">
        <v>0</v>
      </c>
      <c r="Y89" s="17">
        <v>0</v>
      </c>
      <c r="Z89" s="17">
        <v>0</v>
      </c>
      <c r="AA89" s="17">
        <v>0</v>
      </c>
      <c r="AB89" s="17">
        <v>0</v>
      </c>
      <c r="AC89" s="17">
        <v>0</v>
      </c>
      <c r="AD89" s="17">
        <v>0</v>
      </c>
      <c r="AE89" s="17">
        <v>2</v>
      </c>
      <c r="AF89" s="17">
        <v>5</v>
      </c>
      <c r="AG89" s="17">
        <v>6</v>
      </c>
      <c r="AH89" s="17">
        <v>16</v>
      </c>
      <c r="AI89" s="17">
        <v>21</v>
      </c>
      <c r="AJ89" s="17">
        <v>33</v>
      </c>
      <c r="AK89" s="17">
        <v>49</v>
      </c>
      <c r="AL89" s="17">
        <v>69</v>
      </c>
      <c r="AM89" s="17">
        <v>103</v>
      </c>
      <c r="AN89" s="17">
        <v>166</v>
      </c>
      <c r="AO89" s="17">
        <v>233</v>
      </c>
      <c r="AP89" s="17">
        <v>298</v>
      </c>
      <c r="AQ89" s="17">
        <v>391</v>
      </c>
      <c r="AR89" s="17">
        <v>476</v>
      </c>
      <c r="AS89" s="17">
        <v>581</v>
      </c>
      <c r="AT89" s="17">
        <v>697</v>
      </c>
      <c r="AU89" s="17">
        <v>813</v>
      </c>
      <c r="AV89" s="17">
        <v>949</v>
      </c>
      <c r="AW89" s="17">
        <v>1099</v>
      </c>
      <c r="AX89" s="17">
        <v>1284</v>
      </c>
      <c r="AY89" s="17">
        <v>1534</v>
      </c>
      <c r="AZ89" s="17">
        <v>1749</v>
      </c>
      <c r="BA89" s="17">
        <v>2031</v>
      </c>
      <c r="BB89" s="17">
        <v>2340</v>
      </c>
      <c r="BC89" s="17">
        <v>2721</v>
      </c>
      <c r="BD89" s="17">
        <v>3129</v>
      </c>
      <c r="BE89" s="17">
        <v>3605</v>
      </c>
      <c r="BF89" s="17">
        <v>4068</v>
      </c>
      <c r="BG89" s="17">
        <v>4420</v>
      </c>
      <c r="BH89" s="17">
        <v>4781</v>
      </c>
      <c r="BI89" s="17">
        <v>5092</v>
      </c>
      <c r="BJ89" s="17">
        <v>5396</v>
      </c>
      <c r="BK89" s="17">
        <v>5712</v>
      </c>
      <c r="BL89" s="17">
        <v>6106</v>
      </c>
      <c r="BM89" s="17">
        <v>6424</v>
      </c>
      <c r="BN89" s="17">
        <v>6762</v>
      </c>
      <c r="BO89" s="17">
        <v>7083</v>
      </c>
      <c r="BP89" s="17">
        <v>7339</v>
      </c>
      <c r="BQ89" s="17">
        <v>7600</v>
      </c>
      <c r="BR89" s="17">
        <v>7853</v>
      </c>
      <c r="BS89" s="17">
        <v>8070</v>
      </c>
      <c r="BT89" s="17">
        <v>8243</v>
      </c>
      <c r="BU89" s="17">
        <v>8357</v>
      </c>
      <c r="BV89" s="17">
        <v>8451</v>
      </c>
      <c r="BW89" s="17">
        <v>8521</v>
      </c>
      <c r="BX89" s="17">
        <v>8593</v>
      </c>
      <c r="BY89" s="17">
        <v>8645</v>
      </c>
      <c r="BZ89" s="17">
        <v>8674</v>
      </c>
      <c r="CA89" s="17">
        <v>8710</v>
      </c>
      <c r="CB89" s="17">
        <v>8728</v>
      </c>
      <c r="CC89" s="17">
        <v>8745</v>
      </c>
      <c r="CD89" s="17">
        <v>8757</v>
      </c>
      <c r="CE89" s="17">
        <v>8760</v>
      </c>
      <c r="CF89" s="17">
        <v>8760</v>
      </c>
      <c r="CG89" s="17">
        <v>8760</v>
      </c>
      <c r="CH89" s="17">
        <v>8760</v>
      </c>
      <c r="CI89" s="17">
        <v>8760</v>
      </c>
      <c r="CJ89" s="17">
        <v>8760</v>
      </c>
      <c r="CK89" s="17">
        <v>8760</v>
      </c>
      <c r="CL89" s="17">
        <v>8760</v>
      </c>
      <c r="CM89" s="17">
        <v>8760</v>
      </c>
      <c r="CN89" s="17">
        <v>8760</v>
      </c>
      <c r="CO89" s="17">
        <v>8760</v>
      </c>
      <c r="CP89" s="17">
        <v>8760</v>
      </c>
      <c r="CQ89" s="17">
        <v>8760</v>
      </c>
      <c r="CR89" s="17">
        <v>8760</v>
      </c>
      <c r="CS89" s="17">
        <v>8760</v>
      </c>
      <c r="CT89" s="17">
        <v>8760</v>
      </c>
      <c r="CU89" s="17">
        <v>8760</v>
      </c>
      <c r="CV89" s="17">
        <v>8760</v>
      </c>
      <c r="CW89" s="17">
        <v>8760</v>
      </c>
      <c r="CX89" s="17">
        <v>8760</v>
      </c>
      <c r="CY89" s="17">
        <v>8760</v>
      </c>
      <c r="CZ89" s="17">
        <v>8760</v>
      </c>
      <c r="DA89" s="17">
        <v>8760</v>
      </c>
      <c r="DB89" s="17">
        <v>8760</v>
      </c>
    </row>
    <row r="90" spans="1:106" s="17" customFormat="1" x14ac:dyDescent="0.25">
      <c r="A90" s="22" t="s">
        <v>108</v>
      </c>
      <c r="B90" s="17" t="s">
        <v>108</v>
      </c>
      <c r="C90" s="17" t="s">
        <v>438</v>
      </c>
      <c r="D90" s="17" t="s">
        <v>576</v>
      </c>
      <c r="E90" s="17" t="s">
        <v>577</v>
      </c>
      <c r="F90" s="17">
        <v>102525</v>
      </c>
      <c r="G90" s="17">
        <v>0</v>
      </c>
      <c r="H90" s="17">
        <v>0</v>
      </c>
      <c r="I90" s="17">
        <v>0</v>
      </c>
      <c r="J90" s="17">
        <v>0</v>
      </c>
      <c r="K90" s="17">
        <v>0</v>
      </c>
      <c r="L90" s="17">
        <v>0</v>
      </c>
      <c r="M90" s="17">
        <v>0</v>
      </c>
      <c r="N90" s="17">
        <v>0</v>
      </c>
      <c r="O90" s="17">
        <v>0</v>
      </c>
      <c r="P90" s="17">
        <v>0</v>
      </c>
      <c r="Q90" s="17">
        <v>0</v>
      </c>
      <c r="R90" s="17">
        <v>0</v>
      </c>
      <c r="S90" s="17">
        <v>0</v>
      </c>
      <c r="T90" s="17">
        <v>0</v>
      </c>
      <c r="U90" s="17">
        <v>0</v>
      </c>
      <c r="V90" s="17">
        <v>0</v>
      </c>
      <c r="W90" s="17">
        <v>0</v>
      </c>
      <c r="X90" s="17">
        <v>0</v>
      </c>
      <c r="Y90" s="17">
        <v>0</v>
      </c>
      <c r="Z90" s="17">
        <v>0</v>
      </c>
      <c r="AA90" s="17">
        <v>0</v>
      </c>
      <c r="AB90" s="17">
        <v>0</v>
      </c>
      <c r="AC90" s="17">
        <v>0</v>
      </c>
      <c r="AD90" s="17">
        <v>0</v>
      </c>
      <c r="AE90" s="17">
        <v>0</v>
      </c>
      <c r="AF90" s="17">
        <v>0</v>
      </c>
      <c r="AG90" s="17">
        <v>0</v>
      </c>
      <c r="AH90" s="17">
        <v>0</v>
      </c>
      <c r="AI90" s="17">
        <v>0</v>
      </c>
      <c r="AJ90" s="17">
        <v>0</v>
      </c>
      <c r="AK90" s="17">
        <v>1</v>
      </c>
      <c r="AL90" s="17">
        <v>4</v>
      </c>
      <c r="AM90" s="17">
        <v>10</v>
      </c>
      <c r="AN90" s="17">
        <v>31</v>
      </c>
      <c r="AO90" s="17">
        <v>76</v>
      </c>
      <c r="AP90" s="17">
        <v>115</v>
      </c>
      <c r="AQ90" s="17">
        <v>160</v>
      </c>
      <c r="AR90" s="17">
        <v>214</v>
      </c>
      <c r="AS90" s="17">
        <v>256</v>
      </c>
      <c r="AT90" s="17">
        <v>301</v>
      </c>
      <c r="AU90" s="17">
        <v>380</v>
      </c>
      <c r="AV90" s="17">
        <v>475</v>
      </c>
      <c r="AW90" s="17">
        <v>565</v>
      </c>
      <c r="AX90" s="17">
        <v>645</v>
      </c>
      <c r="AY90" s="17">
        <v>776</v>
      </c>
      <c r="AZ90" s="17">
        <v>902</v>
      </c>
      <c r="BA90" s="17">
        <v>1037</v>
      </c>
      <c r="BB90" s="17">
        <v>1319</v>
      </c>
      <c r="BC90" s="17">
        <v>1635</v>
      </c>
      <c r="BD90" s="17">
        <v>1955</v>
      </c>
      <c r="BE90" s="17">
        <v>2352</v>
      </c>
      <c r="BF90" s="17">
        <v>2727</v>
      </c>
      <c r="BG90" s="17">
        <v>3101</v>
      </c>
      <c r="BH90" s="17">
        <v>3426</v>
      </c>
      <c r="BI90" s="17">
        <v>3729</v>
      </c>
      <c r="BJ90" s="17">
        <v>4063</v>
      </c>
      <c r="BK90" s="17">
        <v>4458</v>
      </c>
      <c r="BL90" s="17">
        <v>4839</v>
      </c>
      <c r="BM90" s="17">
        <v>5211</v>
      </c>
      <c r="BN90" s="17">
        <v>5602</v>
      </c>
      <c r="BO90" s="17">
        <v>5912</v>
      </c>
      <c r="BP90" s="17">
        <v>6242</v>
      </c>
      <c r="BQ90" s="17">
        <v>6649</v>
      </c>
      <c r="BR90" s="17">
        <v>7016</v>
      </c>
      <c r="BS90" s="17">
        <v>7373</v>
      </c>
      <c r="BT90" s="17">
        <v>7697</v>
      </c>
      <c r="BU90" s="17">
        <v>7974</v>
      </c>
      <c r="BV90" s="17">
        <v>8187</v>
      </c>
      <c r="BW90" s="17">
        <v>8363</v>
      </c>
      <c r="BX90" s="17">
        <v>8473</v>
      </c>
      <c r="BY90" s="17">
        <v>8558</v>
      </c>
      <c r="BZ90" s="17">
        <v>8615</v>
      </c>
      <c r="CA90" s="17">
        <v>8653</v>
      </c>
      <c r="CB90" s="17">
        <v>8709</v>
      </c>
      <c r="CC90" s="17">
        <v>8746</v>
      </c>
      <c r="CD90" s="17">
        <v>8760</v>
      </c>
      <c r="CE90" s="17">
        <v>8760</v>
      </c>
      <c r="CF90" s="17">
        <v>8760</v>
      </c>
      <c r="CG90" s="17">
        <v>8760</v>
      </c>
      <c r="CH90" s="17">
        <v>8760</v>
      </c>
      <c r="CI90" s="17">
        <v>8760</v>
      </c>
      <c r="CJ90" s="17">
        <v>8760</v>
      </c>
      <c r="CK90" s="17">
        <v>8760</v>
      </c>
      <c r="CL90" s="17">
        <v>8760</v>
      </c>
      <c r="CM90" s="17">
        <v>8760</v>
      </c>
      <c r="CN90" s="17">
        <v>8760</v>
      </c>
      <c r="CO90" s="17">
        <v>8760</v>
      </c>
      <c r="CP90" s="17">
        <v>8760</v>
      </c>
      <c r="CQ90" s="17">
        <v>8760</v>
      </c>
      <c r="CR90" s="17">
        <v>8760</v>
      </c>
      <c r="CS90" s="17">
        <v>8760</v>
      </c>
      <c r="CT90" s="17">
        <v>8760</v>
      </c>
      <c r="CU90" s="17">
        <v>8760</v>
      </c>
      <c r="CV90" s="17">
        <v>8760</v>
      </c>
      <c r="CW90" s="17">
        <v>8760</v>
      </c>
      <c r="CX90" s="17">
        <v>8760</v>
      </c>
      <c r="CY90" s="17">
        <v>8760</v>
      </c>
      <c r="CZ90" s="17">
        <v>8760</v>
      </c>
      <c r="DA90" s="17">
        <v>8760</v>
      </c>
      <c r="DB90" s="17">
        <v>8760</v>
      </c>
    </row>
    <row r="91" spans="1:106" s="17" customFormat="1" x14ac:dyDescent="0.25">
      <c r="A91" s="22" t="s">
        <v>109</v>
      </c>
      <c r="B91" s="17" t="s">
        <v>373</v>
      </c>
    </row>
    <row r="92" spans="1:106" s="17" customFormat="1" x14ac:dyDescent="0.25">
      <c r="A92" s="22" t="s">
        <v>110</v>
      </c>
      <c r="B92" s="17" t="s">
        <v>110</v>
      </c>
      <c r="C92" s="17" t="s">
        <v>438</v>
      </c>
      <c r="D92" s="17" t="s">
        <v>578</v>
      </c>
      <c r="E92" s="17" t="s">
        <v>579</v>
      </c>
      <c r="F92" s="17">
        <v>102610</v>
      </c>
      <c r="G92" s="17">
        <v>0</v>
      </c>
      <c r="H92" s="17">
        <v>0</v>
      </c>
      <c r="I92" s="17">
        <v>0</v>
      </c>
      <c r="J92" s="17">
        <v>0</v>
      </c>
      <c r="K92" s="17">
        <v>0</v>
      </c>
      <c r="L92" s="17">
        <v>0</v>
      </c>
      <c r="M92" s="17">
        <v>0</v>
      </c>
      <c r="N92" s="17">
        <v>0</v>
      </c>
      <c r="O92" s="17">
        <v>0</v>
      </c>
      <c r="P92" s="17">
        <v>0</v>
      </c>
      <c r="Q92" s="17">
        <v>0</v>
      </c>
      <c r="R92" s="17">
        <v>0</v>
      </c>
      <c r="S92" s="17">
        <v>0</v>
      </c>
      <c r="T92" s="17">
        <v>0</v>
      </c>
      <c r="U92" s="17">
        <v>0</v>
      </c>
      <c r="V92" s="17">
        <v>0</v>
      </c>
      <c r="W92" s="17">
        <v>0</v>
      </c>
      <c r="X92" s="17">
        <v>0</v>
      </c>
      <c r="Y92" s="17">
        <v>0</v>
      </c>
      <c r="Z92" s="17">
        <v>0</v>
      </c>
      <c r="AA92" s="17">
        <v>0</v>
      </c>
      <c r="AB92" s="17">
        <v>0</v>
      </c>
      <c r="AC92" s="17">
        <v>0</v>
      </c>
      <c r="AD92" s="17">
        <v>0</v>
      </c>
      <c r="AE92" s="17">
        <v>0</v>
      </c>
      <c r="AF92" s="17">
        <v>0</v>
      </c>
      <c r="AG92" s="17">
        <v>0</v>
      </c>
      <c r="AH92" s="17">
        <v>0</v>
      </c>
      <c r="AI92" s="17">
        <v>0</v>
      </c>
      <c r="AJ92" s="17">
        <v>0</v>
      </c>
      <c r="AK92" s="17">
        <v>0</v>
      </c>
      <c r="AL92" s="17">
        <v>0</v>
      </c>
      <c r="AM92" s="17">
        <v>0</v>
      </c>
      <c r="AN92" s="17">
        <v>4</v>
      </c>
      <c r="AO92" s="17">
        <v>12</v>
      </c>
      <c r="AP92" s="17">
        <v>16</v>
      </c>
      <c r="AQ92" s="17">
        <v>20</v>
      </c>
      <c r="AR92" s="17">
        <v>37</v>
      </c>
      <c r="AS92" s="17">
        <v>55</v>
      </c>
      <c r="AT92" s="17">
        <v>88</v>
      </c>
      <c r="AU92" s="17">
        <v>118</v>
      </c>
      <c r="AV92" s="17">
        <v>152</v>
      </c>
      <c r="AW92" s="17">
        <v>205</v>
      </c>
      <c r="AX92" s="17">
        <v>271</v>
      </c>
      <c r="AY92" s="17">
        <v>382</v>
      </c>
      <c r="AZ92" s="17">
        <v>523</v>
      </c>
      <c r="BA92" s="17">
        <v>717</v>
      </c>
      <c r="BB92" s="17">
        <v>969</v>
      </c>
      <c r="BC92" s="17">
        <v>1290</v>
      </c>
      <c r="BD92" s="17">
        <v>1740</v>
      </c>
      <c r="BE92" s="17">
        <v>2270</v>
      </c>
      <c r="BF92" s="17">
        <v>2757</v>
      </c>
      <c r="BG92" s="17">
        <v>3201</v>
      </c>
      <c r="BH92" s="17">
        <v>3606</v>
      </c>
      <c r="BI92" s="17">
        <v>3986</v>
      </c>
      <c r="BJ92" s="17">
        <v>4272</v>
      </c>
      <c r="BK92" s="17">
        <v>4578</v>
      </c>
      <c r="BL92" s="17">
        <v>4823</v>
      </c>
      <c r="BM92" s="17">
        <v>5149</v>
      </c>
      <c r="BN92" s="17">
        <v>5516</v>
      </c>
      <c r="BO92" s="17">
        <v>5859</v>
      </c>
      <c r="BP92" s="17">
        <v>6198</v>
      </c>
      <c r="BQ92" s="17">
        <v>6608</v>
      </c>
      <c r="BR92" s="17">
        <v>7042</v>
      </c>
      <c r="BS92" s="17">
        <v>7361</v>
      </c>
      <c r="BT92" s="17">
        <v>7640</v>
      </c>
      <c r="BU92" s="17">
        <v>7881</v>
      </c>
      <c r="BV92" s="17">
        <v>8122</v>
      </c>
      <c r="BW92" s="17">
        <v>8321</v>
      </c>
      <c r="BX92" s="17">
        <v>8468</v>
      </c>
      <c r="BY92" s="17">
        <v>8585</v>
      </c>
      <c r="BZ92" s="17">
        <v>8674</v>
      </c>
      <c r="CA92" s="17">
        <v>8721</v>
      </c>
      <c r="CB92" s="17">
        <v>8744</v>
      </c>
      <c r="CC92" s="17">
        <v>8751</v>
      </c>
      <c r="CD92" s="17">
        <v>8753</v>
      </c>
      <c r="CE92" s="17">
        <v>8757</v>
      </c>
      <c r="CF92" s="17">
        <v>8760</v>
      </c>
      <c r="CG92" s="17">
        <v>8760</v>
      </c>
      <c r="CH92" s="17">
        <v>8760</v>
      </c>
      <c r="CI92" s="17">
        <v>8760</v>
      </c>
      <c r="CJ92" s="17">
        <v>8760</v>
      </c>
      <c r="CK92" s="17">
        <v>8760</v>
      </c>
      <c r="CL92" s="17">
        <v>8760</v>
      </c>
      <c r="CM92" s="17">
        <v>8760</v>
      </c>
      <c r="CN92" s="17">
        <v>8760</v>
      </c>
      <c r="CO92" s="17">
        <v>8760</v>
      </c>
      <c r="CP92" s="17">
        <v>8760</v>
      </c>
      <c r="CQ92" s="17">
        <v>8760</v>
      </c>
      <c r="CR92" s="17">
        <v>8760</v>
      </c>
      <c r="CS92" s="17">
        <v>8760</v>
      </c>
      <c r="CT92" s="17">
        <v>8760</v>
      </c>
      <c r="CU92" s="17">
        <v>8760</v>
      </c>
      <c r="CV92" s="17">
        <v>8760</v>
      </c>
      <c r="CW92" s="17">
        <v>8760</v>
      </c>
      <c r="CX92" s="17">
        <v>8760</v>
      </c>
      <c r="CY92" s="17">
        <v>8760</v>
      </c>
      <c r="CZ92" s="17">
        <v>8760</v>
      </c>
      <c r="DA92" s="17">
        <v>8760</v>
      </c>
      <c r="DB92" s="17">
        <v>8760</v>
      </c>
    </row>
    <row r="93" spans="1:106" s="17" customFormat="1" x14ac:dyDescent="0.25">
      <c r="A93" s="22" t="s">
        <v>111</v>
      </c>
      <c r="B93" s="17" t="s">
        <v>111</v>
      </c>
      <c r="C93" s="17" t="s">
        <v>438</v>
      </c>
      <c r="D93" s="17" t="s">
        <v>580</v>
      </c>
      <c r="E93" s="17" t="s">
        <v>581</v>
      </c>
      <c r="F93" s="17">
        <v>102010</v>
      </c>
      <c r="G93" s="17">
        <v>0</v>
      </c>
      <c r="H93" s="17">
        <v>0</v>
      </c>
      <c r="I93" s="17">
        <v>0</v>
      </c>
      <c r="J93" s="17">
        <v>0</v>
      </c>
      <c r="K93" s="17">
        <v>0</v>
      </c>
      <c r="L93" s="17">
        <v>0</v>
      </c>
      <c r="M93" s="17">
        <v>0</v>
      </c>
      <c r="N93" s="17">
        <v>0</v>
      </c>
      <c r="O93" s="17">
        <v>0</v>
      </c>
      <c r="P93" s="17">
        <v>0</v>
      </c>
      <c r="Q93" s="17">
        <v>0</v>
      </c>
      <c r="R93" s="17">
        <v>0</v>
      </c>
      <c r="S93" s="17">
        <v>0</v>
      </c>
      <c r="T93" s="17">
        <v>0</v>
      </c>
      <c r="U93" s="17">
        <v>0</v>
      </c>
      <c r="V93" s="17">
        <v>0</v>
      </c>
      <c r="W93" s="17">
        <v>0</v>
      </c>
      <c r="X93" s="17">
        <v>0</v>
      </c>
      <c r="Y93" s="17">
        <v>0</v>
      </c>
      <c r="Z93" s="17">
        <v>0</v>
      </c>
      <c r="AA93" s="17">
        <v>0</v>
      </c>
      <c r="AB93" s="17">
        <v>0</v>
      </c>
      <c r="AC93" s="17">
        <v>4</v>
      </c>
      <c r="AD93" s="17">
        <v>9</v>
      </c>
      <c r="AE93" s="17">
        <v>20</v>
      </c>
      <c r="AF93" s="17">
        <v>30</v>
      </c>
      <c r="AG93" s="17">
        <v>41</v>
      </c>
      <c r="AH93" s="17">
        <v>69</v>
      </c>
      <c r="AI93" s="17">
        <v>95</v>
      </c>
      <c r="AJ93" s="17">
        <v>128</v>
      </c>
      <c r="AK93" s="17">
        <v>174</v>
      </c>
      <c r="AL93" s="17">
        <v>221</v>
      </c>
      <c r="AM93" s="17">
        <v>268</v>
      </c>
      <c r="AN93" s="17">
        <v>328</v>
      </c>
      <c r="AO93" s="17">
        <v>401</v>
      </c>
      <c r="AP93" s="17">
        <v>492</v>
      </c>
      <c r="AQ93" s="17">
        <v>601</v>
      </c>
      <c r="AR93" s="17">
        <v>742</v>
      </c>
      <c r="AS93" s="17">
        <v>877</v>
      </c>
      <c r="AT93" s="17">
        <v>1007</v>
      </c>
      <c r="AU93" s="17">
        <v>1145</v>
      </c>
      <c r="AV93" s="17">
        <v>1305</v>
      </c>
      <c r="AW93" s="17">
        <v>1475</v>
      </c>
      <c r="AX93" s="17">
        <v>1659</v>
      </c>
      <c r="AY93" s="17">
        <v>1851</v>
      </c>
      <c r="AZ93" s="17">
        <v>2080</v>
      </c>
      <c r="BA93" s="17">
        <v>2337</v>
      </c>
      <c r="BB93" s="17">
        <v>2654</v>
      </c>
      <c r="BC93" s="17">
        <v>2966</v>
      </c>
      <c r="BD93" s="17">
        <v>3341</v>
      </c>
      <c r="BE93" s="17">
        <v>3795</v>
      </c>
      <c r="BF93" s="17">
        <v>4227</v>
      </c>
      <c r="BG93" s="17">
        <v>4534</v>
      </c>
      <c r="BH93" s="17">
        <v>4833</v>
      </c>
      <c r="BI93" s="17">
        <v>5076</v>
      </c>
      <c r="BJ93" s="17">
        <v>5273</v>
      </c>
      <c r="BK93" s="17">
        <v>5497</v>
      </c>
      <c r="BL93" s="17">
        <v>5784</v>
      </c>
      <c r="BM93" s="17">
        <v>6064</v>
      </c>
      <c r="BN93" s="17">
        <v>6345</v>
      </c>
      <c r="BO93" s="17">
        <v>6636</v>
      </c>
      <c r="BP93" s="17">
        <v>6935</v>
      </c>
      <c r="BQ93" s="17">
        <v>7241</v>
      </c>
      <c r="BR93" s="17">
        <v>7525</v>
      </c>
      <c r="BS93" s="17">
        <v>7792</v>
      </c>
      <c r="BT93" s="17">
        <v>8061</v>
      </c>
      <c r="BU93" s="17">
        <v>8298</v>
      </c>
      <c r="BV93" s="17">
        <v>8469</v>
      </c>
      <c r="BW93" s="17">
        <v>8562</v>
      </c>
      <c r="BX93" s="17">
        <v>8619</v>
      </c>
      <c r="BY93" s="17">
        <v>8664</v>
      </c>
      <c r="BZ93" s="17">
        <v>8690</v>
      </c>
      <c r="CA93" s="17">
        <v>8707</v>
      </c>
      <c r="CB93" s="17">
        <v>8724</v>
      </c>
      <c r="CC93" s="17">
        <v>8748</v>
      </c>
      <c r="CD93" s="17">
        <v>8759</v>
      </c>
      <c r="CE93" s="17">
        <v>8760</v>
      </c>
      <c r="CF93" s="17">
        <v>8760</v>
      </c>
      <c r="CG93" s="17">
        <v>8760</v>
      </c>
      <c r="CH93" s="17">
        <v>8760</v>
      </c>
      <c r="CI93" s="17">
        <v>8760</v>
      </c>
      <c r="CJ93" s="17">
        <v>8760</v>
      </c>
      <c r="CK93" s="17">
        <v>8760</v>
      </c>
      <c r="CL93" s="17">
        <v>8760</v>
      </c>
      <c r="CM93" s="17">
        <v>8760</v>
      </c>
      <c r="CN93" s="17">
        <v>8760</v>
      </c>
      <c r="CO93" s="17">
        <v>8760</v>
      </c>
      <c r="CP93" s="17">
        <v>8760</v>
      </c>
      <c r="CQ93" s="17">
        <v>8760</v>
      </c>
      <c r="CR93" s="17">
        <v>8760</v>
      </c>
      <c r="CS93" s="17">
        <v>8760</v>
      </c>
      <c r="CT93" s="17">
        <v>8760</v>
      </c>
      <c r="CU93" s="17">
        <v>8760</v>
      </c>
      <c r="CV93" s="17">
        <v>8760</v>
      </c>
      <c r="CW93" s="17">
        <v>8760</v>
      </c>
      <c r="CX93" s="17">
        <v>8760</v>
      </c>
      <c r="CY93" s="17">
        <v>8760</v>
      </c>
      <c r="CZ93" s="17">
        <v>8760</v>
      </c>
      <c r="DA93" s="17">
        <v>8760</v>
      </c>
      <c r="DB93" s="17">
        <v>8760</v>
      </c>
    </row>
    <row r="94" spans="1:106" s="17" customFormat="1" x14ac:dyDescent="0.25">
      <c r="A94" s="22" t="s">
        <v>112</v>
      </c>
      <c r="B94" s="17" t="s">
        <v>374</v>
      </c>
    </row>
    <row r="95" spans="1:106" s="17" customFormat="1" x14ac:dyDescent="0.25">
      <c r="A95" s="22" t="s">
        <v>113</v>
      </c>
      <c r="B95" s="17" t="s">
        <v>116</v>
      </c>
      <c r="C95" s="17" t="s">
        <v>438</v>
      </c>
      <c r="D95" s="17" t="s">
        <v>582</v>
      </c>
      <c r="E95" s="17" t="s">
        <v>583</v>
      </c>
      <c r="F95" s="17">
        <v>102801</v>
      </c>
      <c r="G95" s="17">
        <v>0</v>
      </c>
      <c r="H95" s="17">
        <v>0</v>
      </c>
      <c r="I95" s="17">
        <v>0</v>
      </c>
      <c r="J95" s="17">
        <v>0</v>
      </c>
      <c r="K95" s="17">
        <v>0</v>
      </c>
      <c r="L95" s="17">
        <v>0</v>
      </c>
      <c r="M95" s="17">
        <v>0</v>
      </c>
      <c r="N95" s="17">
        <v>0</v>
      </c>
      <c r="O95" s="17">
        <v>0</v>
      </c>
      <c r="P95" s="17">
        <v>0</v>
      </c>
      <c r="Q95" s="17">
        <v>0</v>
      </c>
      <c r="R95" s="17">
        <v>0</v>
      </c>
      <c r="S95" s="17">
        <v>0</v>
      </c>
      <c r="T95" s="17">
        <v>0</v>
      </c>
      <c r="U95" s="17">
        <v>0</v>
      </c>
      <c r="V95" s="17">
        <v>0</v>
      </c>
      <c r="W95" s="17">
        <v>0</v>
      </c>
      <c r="X95" s="17">
        <v>2</v>
      </c>
      <c r="Y95" s="17">
        <v>4</v>
      </c>
      <c r="Z95" s="17">
        <v>5</v>
      </c>
      <c r="AA95" s="17">
        <v>7</v>
      </c>
      <c r="AB95" s="17">
        <v>9</v>
      </c>
      <c r="AC95" s="17">
        <v>12</v>
      </c>
      <c r="AD95" s="17">
        <v>14</v>
      </c>
      <c r="AE95" s="17">
        <v>16</v>
      </c>
      <c r="AF95" s="17">
        <v>18</v>
      </c>
      <c r="AG95" s="17">
        <v>22</v>
      </c>
      <c r="AH95" s="17">
        <v>37</v>
      </c>
      <c r="AI95" s="17">
        <v>48</v>
      </c>
      <c r="AJ95" s="17">
        <v>63</v>
      </c>
      <c r="AK95" s="17">
        <v>77</v>
      </c>
      <c r="AL95" s="17">
        <v>102</v>
      </c>
      <c r="AM95" s="17">
        <v>156</v>
      </c>
      <c r="AN95" s="17">
        <v>215</v>
      </c>
      <c r="AO95" s="17">
        <v>282</v>
      </c>
      <c r="AP95" s="17">
        <v>357</v>
      </c>
      <c r="AQ95" s="17">
        <v>463</v>
      </c>
      <c r="AR95" s="17">
        <v>575</v>
      </c>
      <c r="AS95" s="17">
        <v>718</v>
      </c>
      <c r="AT95" s="17">
        <v>872</v>
      </c>
      <c r="AU95" s="17">
        <v>1042</v>
      </c>
      <c r="AV95" s="17">
        <v>1215</v>
      </c>
      <c r="AW95" s="17">
        <v>1434</v>
      </c>
      <c r="AX95" s="17">
        <v>1649</v>
      </c>
      <c r="AY95" s="17">
        <v>1888</v>
      </c>
      <c r="AZ95" s="17">
        <v>2158</v>
      </c>
      <c r="BA95" s="17">
        <v>2501</v>
      </c>
      <c r="BB95" s="17">
        <v>2865</v>
      </c>
      <c r="BC95" s="17">
        <v>3236</v>
      </c>
      <c r="BD95" s="17">
        <v>3601</v>
      </c>
      <c r="BE95" s="17">
        <v>4098</v>
      </c>
      <c r="BF95" s="17">
        <v>4447</v>
      </c>
      <c r="BG95" s="17">
        <v>4823</v>
      </c>
      <c r="BH95" s="17">
        <v>5219</v>
      </c>
      <c r="BI95" s="17">
        <v>5544</v>
      </c>
      <c r="BJ95" s="17">
        <v>5845</v>
      </c>
      <c r="BK95" s="17">
        <v>6164</v>
      </c>
      <c r="BL95" s="17">
        <v>6483</v>
      </c>
      <c r="BM95" s="17">
        <v>6767</v>
      </c>
      <c r="BN95" s="17">
        <v>7019</v>
      </c>
      <c r="BO95" s="17">
        <v>7280</v>
      </c>
      <c r="BP95" s="17">
        <v>7533</v>
      </c>
      <c r="BQ95" s="17">
        <v>7756</v>
      </c>
      <c r="BR95" s="17">
        <v>7959</v>
      </c>
      <c r="BS95" s="17">
        <v>8111</v>
      </c>
      <c r="BT95" s="17">
        <v>8245</v>
      </c>
      <c r="BU95" s="17">
        <v>8355</v>
      </c>
      <c r="BV95" s="17">
        <v>8431</v>
      </c>
      <c r="BW95" s="17">
        <v>8504</v>
      </c>
      <c r="BX95" s="17">
        <v>8567</v>
      </c>
      <c r="BY95" s="17">
        <v>8599</v>
      </c>
      <c r="BZ95" s="17">
        <v>8636</v>
      </c>
      <c r="CA95" s="17">
        <v>8676</v>
      </c>
      <c r="CB95" s="17">
        <v>8694</v>
      </c>
      <c r="CC95" s="17">
        <v>8728</v>
      </c>
      <c r="CD95" s="17">
        <v>8749</v>
      </c>
      <c r="CE95" s="17">
        <v>8760</v>
      </c>
      <c r="CF95" s="17">
        <v>8760</v>
      </c>
      <c r="CG95" s="17">
        <v>8760</v>
      </c>
      <c r="CH95" s="17">
        <v>8760</v>
      </c>
      <c r="CI95" s="17">
        <v>8760</v>
      </c>
      <c r="CJ95" s="17">
        <v>8760</v>
      </c>
      <c r="CK95" s="17">
        <v>8760</v>
      </c>
      <c r="CL95" s="17">
        <v>8760</v>
      </c>
      <c r="CM95" s="17">
        <v>8760</v>
      </c>
      <c r="CN95" s="17">
        <v>8760</v>
      </c>
      <c r="CO95" s="17">
        <v>8760</v>
      </c>
      <c r="CP95" s="17">
        <v>8760</v>
      </c>
      <c r="CQ95" s="17">
        <v>8760</v>
      </c>
      <c r="CR95" s="17">
        <v>8760</v>
      </c>
      <c r="CS95" s="17">
        <v>8760</v>
      </c>
      <c r="CT95" s="17">
        <v>8760</v>
      </c>
      <c r="CU95" s="17">
        <v>8760</v>
      </c>
      <c r="CV95" s="17">
        <v>8760</v>
      </c>
      <c r="CW95" s="17">
        <v>8760</v>
      </c>
      <c r="CX95" s="17">
        <v>8760</v>
      </c>
      <c r="CY95" s="17">
        <v>8760</v>
      </c>
      <c r="CZ95" s="17">
        <v>8760</v>
      </c>
      <c r="DA95" s="17">
        <v>8760</v>
      </c>
      <c r="DB95" s="17">
        <v>8760</v>
      </c>
    </row>
    <row r="96" spans="1:106" s="17" customFormat="1" x14ac:dyDescent="0.25">
      <c r="A96" s="22" t="s">
        <v>114</v>
      </c>
      <c r="B96" s="17" t="s">
        <v>115</v>
      </c>
      <c r="C96" s="17" t="s">
        <v>438</v>
      </c>
      <c r="D96" s="17" t="s">
        <v>584</v>
      </c>
      <c r="E96" s="17" t="s">
        <v>585</v>
      </c>
      <c r="F96" s="17">
        <v>102722</v>
      </c>
      <c r="G96" s="17">
        <v>0</v>
      </c>
      <c r="H96" s="17">
        <v>0</v>
      </c>
      <c r="I96" s="17">
        <v>0</v>
      </c>
      <c r="J96" s="17">
        <v>0</v>
      </c>
      <c r="K96" s="17">
        <v>0</v>
      </c>
      <c r="L96" s="17">
        <v>0</v>
      </c>
      <c r="M96" s="17">
        <v>0</v>
      </c>
      <c r="N96" s="17">
        <v>0</v>
      </c>
      <c r="O96" s="17">
        <v>0</v>
      </c>
      <c r="P96" s="17">
        <v>0</v>
      </c>
      <c r="Q96" s="17">
        <v>0</v>
      </c>
      <c r="R96" s="17">
        <v>0</v>
      </c>
      <c r="S96" s="17">
        <v>0</v>
      </c>
      <c r="T96" s="17">
        <v>0</v>
      </c>
      <c r="U96" s="17">
        <v>0</v>
      </c>
      <c r="V96" s="17">
        <v>0</v>
      </c>
      <c r="W96" s="17">
        <v>0</v>
      </c>
      <c r="X96" s="17">
        <v>0</v>
      </c>
      <c r="Y96" s="17">
        <v>0</v>
      </c>
      <c r="Z96" s="17">
        <v>0</v>
      </c>
      <c r="AA96" s="17">
        <v>1</v>
      </c>
      <c r="AB96" s="17">
        <v>5</v>
      </c>
      <c r="AC96" s="17">
        <v>8</v>
      </c>
      <c r="AD96" s="17">
        <v>13</v>
      </c>
      <c r="AE96" s="17">
        <v>17</v>
      </c>
      <c r="AF96" s="17">
        <v>19</v>
      </c>
      <c r="AG96" s="17">
        <v>27</v>
      </c>
      <c r="AH96" s="17">
        <v>28</v>
      </c>
      <c r="AI96" s="17">
        <v>30</v>
      </c>
      <c r="AJ96" s="17">
        <v>43</v>
      </c>
      <c r="AK96" s="17">
        <v>57</v>
      </c>
      <c r="AL96" s="17">
        <v>65</v>
      </c>
      <c r="AM96" s="17">
        <v>75</v>
      </c>
      <c r="AN96" s="17">
        <v>91</v>
      </c>
      <c r="AO96" s="17">
        <v>109</v>
      </c>
      <c r="AP96" s="17">
        <v>140</v>
      </c>
      <c r="AQ96" s="17">
        <v>185</v>
      </c>
      <c r="AR96" s="17">
        <v>249</v>
      </c>
      <c r="AS96" s="17">
        <v>322</v>
      </c>
      <c r="AT96" s="17">
        <v>398</v>
      </c>
      <c r="AU96" s="17">
        <v>522</v>
      </c>
      <c r="AV96" s="17">
        <v>692</v>
      </c>
      <c r="AW96" s="17">
        <v>818</v>
      </c>
      <c r="AX96" s="17">
        <v>951</v>
      </c>
      <c r="AY96" s="17">
        <v>1126</v>
      </c>
      <c r="AZ96" s="17">
        <v>1337</v>
      </c>
      <c r="BA96" s="17">
        <v>1586</v>
      </c>
      <c r="BB96" s="17">
        <v>1944</v>
      </c>
      <c r="BC96" s="17">
        <v>2297</v>
      </c>
      <c r="BD96" s="17">
        <v>2670</v>
      </c>
      <c r="BE96" s="17">
        <v>3070</v>
      </c>
      <c r="BF96" s="17">
        <v>3429</v>
      </c>
      <c r="BG96" s="17">
        <v>3799</v>
      </c>
      <c r="BH96" s="17">
        <v>4121</v>
      </c>
      <c r="BI96" s="17">
        <v>4513</v>
      </c>
      <c r="BJ96" s="17">
        <v>4821</v>
      </c>
      <c r="BK96" s="17">
        <v>5134</v>
      </c>
      <c r="BL96" s="17">
        <v>5414</v>
      </c>
      <c r="BM96" s="17">
        <v>5665</v>
      </c>
      <c r="BN96" s="17">
        <v>6014</v>
      </c>
      <c r="BO96" s="17">
        <v>6367</v>
      </c>
      <c r="BP96" s="17">
        <v>6699</v>
      </c>
      <c r="BQ96" s="17">
        <v>6989</v>
      </c>
      <c r="BR96" s="17">
        <v>7301</v>
      </c>
      <c r="BS96" s="17">
        <v>7554</v>
      </c>
      <c r="BT96" s="17">
        <v>7800</v>
      </c>
      <c r="BU96" s="17">
        <v>7973</v>
      </c>
      <c r="BV96" s="17">
        <v>8145</v>
      </c>
      <c r="BW96" s="17">
        <v>8316</v>
      </c>
      <c r="BX96" s="17">
        <v>8436</v>
      </c>
      <c r="BY96" s="17">
        <v>8514</v>
      </c>
      <c r="BZ96" s="17">
        <v>8599</v>
      </c>
      <c r="CA96" s="17">
        <v>8665</v>
      </c>
      <c r="CB96" s="17">
        <v>8700</v>
      </c>
      <c r="CC96" s="17">
        <v>8723</v>
      </c>
      <c r="CD96" s="17">
        <v>8741</v>
      </c>
      <c r="CE96" s="17">
        <v>8753</v>
      </c>
      <c r="CF96" s="17">
        <v>8755</v>
      </c>
      <c r="CG96" s="17">
        <v>8759</v>
      </c>
      <c r="CH96" s="17">
        <v>8760</v>
      </c>
      <c r="CI96" s="17">
        <v>8760</v>
      </c>
      <c r="CJ96" s="17">
        <v>8760</v>
      </c>
      <c r="CK96" s="17">
        <v>8760</v>
      </c>
      <c r="CL96" s="17">
        <v>8760</v>
      </c>
      <c r="CM96" s="17">
        <v>8760</v>
      </c>
      <c r="CN96" s="17">
        <v>8760</v>
      </c>
      <c r="CO96" s="17">
        <v>8760</v>
      </c>
      <c r="CP96" s="17">
        <v>8760</v>
      </c>
      <c r="CQ96" s="17">
        <v>8760</v>
      </c>
      <c r="CR96" s="17">
        <v>8760</v>
      </c>
      <c r="CS96" s="17">
        <v>8760</v>
      </c>
      <c r="CT96" s="17">
        <v>8760</v>
      </c>
      <c r="CU96" s="17">
        <v>8760</v>
      </c>
      <c r="CV96" s="17">
        <v>8760</v>
      </c>
      <c r="CW96" s="17">
        <v>8760</v>
      </c>
      <c r="CX96" s="17">
        <v>8760</v>
      </c>
      <c r="CY96" s="17">
        <v>8760</v>
      </c>
      <c r="CZ96" s="17">
        <v>8760</v>
      </c>
      <c r="DA96" s="17">
        <v>8760</v>
      </c>
      <c r="DB96" s="17">
        <v>8760</v>
      </c>
    </row>
    <row r="97" spans="1:106" s="17" customFormat="1" x14ac:dyDescent="0.25">
      <c r="A97" s="22" t="s">
        <v>115</v>
      </c>
      <c r="B97" s="17" t="s">
        <v>117</v>
      </c>
      <c r="C97" s="17" t="s">
        <v>438</v>
      </c>
      <c r="D97" s="17" t="s">
        <v>586</v>
      </c>
      <c r="E97" s="17" t="s">
        <v>587</v>
      </c>
      <c r="F97" s="17">
        <v>102109</v>
      </c>
      <c r="G97" s="17">
        <v>0</v>
      </c>
      <c r="H97" s="17">
        <v>0</v>
      </c>
      <c r="I97" s="17">
        <v>0</v>
      </c>
      <c r="J97" s="17">
        <v>0</v>
      </c>
      <c r="K97" s="17">
        <v>0</v>
      </c>
      <c r="L97" s="17">
        <v>0</v>
      </c>
      <c r="M97" s="17">
        <v>0</v>
      </c>
      <c r="N97" s="17">
        <v>0</v>
      </c>
      <c r="O97" s="17">
        <v>0</v>
      </c>
      <c r="P97" s="17">
        <v>0</v>
      </c>
      <c r="Q97" s="17">
        <v>0</v>
      </c>
      <c r="R97" s="17">
        <v>0</v>
      </c>
      <c r="S97" s="17">
        <v>0</v>
      </c>
      <c r="T97" s="17">
        <v>0</v>
      </c>
      <c r="U97" s="17">
        <v>0</v>
      </c>
      <c r="V97" s="17">
        <v>0</v>
      </c>
      <c r="W97" s="17">
        <v>0</v>
      </c>
      <c r="X97" s="17">
        <v>0</v>
      </c>
      <c r="Y97" s="17">
        <v>0</v>
      </c>
      <c r="Z97" s="17">
        <v>0</v>
      </c>
      <c r="AA97" s="17">
        <v>0</v>
      </c>
      <c r="AB97" s="17">
        <v>0</v>
      </c>
      <c r="AC97" s="17">
        <v>0</v>
      </c>
      <c r="AD97" s="17">
        <v>0</v>
      </c>
      <c r="AE97" s="17">
        <v>0</v>
      </c>
      <c r="AF97" s="17">
        <v>0</v>
      </c>
      <c r="AG97" s="17">
        <v>0</v>
      </c>
      <c r="AH97" s="17">
        <v>0</v>
      </c>
      <c r="AI97" s="17">
        <v>0</v>
      </c>
      <c r="AJ97" s="17">
        <v>0</v>
      </c>
      <c r="AK97" s="17">
        <v>0</v>
      </c>
      <c r="AL97" s="17">
        <v>0</v>
      </c>
      <c r="AM97" s="17">
        <v>0</v>
      </c>
      <c r="AN97" s="17">
        <v>0</v>
      </c>
      <c r="AO97" s="17">
        <v>0</v>
      </c>
      <c r="AP97" s="17">
        <v>0</v>
      </c>
      <c r="AQ97" s="17">
        <v>0</v>
      </c>
      <c r="AR97" s="17">
        <v>6</v>
      </c>
      <c r="AS97" s="17">
        <v>16</v>
      </c>
      <c r="AT97" s="17">
        <v>21</v>
      </c>
      <c r="AU97" s="17">
        <v>35</v>
      </c>
      <c r="AV97" s="17">
        <v>49</v>
      </c>
      <c r="AW97" s="17">
        <v>70</v>
      </c>
      <c r="AX97" s="17">
        <v>94</v>
      </c>
      <c r="AY97" s="17">
        <v>152</v>
      </c>
      <c r="AZ97" s="17">
        <v>217</v>
      </c>
      <c r="BA97" s="17">
        <v>345</v>
      </c>
      <c r="BB97" s="17">
        <v>513</v>
      </c>
      <c r="BC97" s="17">
        <v>736</v>
      </c>
      <c r="BD97" s="17">
        <v>1077</v>
      </c>
      <c r="BE97" s="17">
        <v>1421</v>
      </c>
      <c r="BF97" s="17">
        <v>1852</v>
      </c>
      <c r="BG97" s="17">
        <v>2274</v>
      </c>
      <c r="BH97" s="17">
        <v>2705</v>
      </c>
      <c r="BI97" s="17">
        <v>3179</v>
      </c>
      <c r="BJ97" s="17">
        <v>3646</v>
      </c>
      <c r="BK97" s="17">
        <v>4115</v>
      </c>
      <c r="BL97" s="17">
        <v>4432</v>
      </c>
      <c r="BM97" s="17">
        <v>4799</v>
      </c>
      <c r="BN97" s="17">
        <v>5191</v>
      </c>
      <c r="BO97" s="17">
        <v>5543</v>
      </c>
      <c r="BP97" s="17">
        <v>5900</v>
      </c>
      <c r="BQ97" s="17">
        <v>6260</v>
      </c>
      <c r="BR97" s="17">
        <v>6677</v>
      </c>
      <c r="BS97" s="17">
        <v>7080</v>
      </c>
      <c r="BT97" s="17">
        <v>7401</v>
      </c>
      <c r="BU97" s="17">
        <v>7685</v>
      </c>
      <c r="BV97" s="17">
        <v>7928</v>
      </c>
      <c r="BW97" s="17">
        <v>8148</v>
      </c>
      <c r="BX97" s="17">
        <v>8273</v>
      </c>
      <c r="BY97" s="17">
        <v>8390</v>
      </c>
      <c r="BZ97" s="17">
        <v>8476</v>
      </c>
      <c r="CA97" s="17">
        <v>8556</v>
      </c>
      <c r="CB97" s="17">
        <v>8624</v>
      </c>
      <c r="CC97" s="17">
        <v>8659</v>
      </c>
      <c r="CD97" s="17">
        <v>8705</v>
      </c>
      <c r="CE97" s="17">
        <v>8727</v>
      </c>
      <c r="CF97" s="17">
        <v>8745</v>
      </c>
      <c r="CG97" s="17">
        <v>8760</v>
      </c>
      <c r="CH97" s="17">
        <v>8760</v>
      </c>
      <c r="CI97" s="17">
        <v>8760</v>
      </c>
      <c r="CJ97" s="17">
        <v>8760</v>
      </c>
      <c r="CK97" s="17">
        <v>8760</v>
      </c>
      <c r="CL97" s="17">
        <v>8760</v>
      </c>
      <c r="CM97" s="17">
        <v>8760</v>
      </c>
      <c r="CN97" s="17">
        <v>8760</v>
      </c>
      <c r="CO97" s="17">
        <v>8760</v>
      </c>
      <c r="CP97" s="17">
        <v>8760</v>
      </c>
      <c r="CQ97" s="17">
        <v>8760</v>
      </c>
      <c r="CR97" s="17">
        <v>8760</v>
      </c>
      <c r="CS97" s="17">
        <v>8760</v>
      </c>
      <c r="CT97" s="17">
        <v>8760</v>
      </c>
      <c r="CU97" s="17">
        <v>8760</v>
      </c>
      <c r="CV97" s="17">
        <v>8760</v>
      </c>
      <c r="CW97" s="17">
        <v>8760</v>
      </c>
      <c r="CX97" s="17">
        <v>8760</v>
      </c>
      <c r="CY97" s="17">
        <v>8760</v>
      </c>
      <c r="CZ97" s="17">
        <v>8760</v>
      </c>
      <c r="DA97" s="17">
        <v>8760</v>
      </c>
      <c r="DB97" s="17">
        <v>8760</v>
      </c>
    </row>
    <row r="98" spans="1:106" s="17" customFormat="1" x14ac:dyDescent="0.25">
      <c r="A98" s="22" t="s">
        <v>116</v>
      </c>
      <c r="B98" s="17" t="s">
        <v>118</v>
      </c>
      <c r="C98" s="17" t="s">
        <v>438</v>
      </c>
      <c r="D98" s="17" t="s">
        <v>588</v>
      </c>
      <c r="E98" s="17" t="s">
        <v>589</v>
      </c>
      <c r="F98" s="17">
        <v>102908</v>
      </c>
      <c r="G98" s="17">
        <v>0</v>
      </c>
      <c r="H98" s="17">
        <v>0</v>
      </c>
      <c r="I98" s="17">
        <v>0</v>
      </c>
      <c r="J98" s="17">
        <v>0</v>
      </c>
      <c r="K98" s="17">
        <v>0</v>
      </c>
      <c r="L98" s="17">
        <v>0</v>
      </c>
      <c r="M98" s="17">
        <v>0</v>
      </c>
      <c r="N98" s="17">
        <v>0</v>
      </c>
      <c r="O98" s="17">
        <v>0</v>
      </c>
      <c r="P98" s="17">
        <v>0</v>
      </c>
      <c r="Q98" s="17">
        <v>0</v>
      </c>
      <c r="R98" s="17">
        <v>0</v>
      </c>
      <c r="S98" s="17">
        <v>0</v>
      </c>
      <c r="T98" s="17">
        <v>0</v>
      </c>
      <c r="U98" s="17">
        <v>0</v>
      </c>
      <c r="V98" s="17">
        <v>1</v>
      </c>
      <c r="W98" s="17">
        <v>3</v>
      </c>
      <c r="X98" s="17">
        <v>7</v>
      </c>
      <c r="Y98" s="17">
        <v>19</v>
      </c>
      <c r="Z98" s="17">
        <v>41</v>
      </c>
      <c r="AA98" s="17">
        <v>64</v>
      </c>
      <c r="AB98" s="17">
        <v>82</v>
      </c>
      <c r="AC98" s="17">
        <v>106</v>
      </c>
      <c r="AD98" s="17">
        <v>130</v>
      </c>
      <c r="AE98" s="17">
        <v>154</v>
      </c>
      <c r="AF98" s="17">
        <v>175</v>
      </c>
      <c r="AG98" s="17">
        <v>213</v>
      </c>
      <c r="AH98" s="17">
        <v>236</v>
      </c>
      <c r="AI98" s="17">
        <v>296</v>
      </c>
      <c r="AJ98" s="17">
        <v>340</v>
      </c>
      <c r="AK98" s="17">
        <v>399</v>
      </c>
      <c r="AL98" s="17">
        <v>446</v>
      </c>
      <c r="AM98" s="17">
        <v>497</v>
      </c>
      <c r="AN98" s="17">
        <v>573</v>
      </c>
      <c r="AO98" s="17">
        <v>674</v>
      </c>
      <c r="AP98" s="17">
        <v>768</v>
      </c>
      <c r="AQ98" s="17">
        <v>912</v>
      </c>
      <c r="AR98" s="17">
        <v>1060</v>
      </c>
      <c r="AS98" s="17">
        <v>1245</v>
      </c>
      <c r="AT98" s="17">
        <v>1389</v>
      </c>
      <c r="AU98" s="17">
        <v>1542</v>
      </c>
      <c r="AV98" s="17">
        <v>1718</v>
      </c>
      <c r="AW98" s="17">
        <v>1948</v>
      </c>
      <c r="AX98" s="17">
        <v>2217</v>
      </c>
      <c r="AY98" s="17">
        <v>2606</v>
      </c>
      <c r="AZ98" s="17">
        <v>2953</v>
      </c>
      <c r="BA98" s="17">
        <v>3328</v>
      </c>
      <c r="BB98" s="17">
        <v>3640</v>
      </c>
      <c r="BC98" s="17">
        <v>3963</v>
      </c>
      <c r="BD98" s="17">
        <v>4347</v>
      </c>
      <c r="BE98" s="17">
        <v>4674</v>
      </c>
      <c r="BF98" s="17">
        <v>5032</v>
      </c>
      <c r="BG98" s="17">
        <v>5385</v>
      </c>
      <c r="BH98" s="17">
        <v>5699</v>
      </c>
      <c r="BI98" s="17">
        <v>6030</v>
      </c>
      <c r="BJ98" s="17">
        <v>6364</v>
      </c>
      <c r="BK98" s="17">
        <v>6735</v>
      </c>
      <c r="BL98" s="17">
        <v>7024</v>
      </c>
      <c r="BM98" s="17">
        <v>7304</v>
      </c>
      <c r="BN98" s="17">
        <v>7605</v>
      </c>
      <c r="BO98" s="17">
        <v>7824</v>
      </c>
      <c r="BP98" s="17">
        <v>8021</v>
      </c>
      <c r="BQ98" s="17">
        <v>8228</v>
      </c>
      <c r="BR98" s="17">
        <v>8379</v>
      </c>
      <c r="BS98" s="17">
        <v>8483</v>
      </c>
      <c r="BT98" s="17">
        <v>8575</v>
      </c>
      <c r="BU98" s="17">
        <v>8635</v>
      </c>
      <c r="BV98" s="17">
        <v>8672</v>
      </c>
      <c r="BW98" s="17">
        <v>8702</v>
      </c>
      <c r="BX98" s="17">
        <v>8715</v>
      </c>
      <c r="BY98" s="17">
        <v>8733</v>
      </c>
      <c r="BZ98" s="17">
        <v>8744</v>
      </c>
      <c r="CA98" s="17">
        <v>8748</v>
      </c>
      <c r="CB98" s="17">
        <v>8755</v>
      </c>
      <c r="CC98" s="17">
        <v>8759</v>
      </c>
      <c r="CD98" s="17">
        <v>8760</v>
      </c>
      <c r="CE98" s="17">
        <v>8760</v>
      </c>
      <c r="CF98" s="17">
        <v>8760</v>
      </c>
      <c r="CG98" s="17">
        <v>8760</v>
      </c>
      <c r="CH98" s="17">
        <v>8760</v>
      </c>
      <c r="CI98" s="17">
        <v>8760</v>
      </c>
      <c r="CJ98" s="17">
        <v>8760</v>
      </c>
      <c r="CK98" s="17">
        <v>8760</v>
      </c>
      <c r="CL98" s="17">
        <v>8760</v>
      </c>
      <c r="CM98" s="17">
        <v>8760</v>
      </c>
      <c r="CN98" s="17">
        <v>8760</v>
      </c>
      <c r="CO98" s="17">
        <v>8760</v>
      </c>
      <c r="CP98" s="17">
        <v>8760</v>
      </c>
      <c r="CQ98" s="17">
        <v>8760</v>
      </c>
      <c r="CR98" s="17">
        <v>8760</v>
      </c>
      <c r="CS98" s="17">
        <v>8760</v>
      </c>
      <c r="CT98" s="17">
        <v>8760</v>
      </c>
      <c r="CU98" s="17">
        <v>8760</v>
      </c>
      <c r="CV98" s="17">
        <v>8760</v>
      </c>
      <c r="CW98" s="17">
        <v>8760</v>
      </c>
      <c r="CX98" s="17">
        <v>8760</v>
      </c>
      <c r="CY98" s="17">
        <v>8760</v>
      </c>
      <c r="CZ98" s="17">
        <v>8760</v>
      </c>
      <c r="DA98" s="17">
        <v>8760</v>
      </c>
      <c r="DB98" s="17">
        <v>8760</v>
      </c>
    </row>
    <row r="99" spans="1:106" s="17" customFormat="1" x14ac:dyDescent="0.25">
      <c r="A99" s="22" t="s">
        <v>117</v>
      </c>
      <c r="B99" s="17" t="s">
        <v>119</v>
      </c>
      <c r="C99" s="17" t="s">
        <v>438</v>
      </c>
      <c r="D99" s="17" t="s">
        <v>590</v>
      </c>
      <c r="E99" s="17" t="s">
        <v>591</v>
      </c>
      <c r="F99" s="17">
        <v>102331</v>
      </c>
      <c r="G99" s="17">
        <v>0</v>
      </c>
      <c r="H99" s="17">
        <v>0</v>
      </c>
      <c r="I99" s="17">
        <v>0</v>
      </c>
      <c r="J99" s="17">
        <v>0</v>
      </c>
      <c r="K99" s="17">
        <v>0</v>
      </c>
      <c r="L99" s="17">
        <v>0</v>
      </c>
      <c r="M99" s="17">
        <v>0</v>
      </c>
      <c r="N99" s="17">
        <v>0</v>
      </c>
      <c r="O99" s="17">
        <v>0</v>
      </c>
      <c r="P99" s="17">
        <v>0</v>
      </c>
      <c r="Q99" s="17">
        <v>0</v>
      </c>
      <c r="R99" s="17">
        <v>0</v>
      </c>
      <c r="S99" s="17">
        <v>0</v>
      </c>
      <c r="T99" s="17">
        <v>0</v>
      </c>
      <c r="U99" s="17">
        <v>0</v>
      </c>
      <c r="V99" s="17">
        <v>0</v>
      </c>
      <c r="W99" s="17">
        <v>0</v>
      </c>
      <c r="X99" s="17">
        <v>0</v>
      </c>
      <c r="Y99" s="17">
        <v>0</v>
      </c>
      <c r="Z99" s="17">
        <v>0</v>
      </c>
      <c r="AA99" s="17">
        <v>0</v>
      </c>
      <c r="AB99" s="17">
        <v>0</v>
      </c>
      <c r="AC99" s="17">
        <v>0</v>
      </c>
      <c r="AD99" s="17">
        <v>0</v>
      </c>
      <c r="AE99" s="17">
        <v>0</v>
      </c>
      <c r="AF99" s="17">
        <v>0</v>
      </c>
      <c r="AG99" s="17">
        <v>0</v>
      </c>
      <c r="AH99" s="17">
        <v>0</v>
      </c>
      <c r="AI99" s="17">
        <v>0</v>
      </c>
      <c r="AJ99" s="17">
        <v>0</v>
      </c>
      <c r="AK99" s="17">
        <v>0</v>
      </c>
      <c r="AL99" s="17">
        <v>0</v>
      </c>
      <c r="AM99" s="17">
        <v>0</v>
      </c>
      <c r="AN99" s="17">
        <v>0</v>
      </c>
      <c r="AO99" s="17">
        <v>0</v>
      </c>
      <c r="AP99" s="17">
        <v>0</v>
      </c>
      <c r="AQ99" s="17">
        <v>1</v>
      </c>
      <c r="AR99" s="17">
        <v>5</v>
      </c>
      <c r="AS99" s="17">
        <v>7</v>
      </c>
      <c r="AT99" s="17">
        <v>7</v>
      </c>
      <c r="AU99" s="17">
        <v>14</v>
      </c>
      <c r="AV99" s="17">
        <v>22</v>
      </c>
      <c r="AW99" s="17">
        <v>34</v>
      </c>
      <c r="AX99" s="17">
        <v>66</v>
      </c>
      <c r="AY99" s="17">
        <v>117</v>
      </c>
      <c r="AZ99" s="17">
        <v>173</v>
      </c>
      <c r="BA99" s="17">
        <v>256</v>
      </c>
      <c r="BB99" s="17">
        <v>432</v>
      </c>
      <c r="BC99" s="17">
        <v>683</v>
      </c>
      <c r="BD99" s="17">
        <v>1012</v>
      </c>
      <c r="BE99" s="17">
        <v>1490</v>
      </c>
      <c r="BF99" s="17">
        <v>2084</v>
      </c>
      <c r="BG99" s="17">
        <v>2648</v>
      </c>
      <c r="BH99" s="17">
        <v>3186</v>
      </c>
      <c r="BI99" s="17">
        <v>3734</v>
      </c>
      <c r="BJ99" s="17">
        <v>4176</v>
      </c>
      <c r="BK99" s="17">
        <v>4489</v>
      </c>
      <c r="BL99" s="17">
        <v>4846</v>
      </c>
      <c r="BM99" s="17">
        <v>5138</v>
      </c>
      <c r="BN99" s="17">
        <v>5420</v>
      </c>
      <c r="BO99" s="17">
        <v>5738</v>
      </c>
      <c r="BP99" s="17">
        <v>6094</v>
      </c>
      <c r="BQ99" s="17">
        <v>6470</v>
      </c>
      <c r="BR99" s="17">
        <v>6856</v>
      </c>
      <c r="BS99" s="17">
        <v>7228</v>
      </c>
      <c r="BT99" s="17">
        <v>7564</v>
      </c>
      <c r="BU99" s="17">
        <v>7840</v>
      </c>
      <c r="BV99" s="17">
        <v>8087</v>
      </c>
      <c r="BW99" s="17">
        <v>8306</v>
      </c>
      <c r="BX99" s="17">
        <v>8449</v>
      </c>
      <c r="BY99" s="17">
        <v>8550</v>
      </c>
      <c r="BZ99" s="17">
        <v>8623</v>
      </c>
      <c r="CA99" s="17">
        <v>8657</v>
      </c>
      <c r="CB99" s="17">
        <v>8681</v>
      </c>
      <c r="CC99" s="17">
        <v>8708</v>
      </c>
      <c r="CD99" s="17">
        <v>8737</v>
      </c>
      <c r="CE99" s="17">
        <v>8752</v>
      </c>
      <c r="CF99" s="17">
        <v>8760</v>
      </c>
      <c r="CG99" s="17">
        <v>8760</v>
      </c>
      <c r="CH99" s="17">
        <v>8760</v>
      </c>
      <c r="CI99" s="17">
        <v>8760</v>
      </c>
      <c r="CJ99" s="17">
        <v>8760</v>
      </c>
      <c r="CK99" s="17">
        <v>8760</v>
      </c>
      <c r="CL99" s="17">
        <v>8760</v>
      </c>
      <c r="CM99" s="17">
        <v>8760</v>
      </c>
      <c r="CN99" s="17">
        <v>8760</v>
      </c>
      <c r="CO99" s="17">
        <v>8760</v>
      </c>
      <c r="CP99" s="17">
        <v>8760</v>
      </c>
      <c r="CQ99" s="17">
        <v>8760</v>
      </c>
      <c r="CR99" s="17">
        <v>8760</v>
      </c>
      <c r="CS99" s="17">
        <v>8760</v>
      </c>
      <c r="CT99" s="17">
        <v>8760</v>
      </c>
      <c r="CU99" s="17">
        <v>8760</v>
      </c>
      <c r="CV99" s="17">
        <v>8760</v>
      </c>
      <c r="CW99" s="17">
        <v>8760</v>
      </c>
      <c r="CX99" s="17">
        <v>8760</v>
      </c>
      <c r="CY99" s="17">
        <v>8760</v>
      </c>
      <c r="CZ99" s="17">
        <v>8760</v>
      </c>
      <c r="DA99" s="17">
        <v>8760</v>
      </c>
      <c r="DB99" s="17">
        <v>8760</v>
      </c>
    </row>
    <row r="100" spans="1:106" s="17" customFormat="1" x14ac:dyDescent="0.25">
      <c r="A100" s="22" t="s">
        <v>118</v>
      </c>
      <c r="B100" s="17" t="s">
        <v>120</v>
      </c>
      <c r="C100" s="17" t="s">
        <v>438</v>
      </c>
      <c r="D100" s="17" t="s">
        <v>592</v>
      </c>
      <c r="E100" s="17" t="s">
        <v>593</v>
      </c>
      <c r="F100" s="17">
        <v>102232</v>
      </c>
      <c r="G100" s="17">
        <v>0</v>
      </c>
      <c r="H100" s="17">
        <v>0</v>
      </c>
      <c r="I100" s="17">
        <v>0</v>
      </c>
      <c r="J100" s="17">
        <v>0</v>
      </c>
      <c r="K100" s="17">
        <v>0</v>
      </c>
      <c r="L100" s="17">
        <v>0</v>
      </c>
      <c r="M100" s="17">
        <v>0</v>
      </c>
      <c r="N100" s="17">
        <v>0</v>
      </c>
      <c r="O100" s="17">
        <v>0</v>
      </c>
      <c r="P100" s="17">
        <v>0</v>
      </c>
      <c r="Q100" s="17">
        <v>0</v>
      </c>
      <c r="R100" s="17">
        <v>0</v>
      </c>
      <c r="S100" s="17">
        <v>0</v>
      </c>
      <c r="T100" s="17">
        <v>0</v>
      </c>
      <c r="U100" s="17">
        <v>0</v>
      </c>
      <c r="V100" s="17">
        <v>0</v>
      </c>
      <c r="W100" s="17">
        <v>0</v>
      </c>
      <c r="X100" s="17">
        <v>0</v>
      </c>
      <c r="Y100" s="17">
        <v>0</v>
      </c>
      <c r="Z100" s="17">
        <v>0</v>
      </c>
      <c r="AA100" s="17">
        <v>0</v>
      </c>
      <c r="AB100" s="17">
        <v>0</v>
      </c>
      <c r="AC100" s="17">
        <v>0</v>
      </c>
      <c r="AD100" s="17">
        <v>0</v>
      </c>
      <c r="AE100" s="17">
        <v>0</v>
      </c>
      <c r="AF100" s="17">
        <v>0</v>
      </c>
      <c r="AG100" s="17">
        <v>0</v>
      </c>
      <c r="AH100" s="17">
        <v>0</v>
      </c>
      <c r="AI100" s="17">
        <v>9</v>
      </c>
      <c r="AJ100" s="17">
        <v>13</v>
      </c>
      <c r="AK100" s="17">
        <v>20</v>
      </c>
      <c r="AL100" s="17">
        <v>32</v>
      </c>
      <c r="AM100" s="17">
        <v>45</v>
      </c>
      <c r="AN100" s="17">
        <v>59</v>
      </c>
      <c r="AO100" s="17">
        <v>71</v>
      </c>
      <c r="AP100" s="17">
        <v>88</v>
      </c>
      <c r="AQ100" s="17">
        <v>112</v>
      </c>
      <c r="AR100" s="17">
        <v>142</v>
      </c>
      <c r="AS100" s="17">
        <v>192</v>
      </c>
      <c r="AT100" s="17">
        <v>240</v>
      </c>
      <c r="AU100" s="17">
        <v>290</v>
      </c>
      <c r="AV100" s="17">
        <v>347</v>
      </c>
      <c r="AW100" s="17">
        <v>415</v>
      </c>
      <c r="AX100" s="17">
        <v>506</v>
      </c>
      <c r="AY100" s="17">
        <v>617</v>
      </c>
      <c r="AZ100" s="17">
        <v>755</v>
      </c>
      <c r="BA100" s="17">
        <v>927</v>
      </c>
      <c r="BB100" s="17">
        <v>1146</v>
      </c>
      <c r="BC100" s="17">
        <v>1469</v>
      </c>
      <c r="BD100" s="17">
        <v>1835</v>
      </c>
      <c r="BE100" s="17">
        <v>2215</v>
      </c>
      <c r="BF100" s="17">
        <v>2594</v>
      </c>
      <c r="BG100" s="17">
        <v>2999</v>
      </c>
      <c r="BH100" s="17">
        <v>3375</v>
      </c>
      <c r="BI100" s="17">
        <v>3737</v>
      </c>
      <c r="BJ100" s="17">
        <v>4118</v>
      </c>
      <c r="BK100" s="17">
        <v>4495</v>
      </c>
      <c r="BL100" s="17">
        <v>4895</v>
      </c>
      <c r="BM100" s="17">
        <v>5329</v>
      </c>
      <c r="BN100" s="17">
        <v>5752</v>
      </c>
      <c r="BO100" s="17">
        <v>6150</v>
      </c>
      <c r="BP100" s="17">
        <v>6536</v>
      </c>
      <c r="BQ100" s="17">
        <v>6878</v>
      </c>
      <c r="BR100" s="17">
        <v>7228</v>
      </c>
      <c r="BS100" s="17">
        <v>7532</v>
      </c>
      <c r="BT100" s="17">
        <v>7801</v>
      </c>
      <c r="BU100" s="17">
        <v>8038</v>
      </c>
      <c r="BV100" s="17">
        <v>8229</v>
      </c>
      <c r="BW100" s="17">
        <v>8376</v>
      </c>
      <c r="BX100" s="17">
        <v>8494</v>
      </c>
      <c r="BY100" s="17">
        <v>8560</v>
      </c>
      <c r="BZ100" s="17">
        <v>8629</v>
      </c>
      <c r="CA100" s="17">
        <v>8665</v>
      </c>
      <c r="CB100" s="17">
        <v>8696</v>
      </c>
      <c r="CC100" s="17">
        <v>8722</v>
      </c>
      <c r="CD100" s="17">
        <v>8741</v>
      </c>
      <c r="CE100" s="17">
        <v>8753</v>
      </c>
      <c r="CF100" s="17">
        <v>8759</v>
      </c>
      <c r="CG100" s="17">
        <v>8760</v>
      </c>
      <c r="CH100" s="17">
        <v>8760</v>
      </c>
      <c r="CI100" s="17">
        <v>8760</v>
      </c>
      <c r="CJ100" s="17">
        <v>8760</v>
      </c>
      <c r="CK100" s="17">
        <v>8760</v>
      </c>
      <c r="CL100" s="17">
        <v>8760</v>
      </c>
      <c r="CM100" s="17">
        <v>8760</v>
      </c>
      <c r="CN100" s="17">
        <v>8760</v>
      </c>
      <c r="CO100" s="17">
        <v>8760</v>
      </c>
      <c r="CP100" s="17">
        <v>8760</v>
      </c>
      <c r="CQ100" s="17">
        <v>8760</v>
      </c>
      <c r="CR100" s="17">
        <v>8760</v>
      </c>
      <c r="CS100" s="17">
        <v>8760</v>
      </c>
      <c r="CT100" s="17">
        <v>8760</v>
      </c>
      <c r="CU100" s="17">
        <v>8760</v>
      </c>
      <c r="CV100" s="17">
        <v>8760</v>
      </c>
      <c r="CW100" s="17">
        <v>8760</v>
      </c>
      <c r="CX100" s="17">
        <v>8760</v>
      </c>
      <c r="CY100" s="17">
        <v>8760</v>
      </c>
      <c r="CZ100" s="17">
        <v>8760</v>
      </c>
      <c r="DA100" s="17">
        <v>8760</v>
      </c>
      <c r="DB100" s="17">
        <v>8760</v>
      </c>
    </row>
    <row r="101" spans="1:106" s="17" customFormat="1" x14ac:dyDescent="0.25">
      <c r="A101" s="22" t="s">
        <v>119</v>
      </c>
      <c r="B101" s="17" t="s">
        <v>121</v>
      </c>
      <c r="C101" s="17" t="s">
        <v>438</v>
      </c>
      <c r="D101" s="17" t="s">
        <v>594</v>
      </c>
      <c r="E101" s="17" t="s">
        <v>595</v>
      </c>
      <c r="F101" s="17">
        <v>102217</v>
      </c>
      <c r="G101" s="17">
        <v>0</v>
      </c>
      <c r="H101" s="17">
        <v>0</v>
      </c>
      <c r="I101" s="17">
        <v>0</v>
      </c>
      <c r="J101" s="17">
        <v>0</v>
      </c>
      <c r="K101" s="17">
        <v>0</v>
      </c>
      <c r="L101" s="17">
        <v>0</v>
      </c>
      <c r="M101" s="17">
        <v>0</v>
      </c>
      <c r="N101" s="17">
        <v>0</v>
      </c>
      <c r="O101" s="17">
        <v>0</v>
      </c>
      <c r="P101" s="17">
        <v>0</v>
      </c>
      <c r="Q101" s="17">
        <v>0</v>
      </c>
      <c r="R101" s="17">
        <v>0</v>
      </c>
      <c r="S101" s="17">
        <v>0</v>
      </c>
      <c r="T101" s="17">
        <v>0</v>
      </c>
      <c r="U101" s="17">
        <v>0</v>
      </c>
      <c r="V101" s="17">
        <v>0</v>
      </c>
      <c r="W101" s="17">
        <v>0</v>
      </c>
      <c r="X101" s="17">
        <v>0</v>
      </c>
      <c r="Y101" s="17">
        <v>0</v>
      </c>
      <c r="Z101" s="17">
        <v>0</v>
      </c>
      <c r="AA101" s="17">
        <v>0</v>
      </c>
      <c r="AB101" s="17">
        <v>0</v>
      </c>
      <c r="AC101" s="17">
        <v>0</v>
      </c>
      <c r="AD101" s="17">
        <v>0</v>
      </c>
      <c r="AE101" s="17">
        <v>0</v>
      </c>
      <c r="AF101" s="17">
        <v>0</v>
      </c>
      <c r="AG101" s="17">
        <v>0</v>
      </c>
      <c r="AH101" s="17">
        <v>0</v>
      </c>
      <c r="AI101" s="17">
        <v>0</v>
      </c>
      <c r="AJ101" s="17">
        <v>0</v>
      </c>
      <c r="AK101" s="17">
        <v>0</v>
      </c>
      <c r="AL101" s="17">
        <v>0</v>
      </c>
      <c r="AM101" s="17">
        <v>0</v>
      </c>
      <c r="AN101" s="17">
        <v>5</v>
      </c>
      <c r="AO101" s="17">
        <v>8</v>
      </c>
      <c r="AP101" s="17">
        <v>11</v>
      </c>
      <c r="AQ101" s="17">
        <v>20</v>
      </c>
      <c r="AR101" s="17">
        <v>67</v>
      </c>
      <c r="AS101" s="17">
        <v>103</v>
      </c>
      <c r="AT101" s="17">
        <v>138</v>
      </c>
      <c r="AU101" s="17">
        <v>169</v>
      </c>
      <c r="AV101" s="17">
        <v>211</v>
      </c>
      <c r="AW101" s="17">
        <v>282</v>
      </c>
      <c r="AX101" s="17">
        <v>379</v>
      </c>
      <c r="AY101" s="17">
        <v>498</v>
      </c>
      <c r="AZ101" s="17">
        <v>678</v>
      </c>
      <c r="BA101" s="17">
        <v>863</v>
      </c>
      <c r="BB101" s="17">
        <v>1081</v>
      </c>
      <c r="BC101" s="17">
        <v>1406</v>
      </c>
      <c r="BD101" s="17">
        <v>1800</v>
      </c>
      <c r="BE101" s="17">
        <v>2248</v>
      </c>
      <c r="BF101" s="17">
        <v>2731</v>
      </c>
      <c r="BG101" s="17">
        <v>3098</v>
      </c>
      <c r="BH101" s="17">
        <v>3507</v>
      </c>
      <c r="BI101" s="17">
        <v>3914</v>
      </c>
      <c r="BJ101" s="17">
        <v>4252</v>
      </c>
      <c r="BK101" s="17">
        <v>4598</v>
      </c>
      <c r="BL101" s="17">
        <v>4956</v>
      </c>
      <c r="BM101" s="17">
        <v>5309</v>
      </c>
      <c r="BN101" s="17">
        <v>5664</v>
      </c>
      <c r="BO101" s="17">
        <v>6051</v>
      </c>
      <c r="BP101" s="17">
        <v>6407</v>
      </c>
      <c r="BQ101" s="17">
        <v>6765</v>
      </c>
      <c r="BR101" s="17">
        <v>7129</v>
      </c>
      <c r="BS101" s="17">
        <v>7482</v>
      </c>
      <c r="BT101" s="17">
        <v>7749</v>
      </c>
      <c r="BU101" s="17">
        <v>7967</v>
      </c>
      <c r="BV101" s="17">
        <v>8152</v>
      </c>
      <c r="BW101" s="17">
        <v>8310</v>
      </c>
      <c r="BX101" s="17">
        <v>8443</v>
      </c>
      <c r="BY101" s="17">
        <v>8554</v>
      </c>
      <c r="BZ101" s="17">
        <v>8613</v>
      </c>
      <c r="CA101" s="17">
        <v>8650</v>
      </c>
      <c r="CB101" s="17">
        <v>8684</v>
      </c>
      <c r="CC101" s="17">
        <v>8716</v>
      </c>
      <c r="CD101" s="17">
        <v>8742</v>
      </c>
      <c r="CE101" s="17">
        <v>8755</v>
      </c>
      <c r="CF101" s="17">
        <v>8759</v>
      </c>
      <c r="CG101" s="17">
        <v>8760</v>
      </c>
      <c r="CH101" s="17">
        <v>8760</v>
      </c>
      <c r="CI101" s="17">
        <v>8760</v>
      </c>
      <c r="CJ101" s="17">
        <v>8760</v>
      </c>
      <c r="CK101" s="17">
        <v>8760</v>
      </c>
      <c r="CL101" s="17">
        <v>8760</v>
      </c>
      <c r="CM101" s="17">
        <v>8760</v>
      </c>
      <c r="CN101" s="17">
        <v>8760</v>
      </c>
      <c r="CO101" s="17">
        <v>8760</v>
      </c>
      <c r="CP101" s="17">
        <v>8760</v>
      </c>
      <c r="CQ101" s="17">
        <v>8760</v>
      </c>
      <c r="CR101" s="17">
        <v>8760</v>
      </c>
      <c r="CS101" s="17">
        <v>8760</v>
      </c>
      <c r="CT101" s="17">
        <v>8760</v>
      </c>
      <c r="CU101" s="17">
        <v>8760</v>
      </c>
      <c r="CV101" s="17">
        <v>8760</v>
      </c>
      <c r="CW101" s="17">
        <v>8760</v>
      </c>
      <c r="CX101" s="17">
        <v>8760</v>
      </c>
      <c r="CY101" s="17">
        <v>8760</v>
      </c>
      <c r="CZ101" s="17">
        <v>8760</v>
      </c>
      <c r="DA101" s="17">
        <v>8760</v>
      </c>
      <c r="DB101" s="17">
        <v>8760</v>
      </c>
    </row>
    <row r="102" spans="1:106" s="17" customFormat="1" x14ac:dyDescent="0.25">
      <c r="A102" s="22" t="s">
        <v>120</v>
      </c>
      <c r="B102" s="17" t="s">
        <v>122</v>
      </c>
      <c r="C102" s="17" t="s">
        <v>438</v>
      </c>
      <c r="D102" s="17" t="s">
        <v>596</v>
      </c>
      <c r="E102" s="17" t="s">
        <v>597</v>
      </c>
      <c r="F102" s="17">
        <v>102709</v>
      </c>
      <c r="G102" s="17">
        <v>0</v>
      </c>
      <c r="H102" s="17">
        <v>0</v>
      </c>
      <c r="I102" s="17">
        <v>0</v>
      </c>
      <c r="J102" s="17">
        <v>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1</v>
      </c>
      <c r="AC102" s="17">
        <v>4</v>
      </c>
      <c r="AD102" s="17">
        <v>8</v>
      </c>
      <c r="AE102" s="17">
        <v>13</v>
      </c>
      <c r="AF102" s="17">
        <v>16</v>
      </c>
      <c r="AG102" s="17">
        <v>18</v>
      </c>
      <c r="AH102" s="17">
        <v>20</v>
      </c>
      <c r="AI102" s="17">
        <v>24</v>
      </c>
      <c r="AJ102" s="17">
        <v>37</v>
      </c>
      <c r="AK102" s="17">
        <v>54</v>
      </c>
      <c r="AL102" s="17">
        <v>62</v>
      </c>
      <c r="AM102" s="17">
        <v>69</v>
      </c>
      <c r="AN102" s="17">
        <v>87</v>
      </c>
      <c r="AO102" s="17">
        <v>119</v>
      </c>
      <c r="AP102" s="17">
        <v>161</v>
      </c>
      <c r="AQ102" s="17">
        <v>220</v>
      </c>
      <c r="AR102" s="17">
        <v>296</v>
      </c>
      <c r="AS102" s="17">
        <v>379</v>
      </c>
      <c r="AT102" s="17">
        <v>484</v>
      </c>
      <c r="AU102" s="17">
        <v>624</v>
      </c>
      <c r="AV102" s="17">
        <v>772</v>
      </c>
      <c r="AW102" s="17">
        <v>890</v>
      </c>
      <c r="AX102" s="17">
        <v>1027</v>
      </c>
      <c r="AY102" s="17">
        <v>1201</v>
      </c>
      <c r="AZ102" s="17">
        <v>1418</v>
      </c>
      <c r="BA102" s="17">
        <v>1680</v>
      </c>
      <c r="BB102" s="17">
        <v>1998</v>
      </c>
      <c r="BC102" s="17">
        <v>2351</v>
      </c>
      <c r="BD102" s="17">
        <v>2757</v>
      </c>
      <c r="BE102" s="17">
        <v>3176</v>
      </c>
      <c r="BF102" s="17">
        <v>3553</v>
      </c>
      <c r="BG102" s="17">
        <v>3932</v>
      </c>
      <c r="BH102" s="17">
        <v>4226</v>
      </c>
      <c r="BI102" s="17">
        <v>4596</v>
      </c>
      <c r="BJ102" s="17">
        <v>4879</v>
      </c>
      <c r="BK102" s="17">
        <v>5180</v>
      </c>
      <c r="BL102" s="17">
        <v>5448</v>
      </c>
      <c r="BM102" s="17">
        <v>5745</v>
      </c>
      <c r="BN102" s="17">
        <v>6059</v>
      </c>
      <c r="BO102" s="17">
        <v>6449</v>
      </c>
      <c r="BP102" s="17">
        <v>6742</v>
      </c>
      <c r="BQ102" s="17">
        <v>7046</v>
      </c>
      <c r="BR102" s="17">
        <v>7342</v>
      </c>
      <c r="BS102" s="17">
        <v>7631</v>
      </c>
      <c r="BT102" s="17">
        <v>7845</v>
      </c>
      <c r="BU102" s="17">
        <v>8019</v>
      </c>
      <c r="BV102" s="17">
        <v>8200</v>
      </c>
      <c r="BW102" s="17">
        <v>8362</v>
      </c>
      <c r="BX102" s="17">
        <v>8477</v>
      </c>
      <c r="BY102" s="17">
        <v>8569</v>
      </c>
      <c r="BZ102" s="17">
        <v>8648</v>
      </c>
      <c r="CA102" s="17">
        <v>8684</v>
      </c>
      <c r="CB102" s="17">
        <v>8717</v>
      </c>
      <c r="CC102" s="17">
        <v>8739</v>
      </c>
      <c r="CD102" s="17">
        <v>8751</v>
      </c>
      <c r="CE102" s="17">
        <v>8754</v>
      </c>
      <c r="CF102" s="17">
        <v>8756</v>
      </c>
      <c r="CG102" s="17">
        <v>8760</v>
      </c>
      <c r="CH102" s="17">
        <v>8760</v>
      </c>
      <c r="CI102" s="17">
        <v>8760</v>
      </c>
      <c r="CJ102" s="17">
        <v>8760</v>
      </c>
      <c r="CK102" s="17">
        <v>8760</v>
      </c>
      <c r="CL102" s="17">
        <v>8760</v>
      </c>
      <c r="CM102" s="17">
        <v>8760</v>
      </c>
      <c r="CN102" s="17">
        <v>8760</v>
      </c>
      <c r="CO102" s="17">
        <v>8760</v>
      </c>
      <c r="CP102" s="17">
        <v>8760</v>
      </c>
      <c r="CQ102" s="17">
        <v>8760</v>
      </c>
      <c r="CR102" s="17">
        <v>8760</v>
      </c>
      <c r="CS102" s="17">
        <v>8760</v>
      </c>
      <c r="CT102" s="17">
        <v>8760</v>
      </c>
      <c r="CU102" s="17">
        <v>8760</v>
      </c>
      <c r="CV102" s="17">
        <v>8760</v>
      </c>
      <c r="CW102" s="17">
        <v>8760</v>
      </c>
      <c r="CX102" s="17">
        <v>8760</v>
      </c>
      <c r="CY102" s="17">
        <v>8760</v>
      </c>
      <c r="CZ102" s="17">
        <v>8760</v>
      </c>
      <c r="DA102" s="17">
        <v>8760</v>
      </c>
      <c r="DB102" s="17">
        <v>8760</v>
      </c>
    </row>
    <row r="103" spans="1:106" s="17" customFormat="1" x14ac:dyDescent="0.25">
      <c r="A103" s="22" t="s">
        <v>121</v>
      </c>
      <c r="B103" s="17" t="s">
        <v>376</v>
      </c>
    </row>
    <row r="104" spans="1:106" s="17" customFormat="1" x14ac:dyDescent="0.25">
      <c r="A104" s="22" t="s">
        <v>122</v>
      </c>
      <c r="B104" s="17" t="s">
        <v>127</v>
      </c>
      <c r="C104" s="17" t="s">
        <v>438</v>
      </c>
      <c r="D104" s="17" t="s">
        <v>598</v>
      </c>
      <c r="E104" s="17" t="s">
        <v>599</v>
      </c>
      <c r="F104" s="17">
        <v>102524</v>
      </c>
      <c r="G104" s="17">
        <v>0</v>
      </c>
      <c r="H104" s="17">
        <v>0</v>
      </c>
      <c r="I104" s="17">
        <v>0</v>
      </c>
      <c r="J104" s="17">
        <v>0</v>
      </c>
      <c r="K104" s="17">
        <v>0</v>
      </c>
      <c r="L104" s="17">
        <v>0</v>
      </c>
      <c r="M104" s="17">
        <v>0</v>
      </c>
      <c r="N104" s="17">
        <v>0</v>
      </c>
      <c r="O104" s="17">
        <v>0</v>
      </c>
      <c r="P104" s="17">
        <v>0</v>
      </c>
      <c r="Q104" s="17">
        <v>0</v>
      </c>
      <c r="R104" s="17">
        <v>0</v>
      </c>
      <c r="S104" s="17">
        <v>0</v>
      </c>
      <c r="T104" s="17">
        <v>0</v>
      </c>
      <c r="U104" s="17">
        <v>0</v>
      </c>
      <c r="V104" s="17">
        <v>0</v>
      </c>
      <c r="W104" s="17">
        <v>0</v>
      </c>
      <c r="X104" s="17">
        <v>0</v>
      </c>
      <c r="Y104" s="17">
        <v>0</v>
      </c>
      <c r="Z104" s="17">
        <v>0</v>
      </c>
      <c r="AA104" s="17">
        <v>0</v>
      </c>
      <c r="AB104" s="17">
        <v>0</v>
      </c>
      <c r="AC104" s="17">
        <v>0</v>
      </c>
      <c r="AD104" s="17">
        <v>0</v>
      </c>
      <c r="AE104" s="17">
        <v>0</v>
      </c>
      <c r="AF104" s="17">
        <v>0</v>
      </c>
      <c r="AG104" s="17">
        <v>0</v>
      </c>
      <c r="AH104" s="17">
        <v>0</v>
      </c>
      <c r="AI104" s="17">
        <v>0</v>
      </c>
      <c r="AJ104" s="17">
        <v>0</v>
      </c>
      <c r="AK104" s="17">
        <v>0</v>
      </c>
      <c r="AL104" s="17">
        <v>0</v>
      </c>
      <c r="AM104" s="17">
        <v>0</v>
      </c>
      <c r="AN104" s="17">
        <v>0</v>
      </c>
      <c r="AO104" s="17">
        <v>1</v>
      </c>
      <c r="AP104" s="17">
        <v>5</v>
      </c>
      <c r="AQ104" s="17">
        <v>18</v>
      </c>
      <c r="AR104" s="17">
        <v>31</v>
      </c>
      <c r="AS104" s="17">
        <v>52</v>
      </c>
      <c r="AT104" s="17">
        <v>87</v>
      </c>
      <c r="AU104" s="17">
        <v>121</v>
      </c>
      <c r="AV104" s="17">
        <v>170</v>
      </c>
      <c r="AW104" s="17">
        <v>229</v>
      </c>
      <c r="AX104" s="17">
        <v>307</v>
      </c>
      <c r="AY104" s="17">
        <v>416</v>
      </c>
      <c r="AZ104" s="17">
        <v>579</v>
      </c>
      <c r="BA104" s="17">
        <v>742</v>
      </c>
      <c r="BB104" s="17">
        <v>1081</v>
      </c>
      <c r="BC104" s="17">
        <v>1389</v>
      </c>
      <c r="BD104" s="17">
        <v>1799</v>
      </c>
      <c r="BE104" s="17">
        <v>2341</v>
      </c>
      <c r="BF104" s="17">
        <v>2915</v>
      </c>
      <c r="BG104" s="17">
        <v>3335</v>
      </c>
      <c r="BH104" s="17">
        <v>3694</v>
      </c>
      <c r="BI104" s="17">
        <v>4002</v>
      </c>
      <c r="BJ104" s="17">
        <v>4331</v>
      </c>
      <c r="BK104" s="17">
        <v>4645</v>
      </c>
      <c r="BL104" s="17">
        <v>4935</v>
      </c>
      <c r="BM104" s="17">
        <v>5286</v>
      </c>
      <c r="BN104" s="17">
        <v>5630</v>
      </c>
      <c r="BO104" s="17">
        <v>5989</v>
      </c>
      <c r="BP104" s="17">
        <v>6344</v>
      </c>
      <c r="BQ104" s="17">
        <v>6707</v>
      </c>
      <c r="BR104" s="17">
        <v>7022</v>
      </c>
      <c r="BS104" s="17">
        <v>7346</v>
      </c>
      <c r="BT104" s="17">
        <v>7612</v>
      </c>
      <c r="BU104" s="17">
        <v>7864</v>
      </c>
      <c r="BV104" s="17">
        <v>8083</v>
      </c>
      <c r="BW104" s="17">
        <v>8264</v>
      </c>
      <c r="BX104" s="17">
        <v>8398</v>
      </c>
      <c r="BY104" s="17">
        <v>8515</v>
      </c>
      <c r="BZ104" s="17">
        <v>8586</v>
      </c>
      <c r="CA104" s="17">
        <v>8641</v>
      </c>
      <c r="CB104" s="17">
        <v>8688</v>
      </c>
      <c r="CC104" s="17">
        <v>8727</v>
      </c>
      <c r="CD104" s="17">
        <v>8750</v>
      </c>
      <c r="CE104" s="17">
        <v>8759</v>
      </c>
      <c r="CF104" s="17">
        <v>8760</v>
      </c>
      <c r="CG104" s="17">
        <v>8760</v>
      </c>
      <c r="CH104" s="17">
        <v>8760</v>
      </c>
      <c r="CI104" s="17">
        <v>8760</v>
      </c>
      <c r="CJ104" s="17">
        <v>8760</v>
      </c>
      <c r="CK104" s="17">
        <v>8760</v>
      </c>
      <c r="CL104" s="17">
        <v>8760</v>
      </c>
      <c r="CM104" s="17">
        <v>8760</v>
      </c>
      <c r="CN104" s="17">
        <v>8760</v>
      </c>
      <c r="CO104" s="17">
        <v>8760</v>
      </c>
      <c r="CP104" s="17">
        <v>8760</v>
      </c>
      <c r="CQ104" s="17">
        <v>8760</v>
      </c>
      <c r="CR104" s="17">
        <v>8760</v>
      </c>
      <c r="CS104" s="17">
        <v>8760</v>
      </c>
      <c r="CT104" s="17">
        <v>8760</v>
      </c>
      <c r="CU104" s="17">
        <v>8760</v>
      </c>
      <c r="CV104" s="17">
        <v>8760</v>
      </c>
      <c r="CW104" s="17">
        <v>8760</v>
      </c>
      <c r="CX104" s="17">
        <v>8760</v>
      </c>
      <c r="CY104" s="17">
        <v>8760</v>
      </c>
      <c r="CZ104" s="17">
        <v>8760</v>
      </c>
      <c r="DA104" s="17">
        <v>8760</v>
      </c>
      <c r="DB104" s="17">
        <v>8760</v>
      </c>
    </row>
    <row r="105" spans="1:106" s="17" customFormat="1" x14ac:dyDescent="0.25">
      <c r="A105" s="22" t="s">
        <v>123</v>
      </c>
      <c r="B105" s="17" t="s">
        <v>128</v>
      </c>
      <c r="C105" s="17" t="s">
        <v>438</v>
      </c>
      <c r="D105" s="17" t="s">
        <v>600</v>
      </c>
      <c r="E105" s="17" t="s">
        <v>601</v>
      </c>
      <c r="F105" s="17">
        <v>102624</v>
      </c>
      <c r="G105" s="17">
        <v>0</v>
      </c>
      <c r="H105" s="17">
        <v>0</v>
      </c>
      <c r="I105" s="17">
        <v>0</v>
      </c>
      <c r="J105" s="17">
        <v>0</v>
      </c>
      <c r="K105" s="17">
        <v>0</v>
      </c>
      <c r="L105" s="17">
        <v>0</v>
      </c>
      <c r="M105" s="17">
        <v>0</v>
      </c>
      <c r="N105" s="17">
        <v>0</v>
      </c>
      <c r="O105" s="17">
        <v>0</v>
      </c>
      <c r="P105" s="17">
        <v>0</v>
      </c>
      <c r="Q105" s="17">
        <v>0</v>
      </c>
      <c r="R105" s="17">
        <v>0</v>
      </c>
      <c r="S105" s="17">
        <v>0</v>
      </c>
      <c r="T105" s="17">
        <v>0</v>
      </c>
      <c r="U105" s="17">
        <v>0</v>
      </c>
      <c r="V105" s="17">
        <v>0</v>
      </c>
      <c r="W105" s="17">
        <v>0</v>
      </c>
      <c r="X105" s="17">
        <v>0</v>
      </c>
      <c r="Y105" s="17">
        <v>0</v>
      </c>
      <c r="Z105" s="17">
        <v>0</v>
      </c>
      <c r="AA105" s="17">
        <v>0</v>
      </c>
      <c r="AB105" s="17">
        <v>0</v>
      </c>
      <c r="AC105" s="17">
        <v>0</v>
      </c>
      <c r="AD105" s="17">
        <v>0</v>
      </c>
      <c r="AE105" s="17">
        <v>0</v>
      </c>
      <c r="AF105" s="17">
        <v>0</v>
      </c>
      <c r="AG105" s="17">
        <v>0</v>
      </c>
      <c r="AH105" s="17">
        <v>0</v>
      </c>
      <c r="AI105" s="17">
        <v>0</v>
      </c>
      <c r="AJ105" s="17">
        <v>0</v>
      </c>
      <c r="AK105" s="17">
        <v>0</v>
      </c>
      <c r="AL105" s="17">
        <v>0</v>
      </c>
      <c r="AM105" s="17">
        <v>1</v>
      </c>
      <c r="AN105" s="17">
        <v>9</v>
      </c>
      <c r="AO105" s="17">
        <v>13</v>
      </c>
      <c r="AP105" s="17">
        <v>16</v>
      </c>
      <c r="AQ105" s="17">
        <v>25</v>
      </c>
      <c r="AR105" s="17">
        <v>33</v>
      </c>
      <c r="AS105" s="17">
        <v>43</v>
      </c>
      <c r="AT105" s="17">
        <v>58</v>
      </c>
      <c r="AU105" s="17">
        <v>91</v>
      </c>
      <c r="AV105" s="17">
        <v>133</v>
      </c>
      <c r="AW105" s="17">
        <v>194</v>
      </c>
      <c r="AX105" s="17">
        <v>306</v>
      </c>
      <c r="AY105" s="17">
        <v>469</v>
      </c>
      <c r="AZ105" s="17">
        <v>631</v>
      </c>
      <c r="BA105" s="17">
        <v>794</v>
      </c>
      <c r="BB105" s="17">
        <v>1058</v>
      </c>
      <c r="BC105" s="17">
        <v>1340</v>
      </c>
      <c r="BD105" s="17">
        <v>1705</v>
      </c>
      <c r="BE105" s="17">
        <v>2212</v>
      </c>
      <c r="BF105" s="17">
        <v>2674</v>
      </c>
      <c r="BG105" s="17">
        <v>3110</v>
      </c>
      <c r="BH105" s="17">
        <v>3558</v>
      </c>
      <c r="BI105" s="17">
        <v>3956</v>
      </c>
      <c r="BJ105" s="17">
        <v>4314</v>
      </c>
      <c r="BK105" s="17">
        <v>4680</v>
      </c>
      <c r="BL105" s="17">
        <v>5006</v>
      </c>
      <c r="BM105" s="17">
        <v>5353</v>
      </c>
      <c r="BN105" s="17">
        <v>5667</v>
      </c>
      <c r="BO105" s="17">
        <v>5994</v>
      </c>
      <c r="BP105" s="17">
        <v>6329</v>
      </c>
      <c r="BQ105" s="17">
        <v>6654</v>
      </c>
      <c r="BR105" s="17">
        <v>7033</v>
      </c>
      <c r="BS105" s="17">
        <v>7374</v>
      </c>
      <c r="BT105" s="17">
        <v>7692</v>
      </c>
      <c r="BU105" s="17">
        <v>7994</v>
      </c>
      <c r="BV105" s="17">
        <v>8231</v>
      </c>
      <c r="BW105" s="17">
        <v>8396</v>
      </c>
      <c r="BX105" s="17">
        <v>8542</v>
      </c>
      <c r="BY105" s="17">
        <v>8639</v>
      </c>
      <c r="BZ105" s="17">
        <v>8711</v>
      </c>
      <c r="CA105" s="17">
        <v>8738</v>
      </c>
      <c r="CB105" s="17">
        <v>8756</v>
      </c>
      <c r="CC105" s="17">
        <v>8760</v>
      </c>
      <c r="CD105" s="17">
        <v>8760</v>
      </c>
      <c r="CE105" s="17">
        <v>8760</v>
      </c>
      <c r="CF105" s="17">
        <v>8760</v>
      </c>
      <c r="CG105" s="17">
        <v>8760</v>
      </c>
      <c r="CH105" s="17">
        <v>8760</v>
      </c>
      <c r="CI105" s="17">
        <v>8760</v>
      </c>
      <c r="CJ105" s="17">
        <v>8760</v>
      </c>
      <c r="CK105" s="17">
        <v>8760</v>
      </c>
      <c r="CL105" s="17">
        <v>8760</v>
      </c>
      <c r="CM105" s="17">
        <v>8760</v>
      </c>
      <c r="CN105" s="17">
        <v>8760</v>
      </c>
      <c r="CO105" s="17">
        <v>8760</v>
      </c>
      <c r="CP105" s="17">
        <v>8760</v>
      </c>
      <c r="CQ105" s="17">
        <v>8760</v>
      </c>
      <c r="CR105" s="17">
        <v>8760</v>
      </c>
      <c r="CS105" s="17">
        <v>8760</v>
      </c>
      <c r="CT105" s="17">
        <v>8760</v>
      </c>
      <c r="CU105" s="17">
        <v>8760</v>
      </c>
      <c r="CV105" s="17">
        <v>8760</v>
      </c>
      <c r="CW105" s="17">
        <v>8760</v>
      </c>
      <c r="CX105" s="17">
        <v>8760</v>
      </c>
      <c r="CY105" s="17">
        <v>8760</v>
      </c>
      <c r="CZ105" s="17">
        <v>8760</v>
      </c>
      <c r="DA105" s="17">
        <v>8760</v>
      </c>
      <c r="DB105" s="17">
        <v>8760</v>
      </c>
    </row>
    <row r="106" spans="1:106" s="17" customFormat="1" x14ac:dyDescent="0.25">
      <c r="A106" s="22" t="s">
        <v>124</v>
      </c>
      <c r="B106" s="17" t="s">
        <v>129</v>
      </c>
      <c r="C106" s="17" t="s">
        <v>438</v>
      </c>
      <c r="D106" s="17" t="s">
        <v>602</v>
      </c>
      <c r="E106" s="17" t="s">
        <v>603</v>
      </c>
      <c r="F106" s="17">
        <v>102720</v>
      </c>
      <c r="G106" s="17">
        <v>0</v>
      </c>
      <c r="H106" s="17">
        <v>0</v>
      </c>
      <c r="I106" s="17">
        <v>0</v>
      </c>
      <c r="J106" s="17">
        <v>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0</v>
      </c>
      <c r="AC106" s="17">
        <v>0</v>
      </c>
      <c r="AD106" s="17">
        <v>0</v>
      </c>
      <c r="AE106" s="17">
        <v>0</v>
      </c>
      <c r="AF106" s="17">
        <v>0</v>
      </c>
      <c r="AG106" s="17">
        <v>2</v>
      </c>
      <c r="AH106" s="17">
        <v>5</v>
      </c>
      <c r="AI106" s="17">
        <v>9</v>
      </c>
      <c r="AJ106" s="17">
        <v>22</v>
      </c>
      <c r="AK106" s="17">
        <v>55</v>
      </c>
      <c r="AL106" s="17">
        <v>70</v>
      </c>
      <c r="AM106" s="17">
        <v>85</v>
      </c>
      <c r="AN106" s="17">
        <v>110</v>
      </c>
      <c r="AO106" s="17">
        <v>141</v>
      </c>
      <c r="AP106" s="17">
        <v>177</v>
      </c>
      <c r="AQ106" s="17">
        <v>224</v>
      </c>
      <c r="AR106" s="17">
        <v>260</v>
      </c>
      <c r="AS106" s="17">
        <v>308</v>
      </c>
      <c r="AT106" s="17">
        <v>384</v>
      </c>
      <c r="AU106" s="17">
        <v>471</v>
      </c>
      <c r="AV106" s="17">
        <v>554</v>
      </c>
      <c r="AW106" s="17">
        <v>652</v>
      </c>
      <c r="AX106" s="17">
        <v>774</v>
      </c>
      <c r="AY106" s="17">
        <v>976</v>
      </c>
      <c r="AZ106" s="17">
        <v>1143</v>
      </c>
      <c r="BA106" s="17">
        <v>1334</v>
      </c>
      <c r="BB106" s="17">
        <v>1582</v>
      </c>
      <c r="BC106" s="17">
        <v>1967</v>
      </c>
      <c r="BD106" s="17">
        <v>2397</v>
      </c>
      <c r="BE106" s="17">
        <v>2898</v>
      </c>
      <c r="BF106" s="17">
        <v>3353</v>
      </c>
      <c r="BG106" s="17">
        <v>3731</v>
      </c>
      <c r="BH106" s="17">
        <v>4049</v>
      </c>
      <c r="BI106" s="17">
        <v>4376</v>
      </c>
      <c r="BJ106" s="17">
        <v>4705</v>
      </c>
      <c r="BK106" s="17">
        <v>5022</v>
      </c>
      <c r="BL106" s="17">
        <v>5343</v>
      </c>
      <c r="BM106" s="17">
        <v>5699</v>
      </c>
      <c r="BN106" s="17">
        <v>6040</v>
      </c>
      <c r="BO106" s="17">
        <v>6400</v>
      </c>
      <c r="BP106" s="17">
        <v>6747</v>
      </c>
      <c r="BQ106" s="17">
        <v>7069</v>
      </c>
      <c r="BR106" s="17">
        <v>7410</v>
      </c>
      <c r="BS106" s="17">
        <v>7689</v>
      </c>
      <c r="BT106" s="17">
        <v>7954</v>
      </c>
      <c r="BU106" s="17">
        <v>8163</v>
      </c>
      <c r="BV106" s="17">
        <v>8342</v>
      </c>
      <c r="BW106" s="17">
        <v>8462</v>
      </c>
      <c r="BX106" s="17">
        <v>8569</v>
      </c>
      <c r="BY106" s="17">
        <v>8633</v>
      </c>
      <c r="BZ106" s="17">
        <v>8682</v>
      </c>
      <c r="CA106" s="17">
        <v>8712</v>
      </c>
      <c r="CB106" s="17">
        <v>8727</v>
      </c>
      <c r="CC106" s="17">
        <v>8740</v>
      </c>
      <c r="CD106" s="17">
        <v>8753</v>
      </c>
      <c r="CE106" s="17">
        <v>8759</v>
      </c>
      <c r="CF106" s="17">
        <v>8760</v>
      </c>
      <c r="CG106" s="17">
        <v>8760</v>
      </c>
      <c r="CH106" s="17">
        <v>8760</v>
      </c>
      <c r="CI106" s="17">
        <v>8760</v>
      </c>
      <c r="CJ106" s="17">
        <v>8760</v>
      </c>
      <c r="CK106" s="17">
        <v>8760</v>
      </c>
      <c r="CL106" s="17">
        <v>8760</v>
      </c>
      <c r="CM106" s="17">
        <v>8760</v>
      </c>
      <c r="CN106" s="17">
        <v>8760</v>
      </c>
      <c r="CO106" s="17">
        <v>8760</v>
      </c>
      <c r="CP106" s="17">
        <v>8760</v>
      </c>
      <c r="CQ106" s="17">
        <v>8760</v>
      </c>
      <c r="CR106" s="17">
        <v>8760</v>
      </c>
      <c r="CS106" s="17">
        <v>8760</v>
      </c>
      <c r="CT106" s="17">
        <v>8760</v>
      </c>
      <c r="CU106" s="17">
        <v>8760</v>
      </c>
      <c r="CV106" s="17">
        <v>8760</v>
      </c>
      <c r="CW106" s="17">
        <v>8760</v>
      </c>
      <c r="CX106" s="17">
        <v>8760</v>
      </c>
      <c r="CY106" s="17">
        <v>8760</v>
      </c>
      <c r="CZ106" s="17">
        <v>8760</v>
      </c>
      <c r="DA106" s="17">
        <v>8760</v>
      </c>
      <c r="DB106" s="17">
        <v>8760</v>
      </c>
    </row>
    <row r="107" spans="1:106" s="17" customFormat="1" x14ac:dyDescent="0.25">
      <c r="A107" s="22" t="s">
        <v>125</v>
      </c>
      <c r="B107" s="17" t="s">
        <v>130</v>
      </c>
      <c r="C107" s="17" t="s">
        <v>438</v>
      </c>
      <c r="D107" s="17" t="s">
        <v>604</v>
      </c>
      <c r="E107" s="17" t="s">
        <v>605</v>
      </c>
      <c r="F107" s="17">
        <v>102326</v>
      </c>
      <c r="G107" s="17">
        <v>0</v>
      </c>
      <c r="H107" s="17">
        <v>0</v>
      </c>
      <c r="I107" s="17">
        <v>0</v>
      </c>
      <c r="J107" s="17">
        <v>0</v>
      </c>
      <c r="K107" s="17">
        <v>0</v>
      </c>
      <c r="L107" s="17">
        <v>0</v>
      </c>
      <c r="M107" s="17">
        <v>0</v>
      </c>
      <c r="N107" s="17">
        <v>0</v>
      </c>
      <c r="O107" s="17">
        <v>0</v>
      </c>
      <c r="P107" s="17">
        <v>0</v>
      </c>
      <c r="Q107" s="17">
        <v>0</v>
      </c>
      <c r="R107" s="17">
        <v>0</v>
      </c>
      <c r="S107" s="17">
        <v>0</v>
      </c>
      <c r="T107" s="17">
        <v>0</v>
      </c>
      <c r="U107" s="17">
        <v>0</v>
      </c>
      <c r="V107" s="17">
        <v>0</v>
      </c>
      <c r="W107" s="17">
        <v>0</v>
      </c>
      <c r="X107" s="17">
        <v>0</v>
      </c>
      <c r="Y107" s="17">
        <v>0</v>
      </c>
      <c r="Z107" s="17">
        <v>0</v>
      </c>
      <c r="AA107" s="17">
        <v>0</v>
      </c>
      <c r="AB107" s="17">
        <v>0</v>
      </c>
      <c r="AC107" s="17">
        <v>0</v>
      </c>
      <c r="AD107" s="17">
        <v>0</v>
      </c>
      <c r="AE107" s="17">
        <v>0</v>
      </c>
      <c r="AF107" s="17">
        <v>0</v>
      </c>
      <c r="AG107" s="17">
        <v>1</v>
      </c>
      <c r="AH107" s="17">
        <v>6</v>
      </c>
      <c r="AI107" s="17">
        <v>10</v>
      </c>
      <c r="AJ107" s="17">
        <v>12</v>
      </c>
      <c r="AK107" s="17">
        <v>14</v>
      </c>
      <c r="AL107" s="17">
        <v>15</v>
      </c>
      <c r="AM107" s="17">
        <v>20</v>
      </c>
      <c r="AN107" s="17">
        <v>32</v>
      </c>
      <c r="AO107" s="17">
        <v>42</v>
      </c>
      <c r="AP107" s="17">
        <v>74</v>
      </c>
      <c r="AQ107" s="17">
        <v>85</v>
      </c>
      <c r="AR107" s="17">
        <v>130</v>
      </c>
      <c r="AS107" s="17">
        <v>181</v>
      </c>
      <c r="AT107" s="17">
        <v>231</v>
      </c>
      <c r="AU107" s="17">
        <v>291</v>
      </c>
      <c r="AV107" s="17">
        <v>363</v>
      </c>
      <c r="AW107" s="17">
        <v>441</v>
      </c>
      <c r="AX107" s="17">
        <v>534</v>
      </c>
      <c r="AY107" s="17">
        <v>663</v>
      </c>
      <c r="AZ107" s="17">
        <v>818</v>
      </c>
      <c r="BA107" s="17">
        <v>1004</v>
      </c>
      <c r="BB107" s="17">
        <v>1224</v>
      </c>
      <c r="BC107" s="17">
        <v>1487</v>
      </c>
      <c r="BD107" s="17">
        <v>1826</v>
      </c>
      <c r="BE107" s="17">
        <v>2273</v>
      </c>
      <c r="BF107" s="17">
        <v>2638</v>
      </c>
      <c r="BG107" s="17">
        <v>3017</v>
      </c>
      <c r="BH107" s="17">
        <v>3441</v>
      </c>
      <c r="BI107" s="17">
        <v>3871</v>
      </c>
      <c r="BJ107" s="17">
        <v>4256</v>
      </c>
      <c r="BK107" s="17">
        <v>4719</v>
      </c>
      <c r="BL107" s="17">
        <v>5050</v>
      </c>
      <c r="BM107" s="17">
        <v>5382</v>
      </c>
      <c r="BN107" s="17">
        <v>5735</v>
      </c>
      <c r="BO107" s="17">
        <v>6071</v>
      </c>
      <c r="BP107" s="17">
        <v>6397</v>
      </c>
      <c r="BQ107" s="17">
        <v>6708</v>
      </c>
      <c r="BR107" s="17">
        <v>7020</v>
      </c>
      <c r="BS107" s="17">
        <v>7302</v>
      </c>
      <c r="BT107" s="17">
        <v>7551</v>
      </c>
      <c r="BU107" s="17">
        <v>7777</v>
      </c>
      <c r="BV107" s="17">
        <v>7944</v>
      </c>
      <c r="BW107" s="17">
        <v>8093</v>
      </c>
      <c r="BX107" s="17">
        <v>8216</v>
      </c>
      <c r="BY107" s="17">
        <v>8310</v>
      </c>
      <c r="BZ107" s="17">
        <v>8409</v>
      </c>
      <c r="CA107" s="17">
        <v>8506</v>
      </c>
      <c r="CB107" s="17">
        <v>8574</v>
      </c>
      <c r="CC107" s="17">
        <v>8624</v>
      </c>
      <c r="CD107" s="17">
        <v>8679</v>
      </c>
      <c r="CE107" s="17">
        <v>8722</v>
      </c>
      <c r="CF107" s="17">
        <v>8745</v>
      </c>
      <c r="CG107" s="17">
        <v>8756</v>
      </c>
      <c r="CH107" s="17">
        <v>8760</v>
      </c>
      <c r="CI107" s="17">
        <v>8760</v>
      </c>
      <c r="CJ107" s="17">
        <v>8760</v>
      </c>
      <c r="CK107" s="17">
        <v>8760</v>
      </c>
      <c r="CL107" s="17">
        <v>8760</v>
      </c>
      <c r="CM107" s="17">
        <v>8760</v>
      </c>
      <c r="CN107" s="17">
        <v>8760</v>
      </c>
      <c r="CO107" s="17">
        <v>8760</v>
      </c>
      <c r="CP107" s="17">
        <v>8760</v>
      </c>
      <c r="CQ107" s="17">
        <v>8760</v>
      </c>
      <c r="CR107" s="17">
        <v>8760</v>
      </c>
      <c r="CS107" s="17">
        <v>8760</v>
      </c>
      <c r="CT107" s="17">
        <v>8760</v>
      </c>
      <c r="CU107" s="17">
        <v>8760</v>
      </c>
      <c r="CV107" s="17">
        <v>8760</v>
      </c>
      <c r="CW107" s="17">
        <v>8760</v>
      </c>
      <c r="CX107" s="17">
        <v>8760</v>
      </c>
      <c r="CY107" s="17">
        <v>8760</v>
      </c>
      <c r="CZ107" s="17">
        <v>8760</v>
      </c>
      <c r="DA107" s="17">
        <v>8760</v>
      </c>
      <c r="DB107" s="17">
        <v>8760</v>
      </c>
    </row>
    <row r="108" spans="1:106" s="17" customFormat="1" x14ac:dyDescent="0.25">
      <c r="A108" s="22" t="s">
        <v>126</v>
      </c>
      <c r="B108" s="17" t="s">
        <v>131</v>
      </c>
      <c r="C108" s="17" t="s">
        <v>438</v>
      </c>
      <c r="D108" s="17" t="s">
        <v>606</v>
      </c>
      <c r="E108" s="17" t="s">
        <v>607</v>
      </c>
      <c r="F108" s="17">
        <v>102316</v>
      </c>
      <c r="G108" s="17">
        <v>0</v>
      </c>
      <c r="H108" s="17">
        <v>0</v>
      </c>
      <c r="I108" s="17">
        <v>0</v>
      </c>
      <c r="J108" s="17">
        <v>0</v>
      </c>
      <c r="K108" s="17">
        <v>0</v>
      </c>
      <c r="L108" s="17">
        <v>0</v>
      </c>
      <c r="M108" s="17">
        <v>0</v>
      </c>
      <c r="N108" s="17">
        <v>0</v>
      </c>
      <c r="O108" s="17">
        <v>0</v>
      </c>
      <c r="P108" s="17">
        <v>0</v>
      </c>
      <c r="Q108" s="17">
        <v>0</v>
      </c>
      <c r="R108" s="17">
        <v>0</v>
      </c>
      <c r="S108" s="17">
        <v>0</v>
      </c>
      <c r="T108" s="17">
        <v>0</v>
      </c>
      <c r="U108" s="17">
        <v>0</v>
      </c>
      <c r="V108" s="17">
        <v>0</v>
      </c>
      <c r="W108" s="17">
        <v>0</v>
      </c>
      <c r="X108" s="17">
        <v>0</v>
      </c>
      <c r="Y108" s="17">
        <v>0</v>
      </c>
      <c r="Z108" s="17">
        <v>0</v>
      </c>
      <c r="AA108" s="17">
        <v>0</v>
      </c>
      <c r="AB108" s="17">
        <v>0</v>
      </c>
      <c r="AC108" s="17">
        <v>0</v>
      </c>
      <c r="AD108" s="17">
        <v>0</v>
      </c>
      <c r="AE108" s="17">
        <v>0</v>
      </c>
      <c r="AF108" s="17">
        <v>0</v>
      </c>
      <c r="AG108" s="17">
        <v>0</v>
      </c>
      <c r="AH108" s="17">
        <v>0</v>
      </c>
      <c r="AI108" s="17">
        <v>0</v>
      </c>
      <c r="AJ108" s="17">
        <v>0</v>
      </c>
      <c r="AK108" s="17">
        <v>0</v>
      </c>
      <c r="AL108" s="17">
        <v>0</v>
      </c>
      <c r="AM108" s="17">
        <v>0</v>
      </c>
      <c r="AN108" s="17">
        <v>0</v>
      </c>
      <c r="AO108" s="17">
        <v>1</v>
      </c>
      <c r="AP108" s="17">
        <v>7</v>
      </c>
      <c r="AQ108" s="17">
        <v>23</v>
      </c>
      <c r="AR108" s="17">
        <v>58</v>
      </c>
      <c r="AS108" s="17">
        <v>80</v>
      </c>
      <c r="AT108" s="17">
        <v>110</v>
      </c>
      <c r="AU108" s="17">
        <v>137</v>
      </c>
      <c r="AV108" s="17">
        <v>177</v>
      </c>
      <c r="AW108" s="17">
        <v>225</v>
      </c>
      <c r="AX108" s="17">
        <v>299</v>
      </c>
      <c r="AY108" s="17">
        <v>400</v>
      </c>
      <c r="AZ108" s="17">
        <v>531</v>
      </c>
      <c r="BA108" s="17">
        <v>677</v>
      </c>
      <c r="BB108" s="17">
        <v>868</v>
      </c>
      <c r="BC108" s="17">
        <v>1108</v>
      </c>
      <c r="BD108" s="17">
        <v>1494</v>
      </c>
      <c r="BE108" s="17">
        <v>1899</v>
      </c>
      <c r="BF108" s="17">
        <v>2266</v>
      </c>
      <c r="BG108" s="17">
        <v>2743</v>
      </c>
      <c r="BH108" s="17">
        <v>3271</v>
      </c>
      <c r="BI108" s="17">
        <v>3716</v>
      </c>
      <c r="BJ108" s="17">
        <v>4118</v>
      </c>
      <c r="BK108" s="17">
        <v>4541</v>
      </c>
      <c r="BL108" s="17">
        <v>4868</v>
      </c>
      <c r="BM108" s="17">
        <v>5181</v>
      </c>
      <c r="BN108" s="17">
        <v>5556</v>
      </c>
      <c r="BO108" s="17">
        <v>5932</v>
      </c>
      <c r="BP108" s="17">
        <v>6345</v>
      </c>
      <c r="BQ108" s="17">
        <v>6736</v>
      </c>
      <c r="BR108" s="17">
        <v>7150</v>
      </c>
      <c r="BS108" s="17">
        <v>7538</v>
      </c>
      <c r="BT108" s="17">
        <v>7833</v>
      </c>
      <c r="BU108" s="17">
        <v>8064</v>
      </c>
      <c r="BV108" s="17">
        <v>8229</v>
      </c>
      <c r="BW108" s="17">
        <v>8357</v>
      </c>
      <c r="BX108" s="17">
        <v>8457</v>
      </c>
      <c r="BY108" s="17">
        <v>8542</v>
      </c>
      <c r="BZ108" s="17">
        <v>8587</v>
      </c>
      <c r="CA108" s="17">
        <v>8628</v>
      </c>
      <c r="CB108" s="17">
        <v>8657</v>
      </c>
      <c r="CC108" s="17">
        <v>8677</v>
      </c>
      <c r="CD108" s="17">
        <v>8707</v>
      </c>
      <c r="CE108" s="17">
        <v>8720</v>
      </c>
      <c r="CF108" s="17">
        <v>8732</v>
      </c>
      <c r="CG108" s="17">
        <v>8741</v>
      </c>
      <c r="CH108" s="17">
        <v>8751</v>
      </c>
      <c r="CI108" s="17">
        <v>8760</v>
      </c>
      <c r="CJ108" s="17">
        <v>8760</v>
      </c>
      <c r="CK108" s="17">
        <v>8760</v>
      </c>
      <c r="CL108" s="17">
        <v>8760</v>
      </c>
      <c r="CM108" s="17">
        <v>8760</v>
      </c>
      <c r="CN108" s="17">
        <v>8760</v>
      </c>
      <c r="CO108" s="17">
        <v>8760</v>
      </c>
      <c r="CP108" s="17">
        <v>8760</v>
      </c>
      <c r="CQ108" s="17">
        <v>8760</v>
      </c>
      <c r="CR108" s="17">
        <v>8760</v>
      </c>
      <c r="CS108" s="17">
        <v>8760</v>
      </c>
      <c r="CT108" s="17">
        <v>8760</v>
      </c>
      <c r="CU108" s="17">
        <v>8760</v>
      </c>
      <c r="CV108" s="17">
        <v>8760</v>
      </c>
      <c r="CW108" s="17">
        <v>8760</v>
      </c>
      <c r="CX108" s="17">
        <v>8760</v>
      </c>
      <c r="CY108" s="17">
        <v>8760</v>
      </c>
      <c r="CZ108" s="17">
        <v>8760</v>
      </c>
      <c r="DA108" s="17">
        <v>8760</v>
      </c>
      <c r="DB108" s="17">
        <v>8760</v>
      </c>
    </row>
    <row r="109" spans="1:106" s="17" customFormat="1" x14ac:dyDescent="0.25">
      <c r="A109" s="22" t="s">
        <v>127</v>
      </c>
      <c r="B109" s="17" t="s">
        <v>377</v>
      </c>
      <c r="C109" s="17" t="s">
        <v>438</v>
      </c>
      <c r="D109" s="17" t="s">
        <v>608</v>
      </c>
      <c r="E109" s="17" t="s">
        <v>609</v>
      </c>
      <c r="F109" s="17">
        <v>102637</v>
      </c>
      <c r="G109" s="17">
        <v>0</v>
      </c>
      <c r="H109" s="17">
        <v>0</v>
      </c>
      <c r="I109" s="17">
        <v>0</v>
      </c>
      <c r="J109" s="17">
        <v>0</v>
      </c>
      <c r="K109" s="17">
        <v>0</v>
      </c>
      <c r="L109" s="17">
        <v>0</v>
      </c>
      <c r="M109" s="17">
        <v>0</v>
      </c>
      <c r="N109" s="17">
        <v>0</v>
      </c>
      <c r="O109" s="17">
        <v>0</v>
      </c>
      <c r="P109" s="17">
        <v>0</v>
      </c>
      <c r="Q109" s="17">
        <v>0</v>
      </c>
      <c r="R109" s="17">
        <v>0</v>
      </c>
      <c r="S109" s="17">
        <v>0</v>
      </c>
      <c r="T109" s="17">
        <v>0</v>
      </c>
      <c r="U109" s="17">
        <v>0</v>
      </c>
      <c r="V109" s="17">
        <v>0</v>
      </c>
      <c r="W109" s="17">
        <v>0</v>
      </c>
      <c r="X109" s="17">
        <v>0</v>
      </c>
      <c r="Y109" s="17">
        <v>0</v>
      </c>
      <c r="Z109" s="17">
        <v>0</v>
      </c>
      <c r="AA109" s="17">
        <v>0</v>
      </c>
      <c r="AB109" s="17">
        <v>0</v>
      </c>
      <c r="AC109" s="17">
        <v>0</v>
      </c>
      <c r="AD109" s="17">
        <v>0</v>
      </c>
      <c r="AE109" s="17">
        <v>0</v>
      </c>
      <c r="AF109" s="17">
        <v>0</v>
      </c>
      <c r="AG109" s="17">
        <v>0</v>
      </c>
      <c r="AH109" s="17">
        <v>0</v>
      </c>
      <c r="AI109" s="17">
        <v>0</v>
      </c>
      <c r="AJ109" s="17">
        <v>0</v>
      </c>
      <c r="AK109" s="17">
        <v>0</v>
      </c>
      <c r="AL109" s="17">
        <v>0</v>
      </c>
      <c r="AM109" s="17">
        <v>1</v>
      </c>
      <c r="AN109" s="17">
        <v>3</v>
      </c>
      <c r="AO109" s="17">
        <v>7</v>
      </c>
      <c r="AP109" s="17">
        <v>23</v>
      </c>
      <c r="AQ109" s="17">
        <v>39</v>
      </c>
      <c r="AR109" s="17">
        <v>62</v>
      </c>
      <c r="AS109" s="17">
        <v>100</v>
      </c>
      <c r="AT109" s="17">
        <v>146</v>
      </c>
      <c r="AU109" s="17">
        <v>207</v>
      </c>
      <c r="AV109" s="17">
        <v>258</v>
      </c>
      <c r="AW109" s="17">
        <v>343</v>
      </c>
      <c r="AX109" s="17">
        <v>471</v>
      </c>
      <c r="AY109" s="17">
        <v>614</v>
      </c>
      <c r="AZ109" s="17">
        <v>755</v>
      </c>
      <c r="BA109" s="17">
        <v>957</v>
      </c>
      <c r="BB109" s="17">
        <v>1154</v>
      </c>
      <c r="BC109" s="17">
        <v>1411</v>
      </c>
      <c r="BD109" s="17">
        <v>1767</v>
      </c>
      <c r="BE109" s="17">
        <v>2239</v>
      </c>
      <c r="BF109" s="17">
        <v>2687</v>
      </c>
      <c r="BG109" s="17">
        <v>3099</v>
      </c>
      <c r="BH109" s="17">
        <v>3473</v>
      </c>
      <c r="BI109" s="17">
        <v>3912</v>
      </c>
      <c r="BJ109" s="17">
        <v>4319</v>
      </c>
      <c r="BK109" s="17">
        <v>4674</v>
      </c>
      <c r="BL109" s="17">
        <v>4954</v>
      </c>
      <c r="BM109" s="17">
        <v>5249</v>
      </c>
      <c r="BN109" s="17">
        <v>5591</v>
      </c>
      <c r="BO109" s="17">
        <v>5931</v>
      </c>
      <c r="BP109" s="17">
        <v>6292</v>
      </c>
      <c r="BQ109" s="17">
        <v>6617</v>
      </c>
      <c r="BR109" s="17">
        <v>6996</v>
      </c>
      <c r="BS109" s="17">
        <v>7309</v>
      </c>
      <c r="BT109" s="17">
        <v>7580</v>
      </c>
      <c r="BU109" s="17">
        <v>7867</v>
      </c>
      <c r="BV109" s="17">
        <v>8047</v>
      </c>
      <c r="BW109" s="17">
        <v>8205</v>
      </c>
      <c r="BX109" s="17">
        <v>8325</v>
      </c>
      <c r="BY109" s="17">
        <v>8446</v>
      </c>
      <c r="BZ109" s="17">
        <v>8541</v>
      </c>
      <c r="CA109" s="17">
        <v>8602</v>
      </c>
      <c r="CB109" s="17">
        <v>8661</v>
      </c>
      <c r="CC109" s="17">
        <v>8691</v>
      </c>
      <c r="CD109" s="17">
        <v>8714</v>
      </c>
      <c r="CE109" s="17">
        <v>8733</v>
      </c>
      <c r="CF109" s="17">
        <v>8745</v>
      </c>
      <c r="CG109" s="17">
        <v>8752</v>
      </c>
      <c r="CH109" s="17">
        <v>8758</v>
      </c>
      <c r="CI109" s="17">
        <v>8760</v>
      </c>
      <c r="CJ109" s="17">
        <v>8760</v>
      </c>
      <c r="CK109" s="17">
        <v>8760</v>
      </c>
      <c r="CL109" s="17">
        <v>8760</v>
      </c>
      <c r="CM109" s="17">
        <v>8760</v>
      </c>
      <c r="CN109" s="17">
        <v>8760</v>
      </c>
      <c r="CO109" s="17">
        <v>8760</v>
      </c>
      <c r="CP109" s="17">
        <v>8760</v>
      </c>
      <c r="CQ109" s="17">
        <v>8760</v>
      </c>
      <c r="CR109" s="17">
        <v>8760</v>
      </c>
      <c r="CS109" s="17">
        <v>8760</v>
      </c>
      <c r="CT109" s="17">
        <v>8760</v>
      </c>
      <c r="CU109" s="17">
        <v>8760</v>
      </c>
      <c r="CV109" s="17">
        <v>8760</v>
      </c>
      <c r="CW109" s="17">
        <v>8760</v>
      </c>
      <c r="CX109" s="17">
        <v>8760</v>
      </c>
      <c r="CY109" s="17">
        <v>8760</v>
      </c>
      <c r="CZ109" s="17">
        <v>8760</v>
      </c>
      <c r="DA109" s="17">
        <v>8760</v>
      </c>
      <c r="DB109" s="17">
        <v>8760</v>
      </c>
    </row>
    <row r="110" spans="1:106" s="17" customFormat="1" x14ac:dyDescent="0.25">
      <c r="A110" s="22" t="s">
        <v>128</v>
      </c>
      <c r="B110" s="17" t="s">
        <v>104</v>
      </c>
      <c r="C110" s="17" t="s">
        <v>438</v>
      </c>
      <c r="D110" s="17" t="s">
        <v>610</v>
      </c>
      <c r="E110" s="17" t="s">
        <v>611</v>
      </c>
      <c r="F110" s="17">
        <v>102531</v>
      </c>
      <c r="G110" s="17">
        <v>0</v>
      </c>
      <c r="H110" s="17">
        <v>0</v>
      </c>
      <c r="I110" s="17">
        <v>0</v>
      </c>
      <c r="J110" s="17">
        <v>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0</v>
      </c>
      <c r="AC110" s="17">
        <v>0</v>
      </c>
      <c r="AD110" s="17">
        <v>0</v>
      </c>
      <c r="AE110" s="17">
        <v>0</v>
      </c>
      <c r="AF110" s="17">
        <v>0</v>
      </c>
      <c r="AG110" s="17">
        <v>0</v>
      </c>
      <c r="AH110" s="17">
        <v>0</v>
      </c>
      <c r="AI110" s="17">
        <v>4</v>
      </c>
      <c r="AJ110" s="17">
        <v>15</v>
      </c>
      <c r="AK110" s="17">
        <v>31</v>
      </c>
      <c r="AL110" s="17">
        <v>51</v>
      </c>
      <c r="AM110" s="17">
        <v>88</v>
      </c>
      <c r="AN110" s="17">
        <v>111</v>
      </c>
      <c r="AO110" s="17">
        <v>133</v>
      </c>
      <c r="AP110" s="17">
        <v>168</v>
      </c>
      <c r="AQ110" s="17">
        <v>210</v>
      </c>
      <c r="AR110" s="17">
        <v>248</v>
      </c>
      <c r="AS110" s="17">
        <v>307</v>
      </c>
      <c r="AT110" s="17">
        <v>385</v>
      </c>
      <c r="AU110" s="17">
        <v>478</v>
      </c>
      <c r="AV110" s="17">
        <v>585</v>
      </c>
      <c r="AW110" s="17">
        <v>699</v>
      </c>
      <c r="AX110" s="17">
        <v>837</v>
      </c>
      <c r="AY110" s="17">
        <v>993</v>
      </c>
      <c r="AZ110" s="17">
        <v>1217</v>
      </c>
      <c r="BA110" s="17">
        <v>1514</v>
      </c>
      <c r="BB110" s="17">
        <v>1811</v>
      </c>
      <c r="BC110" s="17">
        <v>2109</v>
      </c>
      <c r="BD110" s="17">
        <v>2478</v>
      </c>
      <c r="BE110" s="17">
        <v>2890</v>
      </c>
      <c r="BF110" s="17">
        <v>3297</v>
      </c>
      <c r="BG110" s="17">
        <v>3702</v>
      </c>
      <c r="BH110" s="17">
        <v>4046</v>
      </c>
      <c r="BI110" s="17">
        <v>4392</v>
      </c>
      <c r="BJ110" s="17">
        <v>4721</v>
      </c>
      <c r="BK110" s="17">
        <v>5069</v>
      </c>
      <c r="BL110" s="17">
        <v>5396</v>
      </c>
      <c r="BM110" s="17">
        <v>5618</v>
      </c>
      <c r="BN110" s="17">
        <v>5879</v>
      </c>
      <c r="BO110" s="17">
        <v>6161</v>
      </c>
      <c r="BP110" s="17">
        <v>6456</v>
      </c>
      <c r="BQ110" s="17">
        <v>6791</v>
      </c>
      <c r="BR110" s="17">
        <v>7163</v>
      </c>
      <c r="BS110" s="17">
        <v>7458</v>
      </c>
      <c r="BT110" s="17">
        <v>7751</v>
      </c>
      <c r="BU110" s="17">
        <v>7960</v>
      </c>
      <c r="BV110" s="17">
        <v>8149</v>
      </c>
      <c r="BW110" s="17">
        <v>8283</v>
      </c>
      <c r="BX110" s="17">
        <v>8390</v>
      </c>
      <c r="BY110" s="17">
        <v>8482</v>
      </c>
      <c r="BZ110" s="17">
        <v>8543</v>
      </c>
      <c r="CA110" s="17">
        <v>8584</v>
      </c>
      <c r="CB110" s="17">
        <v>8627</v>
      </c>
      <c r="CC110" s="17">
        <v>8667</v>
      </c>
      <c r="CD110" s="17">
        <v>8694</v>
      </c>
      <c r="CE110" s="17">
        <v>8728</v>
      </c>
      <c r="CF110" s="17">
        <v>8741</v>
      </c>
      <c r="CG110" s="17">
        <v>8748</v>
      </c>
      <c r="CH110" s="17">
        <v>8752</v>
      </c>
      <c r="CI110" s="17">
        <v>8759</v>
      </c>
      <c r="CJ110" s="17">
        <v>8760</v>
      </c>
      <c r="CK110" s="17">
        <v>8760</v>
      </c>
      <c r="CL110" s="17">
        <v>8760</v>
      </c>
      <c r="CM110" s="17">
        <v>8760</v>
      </c>
      <c r="CN110" s="17">
        <v>8760</v>
      </c>
      <c r="CO110" s="17">
        <v>8760</v>
      </c>
      <c r="CP110" s="17">
        <v>8760</v>
      </c>
      <c r="CQ110" s="17">
        <v>8760</v>
      </c>
      <c r="CR110" s="17">
        <v>8760</v>
      </c>
      <c r="CS110" s="17">
        <v>8760</v>
      </c>
      <c r="CT110" s="17">
        <v>8760</v>
      </c>
      <c r="CU110" s="17">
        <v>8760</v>
      </c>
      <c r="CV110" s="17">
        <v>8760</v>
      </c>
      <c r="CW110" s="17">
        <v>8760</v>
      </c>
      <c r="CX110" s="17">
        <v>8760</v>
      </c>
      <c r="CY110" s="17">
        <v>8760</v>
      </c>
      <c r="CZ110" s="17">
        <v>8760</v>
      </c>
      <c r="DA110" s="17">
        <v>8760</v>
      </c>
      <c r="DB110" s="17">
        <v>8760</v>
      </c>
    </row>
    <row r="111" spans="1:106" s="17" customFormat="1" x14ac:dyDescent="0.25">
      <c r="A111" s="22" t="s">
        <v>129</v>
      </c>
      <c r="B111" s="17" t="s">
        <v>378</v>
      </c>
      <c r="C111" s="17" t="s">
        <v>438</v>
      </c>
      <c r="D111" s="17" t="s">
        <v>612</v>
      </c>
      <c r="E111" s="17" t="s">
        <v>613</v>
      </c>
      <c r="F111" s="17">
        <v>102806</v>
      </c>
      <c r="G111" s="17">
        <v>0</v>
      </c>
      <c r="H111" s="17">
        <v>0</v>
      </c>
      <c r="I111" s="17">
        <v>0</v>
      </c>
      <c r="J111" s="17">
        <v>0</v>
      </c>
      <c r="K111" s="17">
        <v>0</v>
      </c>
      <c r="L111" s="17">
        <v>0</v>
      </c>
      <c r="M111" s="17">
        <v>0</v>
      </c>
      <c r="N111" s="17">
        <v>0</v>
      </c>
      <c r="O111" s="17">
        <v>0</v>
      </c>
      <c r="P111" s="17">
        <v>0</v>
      </c>
      <c r="Q111" s="17">
        <v>0</v>
      </c>
      <c r="R111" s="17">
        <v>0</v>
      </c>
      <c r="S111" s="17">
        <v>0</v>
      </c>
      <c r="T111" s="17">
        <v>0</v>
      </c>
      <c r="U111" s="17">
        <v>0</v>
      </c>
      <c r="V111" s="17">
        <v>0</v>
      </c>
      <c r="W111" s="17">
        <v>0</v>
      </c>
      <c r="X111" s="17">
        <v>0</v>
      </c>
      <c r="Y111" s="17">
        <v>0</v>
      </c>
      <c r="Z111" s="17">
        <v>0</v>
      </c>
      <c r="AA111" s="17">
        <v>0</v>
      </c>
      <c r="AB111" s="17">
        <v>0</v>
      </c>
      <c r="AC111" s="17">
        <v>0</v>
      </c>
      <c r="AD111" s="17">
        <v>0</v>
      </c>
      <c r="AE111" s="17">
        <v>0</v>
      </c>
      <c r="AF111" s="17">
        <v>0</v>
      </c>
      <c r="AG111" s="17">
        <v>0</v>
      </c>
      <c r="AH111" s="17">
        <v>0</v>
      </c>
      <c r="AI111" s="17">
        <v>0</v>
      </c>
      <c r="AJ111" s="17">
        <v>0</v>
      </c>
      <c r="AK111" s="17">
        <v>2</v>
      </c>
      <c r="AL111" s="17">
        <v>7</v>
      </c>
      <c r="AM111" s="17">
        <v>13</v>
      </c>
      <c r="AN111" s="17">
        <v>33</v>
      </c>
      <c r="AO111" s="17">
        <v>57</v>
      </c>
      <c r="AP111" s="17">
        <v>121</v>
      </c>
      <c r="AQ111" s="17">
        <v>197</v>
      </c>
      <c r="AR111" s="17">
        <v>263</v>
      </c>
      <c r="AS111" s="17">
        <v>333</v>
      </c>
      <c r="AT111" s="17">
        <v>441</v>
      </c>
      <c r="AU111" s="17">
        <v>560</v>
      </c>
      <c r="AV111" s="17">
        <v>706</v>
      </c>
      <c r="AW111" s="17">
        <v>814</v>
      </c>
      <c r="AX111" s="17">
        <v>929</v>
      </c>
      <c r="AY111" s="17">
        <v>1117</v>
      </c>
      <c r="AZ111" s="17">
        <v>1345</v>
      </c>
      <c r="BA111" s="17">
        <v>1561</v>
      </c>
      <c r="BB111" s="17">
        <v>1835</v>
      </c>
      <c r="BC111" s="17">
        <v>2195</v>
      </c>
      <c r="BD111" s="17">
        <v>2586</v>
      </c>
      <c r="BE111" s="17">
        <v>3067</v>
      </c>
      <c r="BF111" s="17">
        <v>3464</v>
      </c>
      <c r="BG111" s="17">
        <v>3945</v>
      </c>
      <c r="BH111" s="17">
        <v>4303</v>
      </c>
      <c r="BI111" s="17">
        <v>4658</v>
      </c>
      <c r="BJ111" s="17">
        <v>4980</v>
      </c>
      <c r="BK111" s="17">
        <v>5240</v>
      </c>
      <c r="BL111" s="17">
        <v>5544</v>
      </c>
      <c r="BM111" s="17">
        <v>5803</v>
      </c>
      <c r="BN111" s="17">
        <v>6137</v>
      </c>
      <c r="BO111" s="17">
        <v>6516</v>
      </c>
      <c r="BP111" s="17">
        <v>6888</v>
      </c>
      <c r="BQ111" s="17">
        <v>7244</v>
      </c>
      <c r="BR111" s="17">
        <v>7592</v>
      </c>
      <c r="BS111" s="17">
        <v>7902</v>
      </c>
      <c r="BT111" s="17">
        <v>8150</v>
      </c>
      <c r="BU111" s="17">
        <v>8335</v>
      </c>
      <c r="BV111" s="17">
        <v>8476</v>
      </c>
      <c r="BW111" s="17">
        <v>8581</v>
      </c>
      <c r="BX111" s="17">
        <v>8644</v>
      </c>
      <c r="BY111" s="17">
        <v>8691</v>
      </c>
      <c r="BZ111" s="17">
        <v>8726</v>
      </c>
      <c r="CA111" s="17">
        <v>8746</v>
      </c>
      <c r="CB111" s="17">
        <v>8755</v>
      </c>
      <c r="CC111" s="17">
        <v>8760</v>
      </c>
      <c r="CD111" s="17">
        <v>8760</v>
      </c>
      <c r="CE111" s="17">
        <v>8760</v>
      </c>
      <c r="CF111" s="17">
        <v>8760</v>
      </c>
      <c r="CG111" s="17">
        <v>8760</v>
      </c>
      <c r="CH111" s="17">
        <v>8760</v>
      </c>
      <c r="CI111" s="17">
        <v>8760</v>
      </c>
      <c r="CJ111" s="17">
        <v>8760</v>
      </c>
      <c r="CK111" s="17">
        <v>8760</v>
      </c>
      <c r="CL111" s="17">
        <v>8760</v>
      </c>
      <c r="CM111" s="17">
        <v>8760</v>
      </c>
      <c r="CN111" s="17">
        <v>8760</v>
      </c>
      <c r="CO111" s="17">
        <v>8760</v>
      </c>
      <c r="CP111" s="17">
        <v>8760</v>
      </c>
      <c r="CQ111" s="17">
        <v>8760</v>
      </c>
      <c r="CR111" s="17">
        <v>8760</v>
      </c>
      <c r="CS111" s="17">
        <v>8760</v>
      </c>
      <c r="CT111" s="17">
        <v>8760</v>
      </c>
      <c r="CU111" s="17">
        <v>8760</v>
      </c>
      <c r="CV111" s="17">
        <v>8760</v>
      </c>
      <c r="CW111" s="17">
        <v>8760</v>
      </c>
      <c r="CX111" s="17">
        <v>8760</v>
      </c>
      <c r="CY111" s="17">
        <v>8760</v>
      </c>
      <c r="CZ111" s="17">
        <v>8760</v>
      </c>
      <c r="DA111" s="17">
        <v>8760</v>
      </c>
      <c r="DB111" s="17">
        <v>8760</v>
      </c>
    </row>
    <row r="112" spans="1:106" s="17" customFormat="1" x14ac:dyDescent="0.25">
      <c r="A112" s="22" t="s">
        <v>130</v>
      </c>
      <c r="B112" s="17" t="s">
        <v>113</v>
      </c>
      <c r="C112" s="17" t="s">
        <v>438</v>
      </c>
      <c r="D112" s="17" t="s">
        <v>471</v>
      </c>
      <c r="E112" s="17" t="s">
        <v>614</v>
      </c>
      <c r="F112" s="17">
        <v>102254</v>
      </c>
      <c r="G112" s="17">
        <v>0</v>
      </c>
      <c r="H112" s="17">
        <v>0</v>
      </c>
      <c r="I112" s="17">
        <v>0</v>
      </c>
      <c r="J112" s="17">
        <v>0</v>
      </c>
      <c r="K112" s="17">
        <v>0</v>
      </c>
      <c r="L112" s="17">
        <v>0</v>
      </c>
      <c r="M112" s="17">
        <v>0</v>
      </c>
      <c r="N112" s="17">
        <v>0</v>
      </c>
      <c r="O112" s="17">
        <v>0</v>
      </c>
      <c r="P112" s="17">
        <v>0</v>
      </c>
      <c r="Q112" s="17">
        <v>0</v>
      </c>
      <c r="R112" s="17">
        <v>0</v>
      </c>
      <c r="S112" s="17">
        <v>0</v>
      </c>
      <c r="T112" s="17">
        <v>0</v>
      </c>
      <c r="U112" s="17">
        <v>0</v>
      </c>
      <c r="V112" s="17">
        <v>0</v>
      </c>
      <c r="W112" s="17">
        <v>0</v>
      </c>
      <c r="X112" s="17">
        <v>0</v>
      </c>
      <c r="Y112" s="17">
        <v>0</v>
      </c>
      <c r="Z112" s="17">
        <v>0</v>
      </c>
      <c r="AA112" s="17">
        <v>0</v>
      </c>
      <c r="AB112" s="17">
        <v>0</v>
      </c>
      <c r="AC112" s="17">
        <v>0</v>
      </c>
      <c r="AD112" s="17">
        <v>0</v>
      </c>
      <c r="AE112" s="17">
        <v>0</v>
      </c>
      <c r="AF112" s="17">
        <v>0</v>
      </c>
      <c r="AG112" s="17">
        <v>0</v>
      </c>
      <c r="AH112" s="17">
        <v>0</v>
      </c>
      <c r="AI112" s="17">
        <v>0</v>
      </c>
      <c r="AJ112" s="17">
        <v>0</v>
      </c>
      <c r="AK112" s="17">
        <v>0</v>
      </c>
      <c r="AL112" s="17">
        <v>0</v>
      </c>
      <c r="AM112" s="17">
        <v>0</v>
      </c>
      <c r="AN112" s="17">
        <v>0</v>
      </c>
      <c r="AO112" s="17">
        <v>2</v>
      </c>
      <c r="AP112" s="17">
        <v>7</v>
      </c>
      <c r="AQ112" s="17">
        <v>9</v>
      </c>
      <c r="AR112" s="17">
        <v>11</v>
      </c>
      <c r="AS112" s="17">
        <v>14</v>
      </c>
      <c r="AT112" s="17">
        <v>35</v>
      </c>
      <c r="AU112" s="17">
        <v>56</v>
      </c>
      <c r="AV112" s="17">
        <v>75</v>
      </c>
      <c r="AW112" s="17">
        <v>107</v>
      </c>
      <c r="AX112" s="17">
        <v>156</v>
      </c>
      <c r="AY112" s="17">
        <v>221</v>
      </c>
      <c r="AZ112" s="17">
        <v>309</v>
      </c>
      <c r="BA112" s="17">
        <v>421</v>
      </c>
      <c r="BB112" s="17">
        <v>613</v>
      </c>
      <c r="BC112" s="17">
        <v>873</v>
      </c>
      <c r="BD112" s="17">
        <v>1160</v>
      </c>
      <c r="BE112" s="17">
        <v>1525</v>
      </c>
      <c r="BF112" s="17">
        <v>1967</v>
      </c>
      <c r="BG112" s="17">
        <v>2381</v>
      </c>
      <c r="BH112" s="17">
        <v>2813</v>
      </c>
      <c r="BI112" s="17">
        <v>3208</v>
      </c>
      <c r="BJ112" s="17">
        <v>3647</v>
      </c>
      <c r="BK112" s="17">
        <v>4150</v>
      </c>
      <c r="BL112" s="17">
        <v>4540</v>
      </c>
      <c r="BM112" s="17">
        <v>4902</v>
      </c>
      <c r="BN112" s="17">
        <v>5308</v>
      </c>
      <c r="BO112" s="17">
        <v>5718</v>
      </c>
      <c r="BP112" s="17">
        <v>6098</v>
      </c>
      <c r="BQ112" s="17">
        <v>6498</v>
      </c>
      <c r="BR112" s="17">
        <v>6855</v>
      </c>
      <c r="BS112" s="17">
        <v>7234</v>
      </c>
      <c r="BT112" s="17">
        <v>7619</v>
      </c>
      <c r="BU112" s="17">
        <v>7905</v>
      </c>
      <c r="BV112" s="17">
        <v>8144</v>
      </c>
      <c r="BW112" s="17">
        <v>8336</v>
      </c>
      <c r="BX112" s="17">
        <v>8445</v>
      </c>
      <c r="BY112" s="17">
        <v>8532</v>
      </c>
      <c r="BZ112" s="17">
        <v>8592</v>
      </c>
      <c r="CA112" s="17">
        <v>8645</v>
      </c>
      <c r="CB112" s="17">
        <v>8687</v>
      </c>
      <c r="CC112" s="17">
        <v>8713</v>
      </c>
      <c r="CD112" s="17">
        <v>8734</v>
      </c>
      <c r="CE112" s="17">
        <v>8745</v>
      </c>
      <c r="CF112" s="17">
        <v>8755</v>
      </c>
      <c r="CG112" s="17">
        <v>8759</v>
      </c>
      <c r="CH112" s="17">
        <v>8760</v>
      </c>
      <c r="CI112" s="17">
        <v>8760</v>
      </c>
      <c r="CJ112" s="17">
        <v>8760</v>
      </c>
      <c r="CK112" s="17">
        <v>8760</v>
      </c>
      <c r="CL112" s="17">
        <v>8760</v>
      </c>
      <c r="CM112" s="17">
        <v>8760</v>
      </c>
      <c r="CN112" s="17">
        <v>8760</v>
      </c>
      <c r="CO112" s="17">
        <v>8760</v>
      </c>
      <c r="CP112" s="17">
        <v>8760</v>
      </c>
      <c r="CQ112" s="17">
        <v>8760</v>
      </c>
      <c r="CR112" s="17">
        <v>8760</v>
      </c>
      <c r="CS112" s="17">
        <v>8760</v>
      </c>
      <c r="CT112" s="17">
        <v>8760</v>
      </c>
      <c r="CU112" s="17">
        <v>8760</v>
      </c>
      <c r="CV112" s="17">
        <v>8760</v>
      </c>
      <c r="CW112" s="17">
        <v>8760</v>
      </c>
      <c r="CX112" s="17">
        <v>8760</v>
      </c>
      <c r="CY112" s="17">
        <v>8760</v>
      </c>
      <c r="CZ112" s="17">
        <v>8760</v>
      </c>
      <c r="DA112" s="17">
        <v>8760</v>
      </c>
      <c r="DB112" s="17">
        <v>8760</v>
      </c>
    </row>
    <row r="113" spans="1:106" s="17" customFormat="1" x14ac:dyDescent="0.25">
      <c r="A113" s="22" t="s">
        <v>131</v>
      </c>
      <c r="B113" s="17" t="s">
        <v>114</v>
      </c>
      <c r="C113" s="17" t="s">
        <v>438</v>
      </c>
      <c r="D113" s="17" t="s">
        <v>615</v>
      </c>
      <c r="E113" s="17" t="s">
        <v>616</v>
      </c>
      <c r="F113" s="17">
        <v>102112</v>
      </c>
      <c r="G113" s="17">
        <v>0</v>
      </c>
      <c r="H113" s="17">
        <v>0</v>
      </c>
      <c r="I113" s="17">
        <v>0</v>
      </c>
      <c r="J113" s="17">
        <v>0</v>
      </c>
      <c r="K113" s="17">
        <v>0</v>
      </c>
      <c r="L113" s="17">
        <v>0</v>
      </c>
      <c r="M113" s="17">
        <v>0</v>
      </c>
      <c r="N113" s="17">
        <v>0</v>
      </c>
      <c r="O113" s="17">
        <v>0</v>
      </c>
      <c r="P113" s="17">
        <v>0</v>
      </c>
      <c r="Q113" s="17">
        <v>0</v>
      </c>
      <c r="R113" s="17">
        <v>0</v>
      </c>
      <c r="S113" s="17">
        <v>0</v>
      </c>
      <c r="T113" s="17">
        <v>0</v>
      </c>
      <c r="U113" s="17">
        <v>0</v>
      </c>
      <c r="V113" s="17">
        <v>0</v>
      </c>
      <c r="W113" s="17">
        <v>0</v>
      </c>
      <c r="X113" s="17">
        <v>0</v>
      </c>
      <c r="Y113" s="17">
        <v>0</v>
      </c>
      <c r="Z113" s="17">
        <v>0</v>
      </c>
      <c r="AA113" s="17">
        <v>0</v>
      </c>
      <c r="AB113" s="17">
        <v>0</v>
      </c>
      <c r="AC113" s="17">
        <v>0</v>
      </c>
      <c r="AD113" s="17">
        <v>0</v>
      </c>
      <c r="AE113" s="17">
        <v>0</v>
      </c>
      <c r="AF113" s="17">
        <v>0</v>
      </c>
      <c r="AG113" s="17">
        <v>0</v>
      </c>
      <c r="AH113" s="17">
        <v>0</v>
      </c>
      <c r="AI113" s="17">
        <v>0</v>
      </c>
      <c r="AJ113" s="17">
        <v>0</v>
      </c>
      <c r="AK113" s="17">
        <v>0</v>
      </c>
      <c r="AL113" s="17">
        <v>0</v>
      </c>
      <c r="AM113" s="17">
        <v>0</v>
      </c>
      <c r="AN113" s="17">
        <v>0</v>
      </c>
      <c r="AO113" s="17">
        <v>2</v>
      </c>
      <c r="AP113" s="17">
        <v>6</v>
      </c>
      <c r="AQ113" s="17">
        <v>21</v>
      </c>
      <c r="AR113" s="17">
        <v>38</v>
      </c>
      <c r="AS113" s="17">
        <v>60</v>
      </c>
      <c r="AT113" s="17">
        <v>90</v>
      </c>
      <c r="AU113" s="17">
        <v>114</v>
      </c>
      <c r="AV113" s="17">
        <v>145</v>
      </c>
      <c r="AW113" s="17">
        <v>196</v>
      </c>
      <c r="AX113" s="17">
        <v>253</v>
      </c>
      <c r="AY113" s="17">
        <v>301</v>
      </c>
      <c r="AZ113" s="17">
        <v>414</v>
      </c>
      <c r="BA113" s="17">
        <v>530</v>
      </c>
      <c r="BB113" s="17">
        <v>706</v>
      </c>
      <c r="BC113" s="17">
        <v>921</v>
      </c>
      <c r="BD113" s="17">
        <v>1179</v>
      </c>
      <c r="BE113" s="17">
        <v>1640</v>
      </c>
      <c r="BF113" s="17">
        <v>2105</v>
      </c>
      <c r="BG113" s="17">
        <v>2554</v>
      </c>
      <c r="BH113" s="17">
        <v>3046</v>
      </c>
      <c r="BI113" s="17">
        <v>3486</v>
      </c>
      <c r="BJ113" s="17">
        <v>3925</v>
      </c>
      <c r="BK113" s="17">
        <v>4285</v>
      </c>
      <c r="BL113" s="17">
        <v>4597</v>
      </c>
      <c r="BM113" s="17">
        <v>4855</v>
      </c>
      <c r="BN113" s="17">
        <v>5170</v>
      </c>
      <c r="BO113" s="17">
        <v>5545</v>
      </c>
      <c r="BP113" s="17">
        <v>5976</v>
      </c>
      <c r="BQ113" s="17">
        <v>6430</v>
      </c>
      <c r="BR113" s="17">
        <v>6793</v>
      </c>
      <c r="BS113" s="17">
        <v>7140</v>
      </c>
      <c r="BT113" s="17">
        <v>7443</v>
      </c>
      <c r="BU113" s="17">
        <v>7724</v>
      </c>
      <c r="BV113" s="17">
        <v>7973</v>
      </c>
      <c r="BW113" s="17">
        <v>8168</v>
      </c>
      <c r="BX113" s="17">
        <v>8323</v>
      </c>
      <c r="BY113" s="17">
        <v>8425</v>
      </c>
      <c r="BZ113" s="17">
        <v>8509</v>
      </c>
      <c r="CA113" s="17">
        <v>8585</v>
      </c>
      <c r="CB113" s="17">
        <v>8655</v>
      </c>
      <c r="CC113" s="17">
        <v>8693</v>
      </c>
      <c r="CD113" s="17">
        <v>8710</v>
      </c>
      <c r="CE113" s="17">
        <v>8718</v>
      </c>
      <c r="CF113" s="17">
        <v>8733</v>
      </c>
      <c r="CG113" s="17">
        <v>8743</v>
      </c>
      <c r="CH113" s="17">
        <v>8749</v>
      </c>
      <c r="CI113" s="17">
        <v>8760</v>
      </c>
      <c r="CJ113" s="17">
        <v>8760</v>
      </c>
      <c r="CK113" s="17">
        <v>8760</v>
      </c>
      <c r="CL113" s="17">
        <v>8760</v>
      </c>
      <c r="CM113" s="17">
        <v>8760</v>
      </c>
      <c r="CN113" s="17">
        <v>8760</v>
      </c>
      <c r="CO113" s="17">
        <v>8760</v>
      </c>
      <c r="CP113" s="17">
        <v>8760</v>
      </c>
      <c r="CQ113" s="17">
        <v>8760</v>
      </c>
      <c r="CR113" s="17">
        <v>8760</v>
      </c>
      <c r="CS113" s="17">
        <v>8760</v>
      </c>
      <c r="CT113" s="17">
        <v>8760</v>
      </c>
      <c r="CU113" s="17">
        <v>8760</v>
      </c>
      <c r="CV113" s="17">
        <v>8760</v>
      </c>
      <c r="CW113" s="17">
        <v>8760</v>
      </c>
      <c r="CX113" s="17">
        <v>8760</v>
      </c>
      <c r="CY113" s="17">
        <v>8760</v>
      </c>
      <c r="CZ113" s="17">
        <v>8760</v>
      </c>
      <c r="DA113" s="17">
        <v>8760</v>
      </c>
      <c r="DB113" s="17">
        <v>8760</v>
      </c>
    </row>
    <row r="114" spans="1:106" s="17" customFormat="1" x14ac:dyDescent="0.25">
      <c r="A114" s="22" t="s">
        <v>132</v>
      </c>
      <c r="B114" s="17" t="s">
        <v>123</v>
      </c>
      <c r="C114" s="17" t="s">
        <v>438</v>
      </c>
      <c r="D114" s="17" t="s">
        <v>617</v>
      </c>
      <c r="E114" s="17" t="s">
        <v>618</v>
      </c>
      <c r="F114" s="17">
        <v>102129</v>
      </c>
      <c r="G114" s="17">
        <v>0</v>
      </c>
      <c r="H114" s="17">
        <v>0</v>
      </c>
      <c r="I114" s="17">
        <v>0</v>
      </c>
      <c r="J114" s="17">
        <v>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0</v>
      </c>
      <c r="AC114" s="17">
        <v>0</v>
      </c>
      <c r="AD114" s="17">
        <v>0</v>
      </c>
      <c r="AE114" s="17">
        <v>0</v>
      </c>
      <c r="AF114" s="17">
        <v>0</v>
      </c>
      <c r="AG114" s="17">
        <v>0</v>
      </c>
      <c r="AH114" s="17">
        <v>0</v>
      </c>
      <c r="AI114" s="17">
        <v>0</v>
      </c>
      <c r="AJ114" s="17">
        <v>0</v>
      </c>
      <c r="AK114" s="17">
        <v>0</v>
      </c>
      <c r="AL114" s="17">
        <v>0</v>
      </c>
      <c r="AM114" s="17">
        <v>0</v>
      </c>
      <c r="AN114" s="17">
        <v>0</v>
      </c>
      <c r="AO114" s="17">
        <v>0</v>
      </c>
      <c r="AP114" s="17">
        <v>0</v>
      </c>
      <c r="AQ114" s="17">
        <v>0</v>
      </c>
      <c r="AR114" s="17">
        <v>0</v>
      </c>
      <c r="AS114" s="17">
        <v>0</v>
      </c>
      <c r="AT114" s="17">
        <v>9</v>
      </c>
      <c r="AU114" s="17">
        <v>22</v>
      </c>
      <c r="AV114" s="17">
        <v>29</v>
      </c>
      <c r="AW114" s="17">
        <v>36</v>
      </c>
      <c r="AX114" s="17">
        <v>48</v>
      </c>
      <c r="AY114" s="17">
        <v>80</v>
      </c>
      <c r="AZ114" s="17">
        <v>150</v>
      </c>
      <c r="BA114" s="17">
        <v>246</v>
      </c>
      <c r="BB114" s="17">
        <v>380</v>
      </c>
      <c r="BC114" s="17">
        <v>593</v>
      </c>
      <c r="BD114" s="17">
        <v>902</v>
      </c>
      <c r="BE114" s="17">
        <v>1260</v>
      </c>
      <c r="BF114" s="17">
        <v>1721</v>
      </c>
      <c r="BG114" s="17">
        <v>2110</v>
      </c>
      <c r="BH114" s="17">
        <v>2660</v>
      </c>
      <c r="BI114" s="17">
        <v>3049</v>
      </c>
      <c r="BJ114" s="17">
        <v>3444</v>
      </c>
      <c r="BK114" s="17">
        <v>3884</v>
      </c>
      <c r="BL114" s="17">
        <v>4337</v>
      </c>
      <c r="BM114" s="17">
        <v>4699</v>
      </c>
      <c r="BN114" s="17">
        <v>5076</v>
      </c>
      <c r="BO114" s="17">
        <v>5428</v>
      </c>
      <c r="BP114" s="17">
        <v>5797</v>
      </c>
      <c r="BQ114" s="17">
        <v>6201</v>
      </c>
      <c r="BR114" s="17">
        <v>6653</v>
      </c>
      <c r="BS114" s="17">
        <v>7074</v>
      </c>
      <c r="BT114" s="17">
        <v>7470</v>
      </c>
      <c r="BU114" s="17">
        <v>7856</v>
      </c>
      <c r="BV114" s="17">
        <v>8124</v>
      </c>
      <c r="BW114" s="17">
        <v>8319</v>
      </c>
      <c r="BX114" s="17">
        <v>8446</v>
      </c>
      <c r="BY114" s="17">
        <v>8543</v>
      </c>
      <c r="BZ114" s="17">
        <v>8608</v>
      </c>
      <c r="CA114" s="17">
        <v>8680</v>
      </c>
      <c r="CB114" s="17">
        <v>8718</v>
      </c>
      <c r="CC114" s="17">
        <v>8737</v>
      </c>
      <c r="CD114" s="17">
        <v>8744</v>
      </c>
      <c r="CE114" s="17">
        <v>8749</v>
      </c>
      <c r="CF114" s="17">
        <v>8757</v>
      </c>
      <c r="CG114" s="17">
        <v>8760</v>
      </c>
      <c r="CH114" s="17">
        <v>8760</v>
      </c>
      <c r="CI114" s="17">
        <v>8760</v>
      </c>
      <c r="CJ114" s="17">
        <v>8760</v>
      </c>
      <c r="CK114" s="17">
        <v>8760</v>
      </c>
      <c r="CL114" s="17">
        <v>8760</v>
      </c>
      <c r="CM114" s="17">
        <v>8760</v>
      </c>
      <c r="CN114" s="17">
        <v>8760</v>
      </c>
      <c r="CO114" s="17">
        <v>8760</v>
      </c>
      <c r="CP114" s="17">
        <v>8760</v>
      </c>
      <c r="CQ114" s="17">
        <v>8760</v>
      </c>
      <c r="CR114" s="17">
        <v>8760</v>
      </c>
      <c r="CS114" s="17">
        <v>8760</v>
      </c>
      <c r="CT114" s="17">
        <v>8760</v>
      </c>
      <c r="CU114" s="17">
        <v>8760</v>
      </c>
      <c r="CV114" s="17">
        <v>8760</v>
      </c>
      <c r="CW114" s="17">
        <v>8760</v>
      </c>
      <c r="CX114" s="17">
        <v>8760</v>
      </c>
      <c r="CY114" s="17">
        <v>8760</v>
      </c>
      <c r="CZ114" s="17">
        <v>8760</v>
      </c>
      <c r="DA114" s="17">
        <v>8760</v>
      </c>
      <c r="DB114" s="17">
        <v>8760</v>
      </c>
    </row>
    <row r="115" spans="1:106" s="17" customFormat="1" x14ac:dyDescent="0.25">
      <c r="A115" s="22" t="s">
        <v>133</v>
      </c>
      <c r="B115" s="17" t="s">
        <v>380</v>
      </c>
      <c r="C115" s="17" t="s">
        <v>438</v>
      </c>
      <c r="D115" s="17" t="s">
        <v>619</v>
      </c>
      <c r="E115" s="17" t="s">
        <v>620</v>
      </c>
      <c r="F115" s="17">
        <v>102340</v>
      </c>
      <c r="G115" s="17">
        <v>0</v>
      </c>
      <c r="H115" s="17">
        <v>0</v>
      </c>
      <c r="I115" s="17">
        <v>0</v>
      </c>
      <c r="J115" s="17">
        <v>0</v>
      </c>
      <c r="K115" s="17">
        <v>0</v>
      </c>
      <c r="L115" s="17">
        <v>0</v>
      </c>
      <c r="M115" s="17">
        <v>0</v>
      </c>
      <c r="N115" s="17">
        <v>0</v>
      </c>
      <c r="O115" s="17">
        <v>0</v>
      </c>
      <c r="P115" s="17">
        <v>0</v>
      </c>
      <c r="Q115" s="17">
        <v>0</v>
      </c>
      <c r="R115" s="17">
        <v>0</v>
      </c>
      <c r="S115" s="17">
        <v>0</v>
      </c>
      <c r="T115" s="17">
        <v>0</v>
      </c>
      <c r="U115" s="17">
        <v>0</v>
      </c>
      <c r="V115" s="17">
        <v>0</v>
      </c>
      <c r="W115" s="17">
        <v>0</v>
      </c>
      <c r="X115" s="17">
        <v>0</v>
      </c>
      <c r="Y115" s="17">
        <v>0</v>
      </c>
      <c r="Z115" s="17">
        <v>0</v>
      </c>
      <c r="AA115" s="17">
        <v>0</v>
      </c>
      <c r="AB115" s="17">
        <v>0</v>
      </c>
      <c r="AC115" s="17">
        <v>0</v>
      </c>
      <c r="AD115" s="17">
        <v>0</v>
      </c>
      <c r="AE115" s="17">
        <v>0</v>
      </c>
      <c r="AF115" s="17">
        <v>0</v>
      </c>
      <c r="AG115" s="17">
        <v>0</v>
      </c>
      <c r="AH115" s="17">
        <v>0</v>
      </c>
      <c r="AI115" s="17">
        <v>2</v>
      </c>
      <c r="AJ115" s="17">
        <v>6</v>
      </c>
      <c r="AK115" s="17">
        <v>9</v>
      </c>
      <c r="AL115" s="17">
        <v>11</v>
      </c>
      <c r="AM115" s="17">
        <v>13</v>
      </c>
      <c r="AN115" s="17">
        <v>17</v>
      </c>
      <c r="AO115" s="17">
        <v>21</v>
      </c>
      <c r="AP115" s="17">
        <v>41</v>
      </c>
      <c r="AQ115" s="17">
        <v>75</v>
      </c>
      <c r="AR115" s="17">
        <v>99</v>
      </c>
      <c r="AS115" s="17">
        <v>135</v>
      </c>
      <c r="AT115" s="17">
        <v>187</v>
      </c>
      <c r="AU115" s="17">
        <v>228</v>
      </c>
      <c r="AV115" s="17">
        <v>286</v>
      </c>
      <c r="AW115" s="17">
        <v>362</v>
      </c>
      <c r="AX115" s="17">
        <v>456</v>
      </c>
      <c r="AY115" s="17">
        <v>567</v>
      </c>
      <c r="AZ115" s="17">
        <v>717</v>
      </c>
      <c r="BA115" s="17">
        <v>892</v>
      </c>
      <c r="BB115" s="17">
        <v>1095</v>
      </c>
      <c r="BC115" s="17">
        <v>1359</v>
      </c>
      <c r="BD115" s="17">
        <v>1667</v>
      </c>
      <c r="BE115" s="17">
        <v>2086</v>
      </c>
      <c r="BF115" s="17">
        <v>2480</v>
      </c>
      <c r="BG115" s="17">
        <v>2838</v>
      </c>
      <c r="BH115" s="17">
        <v>3280</v>
      </c>
      <c r="BI115" s="17">
        <v>3688</v>
      </c>
      <c r="BJ115" s="17">
        <v>4119</v>
      </c>
      <c r="BK115" s="17">
        <v>4514</v>
      </c>
      <c r="BL115" s="17">
        <v>4914</v>
      </c>
      <c r="BM115" s="17">
        <v>5274</v>
      </c>
      <c r="BN115" s="17">
        <v>5595</v>
      </c>
      <c r="BO115" s="17">
        <v>5915</v>
      </c>
      <c r="BP115" s="17">
        <v>6252</v>
      </c>
      <c r="BQ115" s="17">
        <v>6579</v>
      </c>
      <c r="BR115" s="17">
        <v>6923</v>
      </c>
      <c r="BS115" s="17">
        <v>7201</v>
      </c>
      <c r="BT115" s="17">
        <v>7461</v>
      </c>
      <c r="BU115" s="17">
        <v>7691</v>
      </c>
      <c r="BV115" s="17">
        <v>7903</v>
      </c>
      <c r="BW115" s="17">
        <v>8045</v>
      </c>
      <c r="BX115" s="17">
        <v>8173</v>
      </c>
      <c r="BY115" s="17">
        <v>8292</v>
      </c>
      <c r="BZ115" s="17">
        <v>8395</v>
      </c>
      <c r="CA115" s="17">
        <v>8474</v>
      </c>
      <c r="CB115" s="17">
        <v>8553</v>
      </c>
      <c r="CC115" s="17">
        <v>8629</v>
      </c>
      <c r="CD115" s="17">
        <v>8675</v>
      </c>
      <c r="CE115" s="17">
        <v>8720</v>
      </c>
      <c r="CF115" s="17">
        <v>8750</v>
      </c>
      <c r="CG115" s="17">
        <v>8756</v>
      </c>
      <c r="CH115" s="17">
        <v>8760</v>
      </c>
      <c r="CI115" s="17">
        <v>8760</v>
      </c>
      <c r="CJ115" s="17">
        <v>8760</v>
      </c>
      <c r="CK115" s="17">
        <v>8760</v>
      </c>
      <c r="CL115" s="17">
        <v>8760</v>
      </c>
      <c r="CM115" s="17">
        <v>8760</v>
      </c>
      <c r="CN115" s="17">
        <v>8760</v>
      </c>
      <c r="CO115" s="17">
        <v>8760</v>
      </c>
      <c r="CP115" s="17">
        <v>8760</v>
      </c>
      <c r="CQ115" s="17">
        <v>8760</v>
      </c>
      <c r="CR115" s="17">
        <v>8760</v>
      </c>
      <c r="CS115" s="17">
        <v>8760</v>
      </c>
      <c r="CT115" s="17">
        <v>8760</v>
      </c>
      <c r="CU115" s="17">
        <v>8760</v>
      </c>
      <c r="CV115" s="17">
        <v>8760</v>
      </c>
      <c r="CW115" s="17">
        <v>8760</v>
      </c>
      <c r="CX115" s="17">
        <v>8760</v>
      </c>
      <c r="CY115" s="17">
        <v>8760</v>
      </c>
      <c r="CZ115" s="17">
        <v>8760</v>
      </c>
      <c r="DA115" s="17">
        <v>8760</v>
      </c>
      <c r="DB115" s="17">
        <v>8760</v>
      </c>
    </row>
    <row r="116" spans="1:106" s="17" customFormat="1" x14ac:dyDescent="0.25">
      <c r="A116" s="22" t="s">
        <v>134</v>
      </c>
      <c r="B116" s="17" t="s">
        <v>381</v>
      </c>
      <c r="C116" s="17" t="s">
        <v>438</v>
      </c>
      <c r="D116" s="17" t="s">
        <v>621</v>
      </c>
      <c r="E116" s="17" t="s">
        <v>622</v>
      </c>
      <c r="F116" s="17">
        <v>102125</v>
      </c>
      <c r="G116" s="17">
        <v>0</v>
      </c>
      <c r="H116" s="17">
        <v>0</v>
      </c>
      <c r="I116" s="17">
        <v>0</v>
      </c>
      <c r="J116" s="17">
        <v>0</v>
      </c>
      <c r="K116" s="17">
        <v>0</v>
      </c>
      <c r="L116" s="17">
        <v>0</v>
      </c>
      <c r="M116" s="17">
        <v>0</v>
      </c>
      <c r="N116" s="17">
        <v>0</v>
      </c>
      <c r="O116" s="17">
        <v>0</v>
      </c>
      <c r="P116" s="17">
        <v>0</v>
      </c>
      <c r="Q116" s="17">
        <v>0</v>
      </c>
      <c r="R116" s="17">
        <v>0</v>
      </c>
      <c r="S116" s="17">
        <v>0</v>
      </c>
      <c r="T116" s="17">
        <v>0</v>
      </c>
      <c r="U116" s="17">
        <v>0</v>
      </c>
      <c r="V116" s="17">
        <v>0</v>
      </c>
      <c r="W116" s="17">
        <v>0</v>
      </c>
      <c r="X116" s="17">
        <v>0</v>
      </c>
      <c r="Y116" s="17">
        <v>0</v>
      </c>
      <c r="Z116" s="17">
        <v>0</v>
      </c>
      <c r="AA116" s="17">
        <v>0</v>
      </c>
      <c r="AB116" s="17">
        <v>0</v>
      </c>
      <c r="AC116" s="17">
        <v>0</v>
      </c>
      <c r="AD116" s="17">
        <v>0</v>
      </c>
      <c r="AE116" s="17">
        <v>0</v>
      </c>
      <c r="AF116" s="17">
        <v>0</v>
      </c>
      <c r="AG116" s="17">
        <v>0</v>
      </c>
      <c r="AH116" s="17">
        <v>0</v>
      </c>
      <c r="AI116" s="17">
        <v>0</v>
      </c>
      <c r="AJ116" s="17">
        <v>0</v>
      </c>
      <c r="AK116" s="17">
        <v>0</v>
      </c>
      <c r="AL116" s="17">
        <v>0</v>
      </c>
      <c r="AM116" s="17">
        <v>0</v>
      </c>
      <c r="AN116" s="17">
        <v>0</v>
      </c>
      <c r="AO116" s="17">
        <v>0</v>
      </c>
      <c r="AP116" s="17">
        <v>0</v>
      </c>
      <c r="AQ116" s="17">
        <v>9</v>
      </c>
      <c r="AR116" s="17">
        <v>17</v>
      </c>
      <c r="AS116" s="17">
        <v>37</v>
      </c>
      <c r="AT116" s="17">
        <v>62</v>
      </c>
      <c r="AU116" s="17">
        <v>94</v>
      </c>
      <c r="AV116" s="17">
        <v>122</v>
      </c>
      <c r="AW116" s="17">
        <v>149</v>
      </c>
      <c r="AX116" s="17">
        <v>181</v>
      </c>
      <c r="AY116" s="17">
        <v>254</v>
      </c>
      <c r="AZ116" s="17">
        <v>354</v>
      </c>
      <c r="BA116" s="17">
        <v>460</v>
      </c>
      <c r="BB116" s="17">
        <v>647</v>
      </c>
      <c r="BC116" s="17">
        <v>849</v>
      </c>
      <c r="BD116" s="17">
        <v>1092</v>
      </c>
      <c r="BE116" s="17">
        <v>1528</v>
      </c>
      <c r="BF116" s="17">
        <v>1997</v>
      </c>
      <c r="BG116" s="17">
        <v>2503</v>
      </c>
      <c r="BH116" s="17">
        <v>2998</v>
      </c>
      <c r="BI116" s="17">
        <v>3420</v>
      </c>
      <c r="BJ116" s="17">
        <v>3821</v>
      </c>
      <c r="BK116" s="17">
        <v>4203</v>
      </c>
      <c r="BL116" s="17">
        <v>4576</v>
      </c>
      <c r="BM116" s="17">
        <v>4897</v>
      </c>
      <c r="BN116" s="17">
        <v>5257</v>
      </c>
      <c r="BO116" s="17">
        <v>5688</v>
      </c>
      <c r="BP116" s="17">
        <v>6109</v>
      </c>
      <c r="BQ116" s="17">
        <v>6537</v>
      </c>
      <c r="BR116" s="17">
        <v>6874</v>
      </c>
      <c r="BS116" s="17">
        <v>7212</v>
      </c>
      <c r="BT116" s="17">
        <v>7500</v>
      </c>
      <c r="BU116" s="17">
        <v>7781</v>
      </c>
      <c r="BV116" s="17">
        <v>8044</v>
      </c>
      <c r="BW116" s="17">
        <v>8227</v>
      </c>
      <c r="BX116" s="17">
        <v>8358</v>
      </c>
      <c r="BY116" s="17">
        <v>8459</v>
      </c>
      <c r="BZ116" s="17">
        <v>8546</v>
      </c>
      <c r="CA116" s="17">
        <v>8612</v>
      </c>
      <c r="CB116" s="17">
        <v>8671</v>
      </c>
      <c r="CC116" s="17">
        <v>8725</v>
      </c>
      <c r="CD116" s="17">
        <v>8748</v>
      </c>
      <c r="CE116" s="17">
        <v>8759</v>
      </c>
      <c r="CF116" s="17">
        <v>8760</v>
      </c>
      <c r="CG116" s="17">
        <v>8760</v>
      </c>
      <c r="CH116" s="17">
        <v>8760</v>
      </c>
      <c r="CI116" s="17">
        <v>8760</v>
      </c>
      <c r="CJ116" s="17">
        <v>8760</v>
      </c>
      <c r="CK116" s="17">
        <v>8760</v>
      </c>
      <c r="CL116" s="17">
        <v>8760</v>
      </c>
      <c r="CM116" s="17">
        <v>8760</v>
      </c>
      <c r="CN116" s="17">
        <v>8760</v>
      </c>
      <c r="CO116" s="17">
        <v>8760</v>
      </c>
      <c r="CP116" s="17">
        <v>8760</v>
      </c>
      <c r="CQ116" s="17">
        <v>8760</v>
      </c>
      <c r="CR116" s="17">
        <v>8760</v>
      </c>
      <c r="CS116" s="17">
        <v>8760</v>
      </c>
      <c r="CT116" s="17">
        <v>8760</v>
      </c>
      <c r="CU116" s="17">
        <v>8760</v>
      </c>
      <c r="CV116" s="17">
        <v>8760</v>
      </c>
      <c r="CW116" s="17">
        <v>8760</v>
      </c>
      <c r="CX116" s="17">
        <v>8760</v>
      </c>
      <c r="CY116" s="17">
        <v>8760</v>
      </c>
      <c r="CZ116" s="17">
        <v>8760</v>
      </c>
      <c r="DA116" s="17">
        <v>8760</v>
      </c>
      <c r="DB116" s="17">
        <v>8760</v>
      </c>
    </row>
    <row r="117" spans="1:106" s="17" customFormat="1" x14ac:dyDescent="0.25">
      <c r="A117" s="22" t="s">
        <v>135</v>
      </c>
      <c r="B117" s="17" t="s">
        <v>382</v>
      </c>
    </row>
    <row r="118" spans="1:106" s="17" customFormat="1" x14ac:dyDescent="0.25">
      <c r="A118" s="22" t="s">
        <v>136</v>
      </c>
      <c r="B118" s="17" t="s">
        <v>125</v>
      </c>
      <c r="C118" s="17" t="s">
        <v>438</v>
      </c>
      <c r="D118" s="17" t="s">
        <v>623</v>
      </c>
      <c r="E118" s="17" t="s">
        <v>624</v>
      </c>
      <c r="F118" s="17">
        <v>102127</v>
      </c>
      <c r="G118" s="17">
        <v>0</v>
      </c>
      <c r="H118" s="17">
        <v>0</v>
      </c>
      <c r="I118" s="17">
        <v>0</v>
      </c>
      <c r="J118" s="17">
        <v>0</v>
      </c>
      <c r="K118" s="17">
        <v>0</v>
      </c>
      <c r="L118" s="17">
        <v>0</v>
      </c>
      <c r="M118" s="17">
        <v>0</v>
      </c>
      <c r="N118" s="17">
        <v>0</v>
      </c>
      <c r="O118" s="17">
        <v>0</v>
      </c>
      <c r="P118" s="17">
        <v>0</v>
      </c>
      <c r="Q118" s="17">
        <v>0</v>
      </c>
      <c r="R118" s="17">
        <v>0</v>
      </c>
      <c r="S118" s="17">
        <v>0</v>
      </c>
      <c r="T118" s="17">
        <v>0</v>
      </c>
      <c r="U118" s="17">
        <v>0</v>
      </c>
      <c r="V118" s="17">
        <v>0</v>
      </c>
      <c r="W118" s="17">
        <v>0</v>
      </c>
      <c r="X118" s="17">
        <v>0</v>
      </c>
      <c r="Y118" s="17">
        <v>0</v>
      </c>
      <c r="Z118" s="17">
        <v>0</v>
      </c>
      <c r="AA118" s="17">
        <v>0</v>
      </c>
      <c r="AB118" s="17">
        <v>0</v>
      </c>
      <c r="AC118" s="17">
        <v>0</v>
      </c>
      <c r="AD118" s="17">
        <v>0</v>
      </c>
      <c r="AE118" s="17">
        <v>0</v>
      </c>
      <c r="AF118" s="17">
        <v>0</v>
      </c>
      <c r="AG118" s="17">
        <v>0</v>
      </c>
      <c r="AH118" s="17">
        <v>0</v>
      </c>
      <c r="AI118" s="17">
        <v>0</v>
      </c>
      <c r="AJ118" s="17">
        <v>0</v>
      </c>
      <c r="AK118" s="17">
        <v>0</v>
      </c>
      <c r="AL118" s="17">
        <v>0</v>
      </c>
      <c r="AM118" s="17">
        <v>0</v>
      </c>
      <c r="AN118" s="17">
        <v>0</v>
      </c>
      <c r="AO118" s="17">
        <v>0</v>
      </c>
      <c r="AP118" s="17">
        <v>4</v>
      </c>
      <c r="AQ118" s="17">
        <v>10</v>
      </c>
      <c r="AR118" s="17">
        <v>23</v>
      </c>
      <c r="AS118" s="17">
        <v>41</v>
      </c>
      <c r="AT118" s="17">
        <v>62</v>
      </c>
      <c r="AU118" s="17">
        <v>88</v>
      </c>
      <c r="AV118" s="17">
        <v>115</v>
      </c>
      <c r="AW118" s="17">
        <v>167</v>
      </c>
      <c r="AX118" s="17">
        <v>248</v>
      </c>
      <c r="AY118" s="17">
        <v>332</v>
      </c>
      <c r="AZ118" s="17">
        <v>442</v>
      </c>
      <c r="BA118" s="17">
        <v>582</v>
      </c>
      <c r="BB118" s="17">
        <v>805</v>
      </c>
      <c r="BC118" s="17">
        <v>1086</v>
      </c>
      <c r="BD118" s="17">
        <v>1396</v>
      </c>
      <c r="BE118" s="17">
        <v>1850</v>
      </c>
      <c r="BF118" s="17">
        <v>2238</v>
      </c>
      <c r="BG118" s="17">
        <v>2686</v>
      </c>
      <c r="BH118" s="17">
        <v>3178</v>
      </c>
      <c r="BI118" s="17">
        <v>3754</v>
      </c>
      <c r="BJ118" s="17">
        <v>4103</v>
      </c>
      <c r="BK118" s="17">
        <v>4326</v>
      </c>
      <c r="BL118" s="17">
        <v>4564</v>
      </c>
      <c r="BM118" s="17">
        <v>4846</v>
      </c>
      <c r="BN118" s="17">
        <v>5135</v>
      </c>
      <c r="BO118" s="17">
        <v>5538</v>
      </c>
      <c r="BP118" s="17">
        <v>5947</v>
      </c>
      <c r="BQ118" s="17">
        <v>6380</v>
      </c>
      <c r="BR118" s="17">
        <v>6787</v>
      </c>
      <c r="BS118" s="17">
        <v>7179</v>
      </c>
      <c r="BT118" s="17">
        <v>7515</v>
      </c>
      <c r="BU118" s="17">
        <v>7803</v>
      </c>
      <c r="BV118" s="17">
        <v>8012</v>
      </c>
      <c r="BW118" s="17">
        <v>8172</v>
      </c>
      <c r="BX118" s="17">
        <v>8307</v>
      </c>
      <c r="BY118" s="17">
        <v>8400</v>
      </c>
      <c r="BZ118" s="17">
        <v>8483</v>
      </c>
      <c r="CA118" s="17">
        <v>8567</v>
      </c>
      <c r="CB118" s="17">
        <v>8633</v>
      </c>
      <c r="CC118" s="17">
        <v>8676</v>
      </c>
      <c r="CD118" s="17">
        <v>8696</v>
      </c>
      <c r="CE118" s="17">
        <v>8713</v>
      </c>
      <c r="CF118" s="17">
        <v>8731</v>
      </c>
      <c r="CG118" s="17">
        <v>8744</v>
      </c>
      <c r="CH118" s="17">
        <v>8753</v>
      </c>
      <c r="CI118" s="17">
        <v>8760</v>
      </c>
      <c r="CJ118" s="17">
        <v>8760</v>
      </c>
      <c r="CK118" s="17">
        <v>8760</v>
      </c>
      <c r="CL118" s="17">
        <v>8760</v>
      </c>
      <c r="CM118" s="17">
        <v>8760</v>
      </c>
      <c r="CN118" s="17">
        <v>8760</v>
      </c>
      <c r="CO118" s="17">
        <v>8760</v>
      </c>
      <c r="CP118" s="17">
        <v>8760</v>
      </c>
      <c r="CQ118" s="17">
        <v>8760</v>
      </c>
      <c r="CR118" s="17">
        <v>8760</v>
      </c>
      <c r="CS118" s="17">
        <v>8760</v>
      </c>
      <c r="CT118" s="17">
        <v>8760</v>
      </c>
      <c r="CU118" s="17">
        <v>8760</v>
      </c>
      <c r="CV118" s="17">
        <v>8760</v>
      </c>
      <c r="CW118" s="17">
        <v>8760</v>
      </c>
      <c r="CX118" s="17">
        <v>8760</v>
      </c>
      <c r="CY118" s="17">
        <v>8760</v>
      </c>
      <c r="CZ118" s="17">
        <v>8760</v>
      </c>
      <c r="DA118" s="17">
        <v>8760</v>
      </c>
      <c r="DB118" s="17">
        <v>8760</v>
      </c>
    </row>
    <row r="119" spans="1:106" s="17" customFormat="1" x14ac:dyDescent="0.25">
      <c r="A119" s="22" t="s">
        <v>137</v>
      </c>
      <c r="B119" s="17" t="s">
        <v>133</v>
      </c>
      <c r="C119" s="17" t="s">
        <v>438</v>
      </c>
      <c r="D119" s="17" t="s">
        <v>625</v>
      </c>
      <c r="E119" s="17" t="s">
        <v>626</v>
      </c>
      <c r="F119" s="17">
        <v>102008</v>
      </c>
      <c r="G119" s="17">
        <v>0</v>
      </c>
      <c r="H119" s="17">
        <v>0</v>
      </c>
      <c r="I119" s="17">
        <v>0</v>
      </c>
      <c r="J119" s="17">
        <v>0</v>
      </c>
      <c r="K119" s="17">
        <v>0</v>
      </c>
      <c r="L119" s="17">
        <v>0</v>
      </c>
      <c r="M119" s="17">
        <v>0</v>
      </c>
      <c r="N119" s="17">
        <v>0</v>
      </c>
      <c r="O119" s="17">
        <v>0</v>
      </c>
      <c r="P119" s="17">
        <v>0</v>
      </c>
      <c r="Q119" s="17">
        <v>0</v>
      </c>
      <c r="R119" s="17">
        <v>0</v>
      </c>
      <c r="S119" s="17">
        <v>0</v>
      </c>
      <c r="T119" s="17">
        <v>0</v>
      </c>
      <c r="U119" s="17">
        <v>2</v>
      </c>
      <c r="V119" s="17">
        <v>6</v>
      </c>
      <c r="W119" s="17">
        <v>11</v>
      </c>
      <c r="X119" s="17">
        <v>14</v>
      </c>
      <c r="Y119" s="17">
        <v>22</v>
      </c>
      <c r="Z119" s="17">
        <v>29</v>
      </c>
      <c r="AA119" s="17">
        <v>41</v>
      </c>
      <c r="AB119" s="17">
        <v>66</v>
      </c>
      <c r="AC119" s="17">
        <v>83</v>
      </c>
      <c r="AD119" s="17">
        <v>106</v>
      </c>
      <c r="AE119" s="17">
        <v>133</v>
      </c>
      <c r="AF119" s="17">
        <v>187</v>
      </c>
      <c r="AG119" s="17">
        <v>249</v>
      </c>
      <c r="AH119" s="17">
        <v>306</v>
      </c>
      <c r="AI119" s="17">
        <v>384</v>
      </c>
      <c r="AJ119" s="17">
        <v>454</v>
      </c>
      <c r="AK119" s="17">
        <v>522</v>
      </c>
      <c r="AL119" s="17">
        <v>597</v>
      </c>
      <c r="AM119" s="17">
        <v>676</v>
      </c>
      <c r="AN119" s="17">
        <v>775</v>
      </c>
      <c r="AO119" s="17">
        <v>892</v>
      </c>
      <c r="AP119" s="17">
        <v>1010</v>
      </c>
      <c r="AQ119" s="17">
        <v>1108</v>
      </c>
      <c r="AR119" s="17">
        <v>1260</v>
      </c>
      <c r="AS119" s="17">
        <v>1404</v>
      </c>
      <c r="AT119" s="17">
        <v>1573</v>
      </c>
      <c r="AU119" s="17">
        <v>1770</v>
      </c>
      <c r="AV119" s="17">
        <v>1972</v>
      </c>
      <c r="AW119" s="17">
        <v>2160</v>
      </c>
      <c r="AX119" s="17">
        <v>2376</v>
      </c>
      <c r="AY119" s="17">
        <v>2611</v>
      </c>
      <c r="AZ119" s="17">
        <v>2878</v>
      </c>
      <c r="BA119" s="17">
        <v>3165</v>
      </c>
      <c r="BB119" s="17">
        <v>3473</v>
      </c>
      <c r="BC119" s="17">
        <v>3833</v>
      </c>
      <c r="BD119" s="17">
        <v>4167</v>
      </c>
      <c r="BE119" s="17">
        <v>4520</v>
      </c>
      <c r="BF119" s="17">
        <v>4779</v>
      </c>
      <c r="BG119" s="17">
        <v>5038</v>
      </c>
      <c r="BH119" s="17">
        <v>5317</v>
      </c>
      <c r="BI119" s="17">
        <v>5572</v>
      </c>
      <c r="BJ119" s="17">
        <v>5858</v>
      </c>
      <c r="BK119" s="17">
        <v>6122</v>
      </c>
      <c r="BL119" s="17">
        <v>6421</v>
      </c>
      <c r="BM119" s="17">
        <v>6695</v>
      </c>
      <c r="BN119" s="17">
        <v>6940</v>
      </c>
      <c r="BO119" s="17">
        <v>7150</v>
      </c>
      <c r="BP119" s="17">
        <v>7350</v>
      </c>
      <c r="BQ119" s="17">
        <v>7587</v>
      </c>
      <c r="BR119" s="17">
        <v>7803</v>
      </c>
      <c r="BS119" s="17">
        <v>8025</v>
      </c>
      <c r="BT119" s="17">
        <v>8201</v>
      </c>
      <c r="BU119" s="17">
        <v>8350</v>
      </c>
      <c r="BV119" s="17">
        <v>8457</v>
      </c>
      <c r="BW119" s="17">
        <v>8553</v>
      </c>
      <c r="BX119" s="17">
        <v>8639</v>
      </c>
      <c r="BY119" s="17">
        <v>8700</v>
      </c>
      <c r="BZ119" s="17">
        <v>8731</v>
      </c>
      <c r="CA119" s="17">
        <v>8744</v>
      </c>
      <c r="CB119" s="17">
        <v>8754</v>
      </c>
      <c r="CC119" s="17">
        <v>8760</v>
      </c>
      <c r="CD119" s="17">
        <v>8760</v>
      </c>
      <c r="CE119" s="17">
        <v>8760</v>
      </c>
      <c r="CF119" s="17">
        <v>8760</v>
      </c>
      <c r="CG119" s="17">
        <v>8760</v>
      </c>
      <c r="CH119" s="17">
        <v>8760</v>
      </c>
      <c r="CI119" s="17">
        <v>8760</v>
      </c>
      <c r="CJ119" s="17">
        <v>8760</v>
      </c>
      <c r="CK119" s="17">
        <v>8760</v>
      </c>
      <c r="CL119" s="17">
        <v>8760</v>
      </c>
      <c r="CM119" s="17">
        <v>8760</v>
      </c>
      <c r="CN119" s="17">
        <v>8760</v>
      </c>
      <c r="CO119" s="17">
        <v>8760</v>
      </c>
      <c r="CP119" s="17">
        <v>8760</v>
      </c>
      <c r="CQ119" s="17">
        <v>8760</v>
      </c>
      <c r="CR119" s="17">
        <v>8760</v>
      </c>
      <c r="CS119" s="17">
        <v>8760</v>
      </c>
      <c r="CT119" s="17">
        <v>8760</v>
      </c>
      <c r="CU119" s="17">
        <v>8760</v>
      </c>
      <c r="CV119" s="17">
        <v>8760</v>
      </c>
      <c r="CW119" s="17">
        <v>8760</v>
      </c>
      <c r="CX119" s="17">
        <v>8760</v>
      </c>
      <c r="CY119" s="17">
        <v>8760</v>
      </c>
      <c r="CZ119" s="17">
        <v>8760</v>
      </c>
      <c r="DA119" s="17">
        <v>8760</v>
      </c>
      <c r="DB119" s="17">
        <v>8760</v>
      </c>
    </row>
    <row r="120" spans="1:106" s="17" customFormat="1" x14ac:dyDescent="0.25">
      <c r="A120" s="22" t="s">
        <v>138</v>
      </c>
      <c r="B120" s="17" t="s">
        <v>135</v>
      </c>
      <c r="C120" s="17" t="s">
        <v>438</v>
      </c>
      <c r="D120" s="17" t="s">
        <v>627</v>
      </c>
      <c r="E120" s="17" t="s">
        <v>628</v>
      </c>
      <c r="F120" s="17">
        <v>102815</v>
      </c>
      <c r="G120" s="17">
        <v>0</v>
      </c>
      <c r="H120" s="17">
        <v>0</v>
      </c>
      <c r="I120" s="17">
        <v>0</v>
      </c>
      <c r="J120" s="17">
        <v>0</v>
      </c>
      <c r="K120" s="17">
        <v>0</v>
      </c>
      <c r="L120" s="17">
        <v>0</v>
      </c>
      <c r="M120" s="17">
        <v>0</v>
      </c>
      <c r="N120" s="17">
        <v>0</v>
      </c>
      <c r="O120" s="17">
        <v>0</v>
      </c>
      <c r="P120" s="17">
        <v>0</v>
      </c>
      <c r="Q120" s="17">
        <v>0</v>
      </c>
      <c r="R120" s="17">
        <v>0</v>
      </c>
      <c r="S120" s="17">
        <v>0</v>
      </c>
      <c r="T120" s="17">
        <v>0</v>
      </c>
      <c r="U120" s="17">
        <v>0</v>
      </c>
      <c r="V120" s="17">
        <v>0</v>
      </c>
      <c r="W120" s="17">
        <v>0</v>
      </c>
      <c r="X120" s="17">
        <v>5</v>
      </c>
      <c r="Y120" s="17">
        <v>12</v>
      </c>
      <c r="Z120" s="17">
        <v>19</v>
      </c>
      <c r="AA120" s="17">
        <v>22</v>
      </c>
      <c r="AB120" s="17">
        <v>26</v>
      </c>
      <c r="AC120" s="17">
        <v>42</v>
      </c>
      <c r="AD120" s="17">
        <v>63</v>
      </c>
      <c r="AE120" s="17">
        <v>85</v>
      </c>
      <c r="AF120" s="17">
        <v>110</v>
      </c>
      <c r="AG120" s="17">
        <v>148</v>
      </c>
      <c r="AH120" s="17">
        <v>177</v>
      </c>
      <c r="AI120" s="17">
        <v>203</v>
      </c>
      <c r="AJ120" s="17">
        <v>254</v>
      </c>
      <c r="AK120" s="17">
        <v>284</v>
      </c>
      <c r="AL120" s="17">
        <v>315</v>
      </c>
      <c r="AM120" s="17">
        <v>372</v>
      </c>
      <c r="AN120" s="17">
        <v>435</v>
      </c>
      <c r="AO120" s="17">
        <v>513</v>
      </c>
      <c r="AP120" s="17">
        <v>618</v>
      </c>
      <c r="AQ120" s="17">
        <v>739</v>
      </c>
      <c r="AR120" s="17">
        <v>826</v>
      </c>
      <c r="AS120" s="17">
        <v>939</v>
      </c>
      <c r="AT120" s="17">
        <v>1028</v>
      </c>
      <c r="AU120" s="17">
        <v>1137</v>
      </c>
      <c r="AV120" s="17">
        <v>1253</v>
      </c>
      <c r="AW120" s="17">
        <v>1399</v>
      </c>
      <c r="AX120" s="17">
        <v>1608</v>
      </c>
      <c r="AY120" s="17">
        <v>1839</v>
      </c>
      <c r="AZ120" s="17">
        <v>2094</v>
      </c>
      <c r="BA120" s="17">
        <v>2400</v>
      </c>
      <c r="BB120" s="17">
        <v>2733</v>
      </c>
      <c r="BC120" s="17">
        <v>3028</v>
      </c>
      <c r="BD120" s="17">
        <v>3396</v>
      </c>
      <c r="BE120" s="17">
        <v>3773</v>
      </c>
      <c r="BF120" s="17">
        <v>4104</v>
      </c>
      <c r="BG120" s="17">
        <v>4429</v>
      </c>
      <c r="BH120" s="17">
        <v>4691</v>
      </c>
      <c r="BI120" s="17">
        <v>4962</v>
      </c>
      <c r="BJ120" s="17">
        <v>5298</v>
      </c>
      <c r="BK120" s="17">
        <v>5593</v>
      </c>
      <c r="BL120" s="17">
        <v>5863</v>
      </c>
      <c r="BM120" s="17">
        <v>6180</v>
      </c>
      <c r="BN120" s="17">
        <v>6507</v>
      </c>
      <c r="BO120" s="17">
        <v>6811</v>
      </c>
      <c r="BP120" s="17">
        <v>7083</v>
      </c>
      <c r="BQ120" s="17">
        <v>7394</v>
      </c>
      <c r="BR120" s="17">
        <v>7654</v>
      </c>
      <c r="BS120" s="17">
        <v>7875</v>
      </c>
      <c r="BT120" s="17">
        <v>8092</v>
      </c>
      <c r="BU120" s="17">
        <v>8256</v>
      </c>
      <c r="BV120" s="17">
        <v>8401</v>
      </c>
      <c r="BW120" s="17">
        <v>8491</v>
      </c>
      <c r="BX120" s="17">
        <v>8575</v>
      </c>
      <c r="BY120" s="17">
        <v>8635</v>
      </c>
      <c r="BZ120" s="17">
        <v>8683</v>
      </c>
      <c r="CA120" s="17">
        <v>8719</v>
      </c>
      <c r="CB120" s="17">
        <v>8747</v>
      </c>
      <c r="CC120" s="17">
        <v>8760</v>
      </c>
      <c r="CD120" s="17">
        <v>8760</v>
      </c>
      <c r="CE120" s="17">
        <v>8760</v>
      </c>
      <c r="CF120" s="17">
        <v>8760</v>
      </c>
      <c r="CG120" s="17">
        <v>8760</v>
      </c>
      <c r="CH120" s="17">
        <v>8760</v>
      </c>
      <c r="CI120" s="17">
        <v>8760</v>
      </c>
      <c r="CJ120" s="17">
        <v>8760</v>
      </c>
      <c r="CK120" s="17">
        <v>8760</v>
      </c>
      <c r="CL120" s="17">
        <v>8760</v>
      </c>
      <c r="CM120" s="17">
        <v>8760</v>
      </c>
      <c r="CN120" s="17">
        <v>8760</v>
      </c>
      <c r="CO120" s="17">
        <v>8760</v>
      </c>
      <c r="CP120" s="17">
        <v>8760</v>
      </c>
      <c r="CQ120" s="17">
        <v>8760</v>
      </c>
      <c r="CR120" s="17">
        <v>8760</v>
      </c>
      <c r="CS120" s="17">
        <v>8760</v>
      </c>
      <c r="CT120" s="17">
        <v>8760</v>
      </c>
      <c r="CU120" s="17">
        <v>8760</v>
      </c>
      <c r="CV120" s="17">
        <v>8760</v>
      </c>
      <c r="CW120" s="17">
        <v>8760</v>
      </c>
      <c r="CX120" s="17">
        <v>8760</v>
      </c>
      <c r="CY120" s="17">
        <v>8760</v>
      </c>
      <c r="CZ120" s="17">
        <v>8760</v>
      </c>
      <c r="DA120" s="17">
        <v>8760</v>
      </c>
      <c r="DB120" s="17">
        <v>8760</v>
      </c>
    </row>
    <row r="121" spans="1:106" s="17" customFormat="1" x14ac:dyDescent="0.25">
      <c r="A121" s="22" t="s">
        <v>139</v>
      </c>
      <c r="B121" s="17" t="s">
        <v>383</v>
      </c>
      <c r="C121" s="17" t="s">
        <v>438</v>
      </c>
      <c r="D121" s="17" t="s">
        <v>629</v>
      </c>
      <c r="E121" s="17" t="s">
        <v>630</v>
      </c>
      <c r="F121" s="17">
        <v>102626</v>
      </c>
      <c r="G121" s="17">
        <v>0</v>
      </c>
      <c r="H121" s="17">
        <v>0</v>
      </c>
      <c r="I121" s="17">
        <v>0</v>
      </c>
      <c r="J121" s="17">
        <v>0</v>
      </c>
      <c r="K121" s="17">
        <v>0</v>
      </c>
      <c r="L121" s="17">
        <v>0</v>
      </c>
      <c r="M121" s="17">
        <v>0</v>
      </c>
      <c r="N121" s="17">
        <v>0</v>
      </c>
      <c r="O121" s="17">
        <v>0</v>
      </c>
      <c r="P121" s="17">
        <v>0</v>
      </c>
      <c r="Q121" s="17">
        <v>0</v>
      </c>
      <c r="R121" s="17">
        <v>0</v>
      </c>
      <c r="S121" s="17">
        <v>0</v>
      </c>
      <c r="T121" s="17">
        <v>0</v>
      </c>
      <c r="U121" s="17">
        <v>0</v>
      </c>
      <c r="V121" s="17">
        <v>0</v>
      </c>
      <c r="W121" s="17">
        <v>0</v>
      </c>
      <c r="X121" s="17">
        <v>0</v>
      </c>
      <c r="Y121" s="17">
        <v>0</v>
      </c>
      <c r="Z121" s="17">
        <v>0</v>
      </c>
      <c r="AA121" s="17">
        <v>0</v>
      </c>
      <c r="AB121" s="17">
        <v>0</v>
      </c>
      <c r="AC121" s="17">
        <v>0</v>
      </c>
      <c r="AD121" s="17">
        <v>0</v>
      </c>
      <c r="AE121" s="17">
        <v>0</v>
      </c>
      <c r="AF121" s="17">
        <v>0</v>
      </c>
      <c r="AG121" s="17">
        <v>0</v>
      </c>
      <c r="AH121" s="17">
        <v>0</v>
      </c>
      <c r="AI121" s="17">
        <v>0</v>
      </c>
      <c r="AJ121" s="17">
        <v>0</v>
      </c>
      <c r="AK121" s="17">
        <v>0</v>
      </c>
      <c r="AL121" s="17">
        <v>0</v>
      </c>
      <c r="AM121" s="17">
        <v>0</v>
      </c>
      <c r="AN121" s="17">
        <v>0</v>
      </c>
      <c r="AO121" s="17">
        <v>6</v>
      </c>
      <c r="AP121" s="17">
        <v>12</v>
      </c>
      <c r="AQ121" s="17">
        <v>23</v>
      </c>
      <c r="AR121" s="17">
        <v>43</v>
      </c>
      <c r="AS121" s="17">
        <v>71</v>
      </c>
      <c r="AT121" s="17">
        <v>101</v>
      </c>
      <c r="AU121" s="17">
        <v>153</v>
      </c>
      <c r="AV121" s="17">
        <v>214</v>
      </c>
      <c r="AW121" s="17">
        <v>308</v>
      </c>
      <c r="AX121" s="17">
        <v>401</v>
      </c>
      <c r="AY121" s="17">
        <v>531</v>
      </c>
      <c r="AZ121" s="17">
        <v>679</v>
      </c>
      <c r="BA121" s="17">
        <v>807</v>
      </c>
      <c r="BB121" s="17">
        <v>1014</v>
      </c>
      <c r="BC121" s="17">
        <v>1270</v>
      </c>
      <c r="BD121" s="17">
        <v>1597</v>
      </c>
      <c r="BE121" s="17">
        <v>2101</v>
      </c>
      <c r="BF121" s="17">
        <v>2556</v>
      </c>
      <c r="BG121" s="17">
        <v>2976</v>
      </c>
      <c r="BH121" s="17">
        <v>3328</v>
      </c>
      <c r="BI121" s="17">
        <v>3753</v>
      </c>
      <c r="BJ121" s="17">
        <v>4200</v>
      </c>
      <c r="BK121" s="17">
        <v>4564</v>
      </c>
      <c r="BL121" s="17">
        <v>4888</v>
      </c>
      <c r="BM121" s="17">
        <v>5168</v>
      </c>
      <c r="BN121" s="17">
        <v>5465</v>
      </c>
      <c r="BO121" s="17">
        <v>5742</v>
      </c>
      <c r="BP121" s="17">
        <v>6078</v>
      </c>
      <c r="BQ121" s="17">
        <v>6402</v>
      </c>
      <c r="BR121" s="17">
        <v>6771</v>
      </c>
      <c r="BS121" s="17">
        <v>7177</v>
      </c>
      <c r="BT121" s="17">
        <v>7465</v>
      </c>
      <c r="BU121" s="17">
        <v>7749</v>
      </c>
      <c r="BV121" s="17">
        <v>7990</v>
      </c>
      <c r="BW121" s="17">
        <v>8178</v>
      </c>
      <c r="BX121" s="17">
        <v>8325</v>
      </c>
      <c r="BY121" s="17">
        <v>8457</v>
      </c>
      <c r="BZ121" s="17">
        <v>8569</v>
      </c>
      <c r="CA121" s="17">
        <v>8632</v>
      </c>
      <c r="CB121" s="17">
        <v>8683</v>
      </c>
      <c r="CC121" s="17">
        <v>8712</v>
      </c>
      <c r="CD121" s="17">
        <v>8735</v>
      </c>
      <c r="CE121" s="17">
        <v>8742</v>
      </c>
      <c r="CF121" s="17">
        <v>8748</v>
      </c>
      <c r="CG121" s="17">
        <v>8753</v>
      </c>
      <c r="CH121" s="17">
        <v>8757</v>
      </c>
      <c r="CI121" s="17">
        <v>8760</v>
      </c>
      <c r="CJ121" s="17">
        <v>8760</v>
      </c>
      <c r="CK121" s="17">
        <v>8760</v>
      </c>
      <c r="CL121" s="17">
        <v>8760</v>
      </c>
      <c r="CM121" s="17">
        <v>8760</v>
      </c>
      <c r="CN121" s="17">
        <v>8760</v>
      </c>
      <c r="CO121" s="17">
        <v>8760</v>
      </c>
      <c r="CP121" s="17">
        <v>8760</v>
      </c>
      <c r="CQ121" s="17">
        <v>8760</v>
      </c>
      <c r="CR121" s="17">
        <v>8760</v>
      </c>
      <c r="CS121" s="17">
        <v>8760</v>
      </c>
      <c r="CT121" s="17">
        <v>8760</v>
      </c>
      <c r="CU121" s="17">
        <v>8760</v>
      </c>
      <c r="CV121" s="17">
        <v>8760</v>
      </c>
      <c r="CW121" s="17">
        <v>8760</v>
      </c>
      <c r="CX121" s="17">
        <v>8760</v>
      </c>
      <c r="CY121" s="17">
        <v>8760</v>
      </c>
      <c r="CZ121" s="17">
        <v>8760</v>
      </c>
      <c r="DA121" s="17">
        <v>8760</v>
      </c>
      <c r="DB121" s="17">
        <v>8760</v>
      </c>
    </row>
    <row r="122" spans="1:106" s="17" customFormat="1" x14ac:dyDescent="0.25">
      <c r="A122" s="22" t="s">
        <v>140</v>
      </c>
      <c r="B122" s="17" t="s">
        <v>385</v>
      </c>
    </row>
    <row r="123" spans="1:106" s="17" customFormat="1" x14ac:dyDescent="0.25">
      <c r="A123" s="22" t="s">
        <v>141</v>
      </c>
      <c r="B123" s="17" t="s">
        <v>384</v>
      </c>
      <c r="C123" s="17" t="s">
        <v>438</v>
      </c>
      <c r="D123" s="17" t="s">
        <v>631</v>
      </c>
      <c r="E123" s="17" t="s">
        <v>632</v>
      </c>
      <c r="F123" s="17">
        <v>102320</v>
      </c>
      <c r="G123" s="17">
        <v>0</v>
      </c>
      <c r="H123" s="17">
        <v>0</v>
      </c>
      <c r="I123" s="17">
        <v>0</v>
      </c>
      <c r="J123" s="17">
        <v>0</v>
      </c>
      <c r="K123" s="17">
        <v>0</v>
      </c>
      <c r="L123" s="17">
        <v>0</v>
      </c>
      <c r="M123" s="17">
        <v>0</v>
      </c>
      <c r="N123" s="17">
        <v>0</v>
      </c>
      <c r="O123" s="17">
        <v>0</v>
      </c>
      <c r="P123" s="17">
        <v>0</v>
      </c>
      <c r="Q123" s="17">
        <v>0</v>
      </c>
      <c r="R123" s="17">
        <v>0</v>
      </c>
      <c r="S123" s="17">
        <v>0</v>
      </c>
      <c r="T123" s="17">
        <v>0</v>
      </c>
      <c r="U123" s="17">
        <v>0</v>
      </c>
      <c r="V123" s="17">
        <v>0</v>
      </c>
      <c r="W123" s="17">
        <v>0</v>
      </c>
      <c r="X123" s="17">
        <v>0</v>
      </c>
      <c r="Y123" s="17">
        <v>0</v>
      </c>
      <c r="Z123" s="17">
        <v>0</v>
      </c>
      <c r="AA123" s="17">
        <v>0</v>
      </c>
      <c r="AB123" s="17">
        <v>0</v>
      </c>
      <c r="AC123" s="17">
        <v>0</v>
      </c>
      <c r="AD123" s="17">
        <v>0</v>
      </c>
      <c r="AE123" s="17">
        <v>0</v>
      </c>
      <c r="AF123" s="17">
        <v>0</v>
      </c>
      <c r="AG123" s="17">
        <v>0</v>
      </c>
      <c r="AH123" s="17">
        <v>0</v>
      </c>
      <c r="AI123" s="17">
        <v>0</v>
      </c>
      <c r="AJ123" s="17">
        <v>0</v>
      </c>
      <c r="AK123" s="17">
        <v>0</v>
      </c>
      <c r="AL123" s="17">
        <v>3</v>
      </c>
      <c r="AM123" s="17">
        <v>16</v>
      </c>
      <c r="AN123" s="17">
        <v>23</v>
      </c>
      <c r="AO123" s="17">
        <v>34</v>
      </c>
      <c r="AP123" s="17">
        <v>45</v>
      </c>
      <c r="AQ123" s="17">
        <v>63</v>
      </c>
      <c r="AR123" s="17">
        <v>79</v>
      </c>
      <c r="AS123" s="17">
        <v>116</v>
      </c>
      <c r="AT123" s="17">
        <v>173</v>
      </c>
      <c r="AU123" s="17">
        <v>226</v>
      </c>
      <c r="AV123" s="17">
        <v>287</v>
      </c>
      <c r="AW123" s="17">
        <v>376</v>
      </c>
      <c r="AX123" s="17">
        <v>506</v>
      </c>
      <c r="AY123" s="17">
        <v>671</v>
      </c>
      <c r="AZ123" s="17">
        <v>813</v>
      </c>
      <c r="BA123" s="17">
        <v>979</v>
      </c>
      <c r="BB123" s="17">
        <v>1210</v>
      </c>
      <c r="BC123" s="17">
        <v>1505</v>
      </c>
      <c r="BD123" s="17">
        <v>1870</v>
      </c>
      <c r="BE123" s="17">
        <v>2214</v>
      </c>
      <c r="BF123" s="17">
        <v>2565</v>
      </c>
      <c r="BG123" s="17">
        <v>2917</v>
      </c>
      <c r="BH123" s="17">
        <v>3329</v>
      </c>
      <c r="BI123" s="17">
        <v>3746</v>
      </c>
      <c r="BJ123" s="17">
        <v>4146</v>
      </c>
      <c r="BK123" s="17">
        <v>4541</v>
      </c>
      <c r="BL123" s="17">
        <v>4949</v>
      </c>
      <c r="BM123" s="17">
        <v>5335</v>
      </c>
      <c r="BN123" s="17">
        <v>5752</v>
      </c>
      <c r="BO123" s="17">
        <v>6166</v>
      </c>
      <c r="BP123" s="17">
        <v>6516</v>
      </c>
      <c r="BQ123" s="17">
        <v>6896</v>
      </c>
      <c r="BR123" s="17">
        <v>7262</v>
      </c>
      <c r="BS123" s="17">
        <v>7593</v>
      </c>
      <c r="BT123" s="17">
        <v>7859</v>
      </c>
      <c r="BU123" s="17">
        <v>8072</v>
      </c>
      <c r="BV123" s="17">
        <v>8242</v>
      </c>
      <c r="BW123" s="17">
        <v>8382</v>
      </c>
      <c r="BX123" s="17">
        <v>8486</v>
      </c>
      <c r="BY123" s="17">
        <v>8571</v>
      </c>
      <c r="BZ123" s="17">
        <v>8642</v>
      </c>
      <c r="CA123" s="17">
        <v>8681</v>
      </c>
      <c r="CB123" s="17">
        <v>8702</v>
      </c>
      <c r="CC123" s="17">
        <v>8724</v>
      </c>
      <c r="CD123" s="17">
        <v>8737</v>
      </c>
      <c r="CE123" s="17">
        <v>8753</v>
      </c>
      <c r="CF123" s="17">
        <v>8759</v>
      </c>
      <c r="CG123" s="17">
        <v>8760</v>
      </c>
      <c r="CH123" s="17">
        <v>8760</v>
      </c>
      <c r="CI123" s="17">
        <v>8760</v>
      </c>
      <c r="CJ123" s="17">
        <v>8760</v>
      </c>
      <c r="CK123" s="17">
        <v>8760</v>
      </c>
      <c r="CL123" s="17">
        <v>8760</v>
      </c>
      <c r="CM123" s="17">
        <v>8760</v>
      </c>
      <c r="CN123" s="17">
        <v>8760</v>
      </c>
      <c r="CO123" s="17">
        <v>8760</v>
      </c>
      <c r="CP123" s="17">
        <v>8760</v>
      </c>
      <c r="CQ123" s="17">
        <v>8760</v>
      </c>
      <c r="CR123" s="17">
        <v>8760</v>
      </c>
      <c r="CS123" s="17">
        <v>8760</v>
      </c>
      <c r="CT123" s="17">
        <v>8760</v>
      </c>
      <c r="CU123" s="17">
        <v>8760</v>
      </c>
      <c r="CV123" s="17">
        <v>8760</v>
      </c>
      <c r="CW123" s="17">
        <v>8760</v>
      </c>
      <c r="CX123" s="17">
        <v>8760</v>
      </c>
      <c r="CY123" s="17">
        <v>8760</v>
      </c>
      <c r="CZ123" s="17">
        <v>8760</v>
      </c>
      <c r="DA123" s="17">
        <v>8760</v>
      </c>
      <c r="DB123" s="17">
        <v>8760</v>
      </c>
    </row>
    <row r="124" spans="1:106" s="17" customFormat="1" x14ac:dyDescent="0.25">
      <c r="A124" s="22" t="s">
        <v>142</v>
      </c>
      <c r="B124" s="17" t="s">
        <v>136</v>
      </c>
      <c r="C124" s="17" t="s">
        <v>438</v>
      </c>
      <c r="D124" s="17" t="s">
        <v>633</v>
      </c>
      <c r="E124" s="17" t="s">
        <v>634</v>
      </c>
      <c r="F124" s="17">
        <v>102017</v>
      </c>
      <c r="G124" s="17">
        <v>0</v>
      </c>
      <c r="H124" s="17">
        <v>0</v>
      </c>
      <c r="I124" s="17">
        <v>0</v>
      </c>
      <c r="J124" s="17">
        <v>0</v>
      </c>
      <c r="K124" s="17">
        <v>0</v>
      </c>
      <c r="L124" s="17">
        <v>0</v>
      </c>
      <c r="M124" s="17">
        <v>0</v>
      </c>
      <c r="N124" s="17">
        <v>0</v>
      </c>
      <c r="O124" s="17">
        <v>0</v>
      </c>
      <c r="P124" s="17">
        <v>0</v>
      </c>
      <c r="Q124" s="17">
        <v>0</v>
      </c>
      <c r="R124" s="17">
        <v>0</v>
      </c>
      <c r="S124" s="17">
        <v>0</v>
      </c>
      <c r="T124" s="17">
        <v>0</v>
      </c>
      <c r="U124" s="17">
        <v>0</v>
      </c>
      <c r="V124" s="17">
        <v>0</v>
      </c>
      <c r="W124" s="17">
        <v>0</v>
      </c>
      <c r="X124" s="17">
        <v>0</v>
      </c>
      <c r="Y124" s="17">
        <v>0</v>
      </c>
      <c r="Z124" s="17">
        <v>0</v>
      </c>
      <c r="AA124" s="17">
        <v>0</v>
      </c>
      <c r="AB124" s="17">
        <v>5</v>
      </c>
      <c r="AC124" s="17">
        <v>10</v>
      </c>
      <c r="AD124" s="17">
        <v>23</v>
      </c>
      <c r="AE124" s="17">
        <v>44</v>
      </c>
      <c r="AF124" s="17">
        <v>63</v>
      </c>
      <c r="AG124" s="17">
        <v>76</v>
      </c>
      <c r="AH124" s="17">
        <v>101</v>
      </c>
      <c r="AI124" s="17">
        <v>125</v>
      </c>
      <c r="AJ124" s="17">
        <v>170</v>
      </c>
      <c r="AK124" s="17">
        <v>224</v>
      </c>
      <c r="AL124" s="17">
        <v>270</v>
      </c>
      <c r="AM124" s="17">
        <v>321</v>
      </c>
      <c r="AN124" s="17">
        <v>384</v>
      </c>
      <c r="AO124" s="17">
        <v>463</v>
      </c>
      <c r="AP124" s="17">
        <v>569</v>
      </c>
      <c r="AQ124" s="17">
        <v>679</v>
      </c>
      <c r="AR124" s="17">
        <v>791</v>
      </c>
      <c r="AS124" s="17">
        <v>928</v>
      </c>
      <c r="AT124" s="17">
        <v>1093</v>
      </c>
      <c r="AU124" s="17">
        <v>1252</v>
      </c>
      <c r="AV124" s="17">
        <v>1418</v>
      </c>
      <c r="AW124" s="17">
        <v>1615</v>
      </c>
      <c r="AX124" s="17">
        <v>1819</v>
      </c>
      <c r="AY124" s="17">
        <v>2031</v>
      </c>
      <c r="AZ124" s="17">
        <v>2270</v>
      </c>
      <c r="BA124" s="17">
        <v>2565</v>
      </c>
      <c r="BB124" s="17">
        <v>2937</v>
      </c>
      <c r="BC124" s="17">
        <v>3287</v>
      </c>
      <c r="BD124" s="17">
        <v>3712</v>
      </c>
      <c r="BE124" s="17">
        <v>4169</v>
      </c>
      <c r="BF124" s="17">
        <v>4530</v>
      </c>
      <c r="BG124" s="17">
        <v>4855</v>
      </c>
      <c r="BH124" s="17">
        <v>5078</v>
      </c>
      <c r="BI124" s="17">
        <v>5276</v>
      </c>
      <c r="BJ124" s="17">
        <v>5515</v>
      </c>
      <c r="BK124" s="17">
        <v>5756</v>
      </c>
      <c r="BL124" s="17">
        <v>6012</v>
      </c>
      <c r="BM124" s="17">
        <v>6249</v>
      </c>
      <c r="BN124" s="17">
        <v>6518</v>
      </c>
      <c r="BO124" s="17">
        <v>6729</v>
      </c>
      <c r="BP124" s="17">
        <v>6970</v>
      </c>
      <c r="BQ124" s="17">
        <v>7256</v>
      </c>
      <c r="BR124" s="17">
        <v>7514</v>
      </c>
      <c r="BS124" s="17">
        <v>7772</v>
      </c>
      <c r="BT124" s="17">
        <v>8021</v>
      </c>
      <c r="BU124" s="17">
        <v>8233</v>
      </c>
      <c r="BV124" s="17">
        <v>8387</v>
      </c>
      <c r="BW124" s="17">
        <v>8514</v>
      </c>
      <c r="BX124" s="17">
        <v>8593</v>
      </c>
      <c r="BY124" s="17">
        <v>8644</v>
      </c>
      <c r="BZ124" s="17">
        <v>8685</v>
      </c>
      <c r="CA124" s="17">
        <v>8711</v>
      </c>
      <c r="CB124" s="17">
        <v>8736</v>
      </c>
      <c r="CC124" s="17">
        <v>8749</v>
      </c>
      <c r="CD124" s="17">
        <v>8759</v>
      </c>
      <c r="CE124" s="17">
        <v>8760</v>
      </c>
      <c r="CF124" s="17">
        <v>8760</v>
      </c>
      <c r="CG124" s="17">
        <v>8760</v>
      </c>
      <c r="CH124" s="17">
        <v>8760</v>
      </c>
      <c r="CI124" s="17">
        <v>8760</v>
      </c>
      <c r="CJ124" s="17">
        <v>8760</v>
      </c>
      <c r="CK124" s="17">
        <v>8760</v>
      </c>
      <c r="CL124" s="17">
        <v>8760</v>
      </c>
      <c r="CM124" s="17">
        <v>8760</v>
      </c>
      <c r="CN124" s="17">
        <v>8760</v>
      </c>
      <c r="CO124" s="17">
        <v>8760</v>
      </c>
      <c r="CP124" s="17">
        <v>8760</v>
      </c>
      <c r="CQ124" s="17">
        <v>8760</v>
      </c>
      <c r="CR124" s="17">
        <v>8760</v>
      </c>
      <c r="CS124" s="17">
        <v>8760</v>
      </c>
      <c r="CT124" s="17">
        <v>8760</v>
      </c>
      <c r="CU124" s="17">
        <v>8760</v>
      </c>
      <c r="CV124" s="17">
        <v>8760</v>
      </c>
      <c r="CW124" s="17">
        <v>8760</v>
      </c>
      <c r="CX124" s="17">
        <v>8760</v>
      </c>
      <c r="CY124" s="17">
        <v>8760</v>
      </c>
      <c r="CZ124" s="17">
        <v>8760</v>
      </c>
      <c r="DA124" s="17">
        <v>8760</v>
      </c>
      <c r="DB124" s="17">
        <v>8760</v>
      </c>
    </row>
    <row r="125" spans="1:106" s="17" customFormat="1" x14ac:dyDescent="0.25">
      <c r="A125" s="22" t="s">
        <v>143</v>
      </c>
      <c r="B125" s="17" t="s">
        <v>390</v>
      </c>
    </row>
    <row r="126" spans="1:106" s="17" customFormat="1" x14ac:dyDescent="0.25">
      <c r="A126" s="22" t="s">
        <v>144</v>
      </c>
      <c r="B126" s="17" t="s">
        <v>137</v>
      </c>
      <c r="C126" s="17" t="s">
        <v>438</v>
      </c>
      <c r="D126" s="17" t="s">
        <v>635</v>
      </c>
      <c r="E126" s="17" t="s">
        <v>636</v>
      </c>
      <c r="F126" s="17">
        <v>102307</v>
      </c>
      <c r="G126" s="17">
        <v>0</v>
      </c>
      <c r="H126" s="17">
        <v>0</v>
      </c>
      <c r="I126" s="17">
        <v>0</v>
      </c>
      <c r="J126" s="17">
        <v>0</v>
      </c>
      <c r="K126" s="17">
        <v>0</v>
      </c>
      <c r="L126" s="17">
        <v>0</v>
      </c>
      <c r="M126" s="17">
        <v>0</v>
      </c>
      <c r="N126" s="17">
        <v>0</v>
      </c>
      <c r="O126" s="17">
        <v>0</v>
      </c>
      <c r="P126" s="17">
        <v>0</v>
      </c>
      <c r="Q126" s="17">
        <v>0</v>
      </c>
      <c r="R126" s="17">
        <v>0</v>
      </c>
      <c r="S126" s="17">
        <v>0</v>
      </c>
      <c r="T126" s="17">
        <v>0</v>
      </c>
      <c r="U126" s="17">
        <v>0</v>
      </c>
      <c r="V126" s="17">
        <v>0</v>
      </c>
      <c r="W126" s="17">
        <v>0</v>
      </c>
      <c r="X126" s="17">
        <v>0</v>
      </c>
      <c r="Y126" s="17">
        <v>0</v>
      </c>
      <c r="Z126" s="17">
        <v>0</v>
      </c>
      <c r="AA126" s="17">
        <v>0</v>
      </c>
      <c r="AB126" s="17">
        <v>0</v>
      </c>
      <c r="AC126" s="17">
        <v>0</v>
      </c>
      <c r="AD126" s="17">
        <v>0</v>
      </c>
      <c r="AE126" s="17">
        <v>0</v>
      </c>
      <c r="AF126" s="17">
        <v>0</v>
      </c>
      <c r="AG126" s="17">
        <v>0</v>
      </c>
      <c r="AH126" s="17">
        <v>0</v>
      </c>
      <c r="AI126" s="17">
        <v>0</v>
      </c>
      <c r="AJ126" s="17">
        <v>0</v>
      </c>
      <c r="AK126" s="17">
        <v>0</v>
      </c>
      <c r="AL126" s="17">
        <v>0</v>
      </c>
      <c r="AM126" s="17">
        <v>0</v>
      </c>
      <c r="AN126" s="17">
        <v>0</v>
      </c>
      <c r="AO126" s="17">
        <v>0</v>
      </c>
      <c r="AP126" s="17">
        <v>2</v>
      </c>
      <c r="AQ126" s="17">
        <v>10</v>
      </c>
      <c r="AR126" s="17">
        <v>18</v>
      </c>
      <c r="AS126" s="17">
        <v>27</v>
      </c>
      <c r="AT126" s="17">
        <v>47</v>
      </c>
      <c r="AU126" s="17">
        <v>72</v>
      </c>
      <c r="AV126" s="17">
        <v>99</v>
      </c>
      <c r="AW126" s="17">
        <v>135</v>
      </c>
      <c r="AX126" s="17">
        <v>178</v>
      </c>
      <c r="AY126" s="17">
        <v>233</v>
      </c>
      <c r="AZ126" s="17">
        <v>295</v>
      </c>
      <c r="BA126" s="17">
        <v>400</v>
      </c>
      <c r="BB126" s="17">
        <v>557</v>
      </c>
      <c r="BC126" s="17">
        <v>799</v>
      </c>
      <c r="BD126" s="17">
        <v>1073</v>
      </c>
      <c r="BE126" s="17">
        <v>1449</v>
      </c>
      <c r="BF126" s="17">
        <v>1903</v>
      </c>
      <c r="BG126" s="17">
        <v>2356</v>
      </c>
      <c r="BH126" s="17">
        <v>2881</v>
      </c>
      <c r="BI126" s="17">
        <v>3347</v>
      </c>
      <c r="BJ126" s="17">
        <v>3784</v>
      </c>
      <c r="BK126" s="17">
        <v>4150</v>
      </c>
      <c r="BL126" s="17">
        <v>4492</v>
      </c>
      <c r="BM126" s="17">
        <v>4803</v>
      </c>
      <c r="BN126" s="17">
        <v>5134</v>
      </c>
      <c r="BO126" s="17">
        <v>5494</v>
      </c>
      <c r="BP126" s="17">
        <v>5854</v>
      </c>
      <c r="BQ126" s="17">
        <v>6261</v>
      </c>
      <c r="BR126" s="17">
        <v>6677</v>
      </c>
      <c r="BS126" s="17">
        <v>7064</v>
      </c>
      <c r="BT126" s="17">
        <v>7389</v>
      </c>
      <c r="BU126" s="17">
        <v>7674</v>
      </c>
      <c r="BV126" s="17">
        <v>7954</v>
      </c>
      <c r="BW126" s="17">
        <v>8192</v>
      </c>
      <c r="BX126" s="17">
        <v>8366</v>
      </c>
      <c r="BY126" s="17">
        <v>8480</v>
      </c>
      <c r="BZ126" s="17">
        <v>8548</v>
      </c>
      <c r="CA126" s="17">
        <v>8599</v>
      </c>
      <c r="CB126" s="17">
        <v>8647</v>
      </c>
      <c r="CC126" s="17">
        <v>8688</v>
      </c>
      <c r="CD126" s="17">
        <v>8722</v>
      </c>
      <c r="CE126" s="17">
        <v>8753</v>
      </c>
      <c r="CF126" s="17">
        <v>8759</v>
      </c>
      <c r="CG126" s="17">
        <v>8760</v>
      </c>
      <c r="CH126" s="17">
        <v>8760</v>
      </c>
      <c r="CI126" s="17">
        <v>8760</v>
      </c>
      <c r="CJ126" s="17">
        <v>8760</v>
      </c>
      <c r="CK126" s="17">
        <v>8760</v>
      </c>
      <c r="CL126" s="17">
        <v>8760</v>
      </c>
      <c r="CM126" s="17">
        <v>8760</v>
      </c>
      <c r="CN126" s="17">
        <v>8760</v>
      </c>
      <c r="CO126" s="17">
        <v>8760</v>
      </c>
      <c r="CP126" s="17">
        <v>8760</v>
      </c>
      <c r="CQ126" s="17">
        <v>8760</v>
      </c>
      <c r="CR126" s="17">
        <v>8760</v>
      </c>
      <c r="CS126" s="17">
        <v>8760</v>
      </c>
      <c r="CT126" s="17">
        <v>8760</v>
      </c>
      <c r="CU126" s="17">
        <v>8760</v>
      </c>
      <c r="CV126" s="17">
        <v>8760</v>
      </c>
      <c r="CW126" s="17">
        <v>8760</v>
      </c>
      <c r="CX126" s="17">
        <v>8760</v>
      </c>
      <c r="CY126" s="17">
        <v>8760</v>
      </c>
      <c r="CZ126" s="17">
        <v>8760</v>
      </c>
      <c r="DA126" s="17">
        <v>8760</v>
      </c>
      <c r="DB126" s="17">
        <v>8760</v>
      </c>
    </row>
    <row r="127" spans="1:106" s="17" customFormat="1" x14ac:dyDescent="0.25">
      <c r="A127" s="22" t="s">
        <v>145</v>
      </c>
      <c r="B127" s="17" t="s">
        <v>138</v>
      </c>
      <c r="C127" s="17" t="s">
        <v>438</v>
      </c>
      <c r="D127" s="17" t="s">
        <v>637</v>
      </c>
      <c r="E127" s="17" t="s">
        <v>638</v>
      </c>
      <c r="F127" s="17">
        <v>102016</v>
      </c>
      <c r="G127" s="17">
        <v>0</v>
      </c>
      <c r="H127" s="17">
        <v>0</v>
      </c>
      <c r="I127" s="17">
        <v>0</v>
      </c>
      <c r="J127" s="17">
        <v>0</v>
      </c>
      <c r="K127" s="17">
        <v>0</v>
      </c>
      <c r="L127" s="17">
        <v>0</v>
      </c>
      <c r="M127" s="17">
        <v>0</v>
      </c>
      <c r="N127" s="17">
        <v>0</v>
      </c>
      <c r="O127" s="17">
        <v>0</v>
      </c>
      <c r="P127" s="17">
        <v>0</v>
      </c>
      <c r="Q127" s="17">
        <v>0</v>
      </c>
      <c r="R127" s="17">
        <v>0</v>
      </c>
      <c r="S127" s="17">
        <v>0</v>
      </c>
      <c r="T127" s="17">
        <v>0</v>
      </c>
      <c r="U127" s="17">
        <v>2</v>
      </c>
      <c r="V127" s="17">
        <v>20</v>
      </c>
      <c r="W127" s="17">
        <v>33</v>
      </c>
      <c r="X127" s="17">
        <v>58</v>
      </c>
      <c r="Y127" s="17">
        <v>92</v>
      </c>
      <c r="Z127" s="17">
        <v>120</v>
      </c>
      <c r="AA127" s="17">
        <v>143</v>
      </c>
      <c r="AB127" s="17">
        <v>161</v>
      </c>
      <c r="AC127" s="17">
        <v>189</v>
      </c>
      <c r="AD127" s="17">
        <v>220</v>
      </c>
      <c r="AE127" s="17">
        <v>261</v>
      </c>
      <c r="AF127" s="17">
        <v>299</v>
      </c>
      <c r="AG127" s="17">
        <v>356</v>
      </c>
      <c r="AH127" s="17">
        <v>418</v>
      </c>
      <c r="AI127" s="17">
        <v>474</v>
      </c>
      <c r="AJ127" s="17">
        <v>559</v>
      </c>
      <c r="AK127" s="17">
        <v>653</v>
      </c>
      <c r="AL127" s="17">
        <v>749</v>
      </c>
      <c r="AM127" s="17">
        <v>848</v>
      </c>
      <c r="AN127" s="17">
        <v>945</v>
      </c>
      <c r="AO127" s="17">
        <v>1062</v>
      </c>
      <c r="AP127" s="17">
        <v>1206</v>
      </c>
      <c r="AQ127" s="17">
        <v>1346</v>
      </c>
      <c r="AR127" s="17">
        <v>1513</v>
      </c>
      <c r="AS127" s="17">
        <v>1721</v>
      </c>
      <c r="AT127" s="17">
        <v>1918</v>
      </c>
      <c r="AU127" s="17">
        <v>2119</v>
      </c>
      <c r="AV127" s="17">
        <v>2341</v>
      </c>
      <c r="AW127" s="17">
        <v>2586</v>
      </c>
      <c r="AX127" s="17">
        <v>2809</v>
      </c>
      <c r="AY127" s="17">
        <v>2999</v>
      </c>
      <c r="AZ127" s="17">
        <v>3261</v>
      </c>
      <c r="BA127" s="17">
        <v>3508</v>
      </c>
      <c r="BB127" s="17">
        <v>3829</v>
      </c>
      <c r="BC127" s="17">
        <v>4093</v>
      </c>
      <c r="BD127" s="17">
        <v>4402</v>
      </c>
      <c r="BE127" s="17">
        <v>4772</v>
      </c>
      <c r="BF127" s="17">
        <v>5121</v>
      </c>
      <c r="BG127" s="17">
        <v>5426</v>
      </c>
      <c r="BH127" s="17">
        <v>5727</v>
      </c>
      <c r="BI127" s="17">
        <v>6018</v>
      </c>
      <c r="BJ127" s="17">
        <v>6316</v>
      </c>
      <c r="BK127" s="17">
        <v>6579</v>
      </c>
      <c r="BL127" s="17">
        <v>6814</v>
      </c>
      <c r="BM127" s="17">
        <v>7049</v>
      </c>
      <c r="BN127" s="17">
        <v>7282</v>
      </c>
      <c r="BO127" s="17">
        <v>7499</v>
      </c>
      <c r="BP127" s="17">
        <v>7737</v>
      </c>
      <c r="BQ127" s="17">
        <v>7965</v>
      </c>
      <c r="BR127" s="17">
        <v>8162</v>
      </c>
      <c r="BS127" s="17">
        <v>8309</v>
      </c>
      <c r="BT127" s="17">
        <v>8444</v>
      </c>
      <c r="BU127" s="17">
        <v>8548</v>
      </c>
      <c r="BV127" s="17">
        <v>8618</v>
      </c>
      <c r="BW127" s="17">
        <v>8676</v>
      </c>
      <c r="BX127" s="17">
        <v>8716</v>
      </c>
      <c r="BY127" s="17">
        <v>8737</v>
      </c>
      <c r="BZ127" s="17">
        <v>8743</v>
      </c>
      <c r="CA127" s="17">
        <v>8750</v>
      </c>
      <c r="CB127" s="17">
        <v>8755</v>
      </c>
      <c r="CC127" s="17">
        <v>8758</v>
      </c>
      <c r="CD127" s="17">
        <v>8759</v>
      </c>
      <c r="CE127" s="17">
        <v>8760</v>
      </c>
      <c r="CF127" s="17">
        <v>8760</v>
      </c>
      <c r="CG127" s="17">
        <v>8760</v>
      </c>
      <c r="CH127" s="17">
        <v>8760</v>
      </c>
      <c r="CI127" s="17">
        <v>8760</v>
      </c>
      <c r="CJ127" s="17">
        <v>8760</v>
      </c>
      <c r="CK127" s="17">
        <v>8760</v>
      </c>
      <c r="CL127" s="17">
        <v>8760</v>
      </c>
      <c r="CM127" s="17">
        <v>8760</v>
      </c>
      <c r="CN127" s="17">
        <v>8760</v>
      </c>
      <c r="CO127" s="17">
        <v>8760</v>
      </c>
      <c r="CP127" s="17">
        <v>8760</v>
      </c>
      <c r="CQ127" s="17">
        <v>8760</v>
      </c>
      <c r="CR127" s="17">
        <v>8760</v>
      </c>
      <c r="CS127" s="17">
        <v>8760</v>
      </c>
      <c r="CT127" s="17">
        <v>8760</v>
      </c>
      <c r="CU127" s="17">
        <v>8760</v>
      </c>
      <c r="CV127" s="17">
        <v>8760</v>
      </c>
      <c r="CW127" s="17">
        <v>8760</v>
      </c>
      <c r="CX127" s="17">
        <v>8760</v>
      </c>
      <c r="CY127" s="17">
        <v>8760</v>
      </c>
      <c r="CZ127" s="17">
        <v>8760</v>
      </c>
      <c r="DA127" s="17">
        <v>8760</v>
      </c>
      <c r="DB127" s="17">
        <v>8760</v>
      </c>
    </row>
    <row r="128" spans="1:106" s="17" customFormat="1" x14ac:dyDescent="0.25">
      <c r="A128" s="22" t="s">
        <v>146</v>
      </c>
      <c r="B128" s="17" t="s">
        <v>139</v>
      </c>
      <c r="C128" s="17" t="s">
        <v>438</v>
      </c>
      <c r="D128" s="17" t="s">
        <v>639</v>
      </c>
      <c r="E128" s="17" t="s">
        <v>640</v>
      </c>
      <c r="F128" s="17">
        <v>102218</v>
      </c>
      <c r="G128" s="17">
        <v>0</v>
      </c>
      <c r="H128" s="17">
        <v>0</v>
      </c>
      <c r="I128" s="17">
        <v>0</v>
      </c>
      <c r="J128" s="17">
        <v>0</v>
      </c>
      <c r="K128" s="17">
        <v>0</v>
      </c>
      <c r="L128" s="17">
        <v>0</v>
      </c>
      <c r="M128" s="17">
        <v>0</v>
      </c>
      <c r="N128" s="17">
        <v>0</v>
      </c>
      <c r="O128" s="17">
        <v>0</v>
      </c>
      <c r="P128" s="17">
        <v>0</v>
      </c>
      <c r="Q128" s="17">
        <v>0</v>
      </c>
      <c r="R128" s="17">
        <v>0</v>
      </c>
      <c r="S128" s="17">
        <v>0</v>
      </c>
      <c r="T128" s="17">
        <v>0</v>
      </c>
      <c r="U128" s="17">
        <v>0</v>
      </c>
      <c r="V128" s="17">
        <v>0</v>
      </c>
      <c r="W128" s="17">
        <v>0</v>
      </c>
      <c r="X128" s="17">
        <v>0</v>
      </c>
      <c r="Y128" s="17">
        <v>0</v>
      </c>
      <c r="Z128" s="17">
        <v>0</v>
      </c>
      <c r="AA128" s="17">
        <v>0</v>
      </c>
      <c r="AB128" s="17">
        <v>0</v>
      </c>
      <c r="AC128" s="17">
        <v>0</v>
      </c>
      <c r="AD128" s="17">
        <v>0</v>
      </c>
      <c r="AE128" s="17">
        <v>0</v>
      </c>
      <c r="AF128" s="17">
        <v>0</v>
      </c>
      <c r="AG128" s="17">
        <v>0</v>
      </c>
      <c r="AH128" s="17">
        <v>0</v>
      </c>
      <c r="AI128" s="17">
        <v>0</v>
      </c>
      <c r="AJ128" s="17">
        <v>4</v>
      </c>
      <c r="AK128" s="17">
        <v>5</v>
      </c>
      <c r="AL128" s="17">
        <v>15</v>
      </c>
      <c r="AM128" s="17">
        <v>22</v>
      </c>
      <c r="AN128" s="17">
        <v>26</v>
      </c>
      <c r="AO128" s="17">
        <v>39</v>
      </c>
      <c r="AP128" s="17">
        <v>41</v>
      </c>
      <c r="AQ128" s="17">
        <v>47</v>
      </c>
      <c r="AR128" s="17">
        <v>67</v>
      </c>
      <c r="AS128" s="17">
        <v>92</v>
      </c>
      <c r="AT128" s="17">
        <v>117</v>
      </c>
      <c r="AU128" s="17">
        <v>151</v>
      </c>
      <c r="AV128" s="17">
        <v>187</v>
      </c>
      <c r="AW128" s="17">
        <v>273</v>
      </c>
      <c r="AX128" s="17">
        <v>375</v>
      </c>
      <c r="AY128" s="17">
        <v>481</v>
      </c>
      <c r="AZ128" s="17">
        <v>594</v>
      </c>
      <c r="BA128" s="17">
        <v>744</v>
      </c>
      <c r="BB128" s="17">
        <v>1003</v>
      </c>
      <c r="BC128" s="17">
        <v>1370</v>
      </c>
      <c r="BD128" s="17">
        <v>1824</v>
      </c>
      <c r="BE128" s="17">
        <v>2287</v>
      </c>
      <c r="BF128" s="17">
        <v>2766</v>
      </c>
      <c r="BG128" s="17">
        <v>3144</v>
      </c>
      <c r="BH128" s="17">
        <v>3529</v>
      </c>
      <c r="BI128" s="17">
        <v>3891</v>
      </c>
      <c r="BJ128" s="17">
        <v>4190</v>
      </c>
      <c r="BK128" s="17">
        <v>4511</v>
      </c>
      <c r="BL128" s="17">
        <v>4848</v>
      </c>
      <c r="BM128" s="17">
        <v>5141</v>
      </c>
      <c r="BN128" s="17">
        <v>5486</v>
      </c>
      <c r="BO128" s="17">
        <v>5846</v>
      </c>
      <c r="BP128" s="17">
        <v>6257</v>
      </c>
      <c r="BQ128" s="17">
        <v>6637</v>
      </c>
      <c r="BR128" s="17">
        <v>7004</v>
      </c>
      <c r="BS128" s="17">
        <v>7386</v>
      </c>
      <c r="BT128" s="17">
        <v>7700</v>
      </c>
      <c r="BU128" s="17">
        <v>7945</v>
      </c>
      <c r="BV128" s="17">
        <v>8142</v>
      </c>
      <c r="BW128" s="17">
        <v>8294</v>
      </c>
      <c r="BX128" s="17">
        <v>8427</v>
      </c>
      <c r="BY128" s="17">
        <v>8541</v>
      </c>
      <c r="BZ128" s="17">
        <v>8619</v>
      </c>
      <c r="CA128" s="17">
        <v>8661</v>
      </c>
      <c r="CB128" s="17">
        <v>8691</v>
      </c>
      <c r="CC128" s="17">
        <v>8710</v>
      </c>
      <c r="CD128" s="17">
        <v>8740</v>
      </c>
      <c r="CE128" s="17">
        <v>8755</v>
      </c>
      <c r="CF128" s="17">
        <v>8758</v>
      </c>
      <c r="CG128" s="17">
        <v>8760</v>
      </c>
      <c r="CH128" s="17">
        <v>8760</v>
      </c>
      <c r="CI128" s="17">
        <v>8760</v>
      </c>
      <c r="CJ128" s="17">
        <v>8760</v>
      </c>
      <c r="CK128" s="17">
        <v>8760</v>
      </c>
      <c r="CL128" s="17">
        <v>8760</v>
      </c>
      <c r="CM128" s="17">
        <v>8760</v>
      </c>
      <c r="CN128" s="17">
        <v>8760</v>
      </c>
      <c r="CO128" s="17">
        <v>8760</v>
      </c>
      <c r="CP128" s="17">
        <v>8760</v>
      </c>
      <c r="CQ128" s="17">
        <v>8760</v>
      </c>
      <c r="CR128" s="17">
        <v>8760</v>
      </c>
      <c r="CS128" s="17">
        <v>8760</v>
      </c>
      <c r="CT128" s="17">
        <v>8760</v>
      </c>
      <c r="CU128" s="17">
        <v>8760</v>
      </c>
      <c r="CV128" s="17">
        <v>8760</v>
      </c>
      <c r="CW128" s="17">
        <v>8760</v>
      </c>
      <c r="CX128" s="17">
        <v>8760</v>
      </c>
      <c r="CY128" s="17">
        <v>8760</v>
      </c>
      <c r="CZ128" s="17">
        <v>8760</v>
      </c>
      <c r="DA128" s="17">
        <v>8760</v>
      </c>
      <c r="DB128" s="17">
        <v>8760</v>
      </c>
    </row>
    <row r="129" spans="1:106" s="17" customFormat="1" x14ac:dyDescent="0.25">
      <c r="A129" s="22" t="s">
        <v>147</v>
      </c>
      <c r="B129" s="17" t="s">
        <v>140</v>
      </c>
      <c r="C129" s="17" t="s">
        <v>438</v>
      </c>
      <c r="D129" s="17" t="s">
        <v>641</v>
      </c>
      <c r="E129" s="17" t="s">
        <v>642</v>
      </c>
      <c r="F129" s="17">
        <v>102118</v>
      </c>
      <c r="G129" s="17">
        <v>0</v>
      </c>
      <c r="H129" s="17">
        <v>0</v>
      </c>
      <c r="I129" s="17">
        <v>0</v>
      </c>
      <c r="J129" s="17">
        <v>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0</v>
      </c>
      <c r="AC129" s="17">
        <v>0</v>
      </c>
      <c r="AD129" s="17">
        <v>0</v>
      </c>
      <c r="AE129" s="17">
        <v>0</v>
      </c>
      <c r="AF129" s="17">
        <v>0</v>
      </c>
      <c r="AG129" s="17">
        <v>0</v>
      </c>
      <c r="AH129" s="17">
        <v>0</v>
      </c>
      <c r="AI129" s="17">
        <v>0</v>
      </c>
      <c r="AJ129" s="17">
        <v>0</v>
      </c>
      <c r="AK129" s="17">
        <v>0</v>
      </c>
      <c r="AL129" s="17">
        <v>0</v>
      </c>
      <c r="AM129" s="17">
        <v>0</v>
      </c>
      <c r="AN129" s="17">
        <v>0</v>
      </c>
      <c r="AO129" s="17">
        <v>4</v>
      </c>
      <c r="AP129" s="17">
        <v>17</v>
      </c>
      <c r="AQ129" s="17">
        <v>27</v>
      </c>
      <c r="AR129" s="17">
        <v>43</v>
      </c>
      <c r="AS129" s="17">
        <v>57</v>
      </c>
      <c r="AT129" s="17">
        <v>75</v>
      </c>
      <c r="AU129" s="17">
        <v>96</v>
      </c>
      <c r="AV129" s="17">
        <v>125</v>
      </c>
      <c r="AW129" s="17">
        <v>171</v>
      </c>
      <c r="AX129" s="17">
        <v>222</v>
      </c>
      <c r="AY129" s="17">
        <v>296</v>
      </c>
      <c r="AZ129" s="17">
        <v>419</v>
      </c>
      <c r="BA129" s="17">
        <v>581</v>
      </c>
      <c r="BB129" s="17">
        <v>820</v>
      </c>
      <c r="BC129" s="17">
        <v>1149</v>
      </c>
      <c r="BD129" s="17">
        <v>1469</v>
      </c>
      <c r="BE129" s="17">
        <v>1890</v>
      </c>
      <c r="BF129" s="17">
        <v>2322</v>
      </c>
      <c r="BG129" s="17">
        <v>2830</v>
      </c>
      <c r="BH129" s="17">
        <v>3331</v>
      </c>
      <c r="BI129" s="17">
        <v>3741</v>
      </c>
      <c r="BJ129" s="17">
        <v>4085</v>
      </c>
      <c r="BK129" s="17">
        <v>4421</v>
      </c>
      <c r="BL129" s="17">
        <v>4743</v>
      </c>
      <c r="BM129" s="17">
        <v>5052</v>
      </c>
      <c r="BN129" s="17">
        <v>5385</v>
      </c>
      <c r="BO129" s="17">
        <v>5747</v>
      </c>
      <c r="BP129" s="17">
        <v>6118</v>
      </c>
      <c r="BQ129" s="17">
        <v>6497</v>
      </c>
      <c r="BR129" s="17">
        <v>6853</v>
      </c>
      <c r="BS129" s="17">
        <v>7179</v>
      </c>
      <c r="BT129" s="17">
        <v>7482</v>
      </c>
      <c r="BU129" s="17">
        <v>7718</v>
      </c>
      <c r="BV129" s="17">
        <v>7930</v>
      </c>
      <c r="BW129" s="17">
        <v>8125</v>
      </c>
      <c r="BX129" s="17">
        <v>8292</v>
      </c>
      <c r="BY129" s="17">
        <v>8433</v>
      </c>
      <c r="BZ129" s="17">
        <v>8553</v>
      </c>
      <c r="CA129" s="17">
        <v>8637</v>
      </c>
      <c r="CB129" s="17">
        <v>8684</v>
      </c>
      <c r="CC129" s="17">
        <v>8723</v>
      </c>
      <c r="CD129" s="17">
        <v>8745</v>
      </c>
      <c r="CE129" s="17">
        <v>8752</v>
      </c>
      <c r="CF129" s="17">
        <v>8758</v>
      </c>
      <c r="CG129" s="17">
        <v>8760</v>
      </c>
      <c r="CH129" s="17">
        <v>8760</v>
      </c>
      <c r="CI129" s="17">
        <v>8760</v>
      </c>
      <c r="CJ129" s="17">
        <v>8760</v>
      </c>
      <c r="CK129" s="17">
        <v>8760</v>
      </c>
      <c r="CL129" s="17">
        <v>8760</v>
      </c>
      <c r="CM129" s="17">
        <v>8760</v>
      </c>
      <c r="CN129" s="17">
        <v>8760</v>
      </c>
      <c r="CO129" s="17">
        <v>8760</v>
      </c>
      <c r="CP129" s="17">
        <v>8760</v>
      </c>
      <c r="CQ129" s="17">
        <v>8760</v>
      </c>
      <c r="CR129" s="17">
        <v>8760</v>
      </c>
      <c r="CS129" s="17">
        <v>8760</v>
      </c>
      <c r="CT129" s="17">
        <v>8760</v>
      </c>
      <c r="CU129" s="17">
        <v>8760</v>
      </c>
      <c r="CV129" s="17">
        <v>8760</v>
      </c>
      <c r="CW129" s="17">
        <v>8760</v>
      </c>
      <c r="CX129" s="17">
        <v>8760</v>
      </c>
      <c r="CY129" s="17">
        <v>8760</v>
      </c>
      <c r="CZ129" s="17">
        <v>8760</v>
      </c>
      <c r="DA129" s="17">
        <v>8760</v>
      </c>
      <c r="DB129" s="17">
        <v>8760</v>
      </c>
    </row>
    <row r="130" spans="1:106" s="17" customFormat="1" x14ac:dyDescent="0.25">
      <c r="A130" s="22" t="s">
        <v>148</v>
      </c>
      <c r="B130" s="17" t="s">
        <v>141</v>
      </c>
      <c r="C130" s="17" t="s">
        <v>438</v>
      </c>
      <c r="D130" s="17" t="s">
        <v>643</v>
      </c>
      <c r="E130" s="17" t="s">
        <v>644</v>
      </c>
      <c r="F130" s="17">
        <v>102510</v>
      </c>
      <c r="G130" s="17">
        <v>0</v>
      </c>
      <c r="H130" s="17">
        <v>0</v>
      </c>
      <c r="I130" s="17">
        <v>0</v>
      </c>
      <c r="J130" s="17">
        <v>0</v>
      </c>
      <c r="K130" s="17">
        <v>0</v>
      </c>
      <c r="L130" s="17">
        <v>0</v>
      </c>
      <c r="M130" s="17">
        <v>0</v>
      </c>
      <c r="N130" s="17">
        <v>0</v>
      </c>
      <c r="O130" s="17">
        <v>0</v>
      </c>
      <c r="P130" s="17">
        <v>0</v>
      </c>
      <c r="Q130" s="17">
        <v>0</v>
      </c>
      <c r="R130" s="17">
        <v>0</v>
      </c>
      <c r="S130" s="17">
        <v>0</v>
      </c>
      <c r="T130" s="17">
        <v>0</v>
      </c>
      <c r="U130" s="17">
        <v>0</v>
      </c>
      <c r="V130" s="17">
        <v>0</v>
      </c>
      <c r="W130" s="17">
        <v>0</v>
      </c>
      <c r="X130" s="17">
        <v>0</v>
      </c>
      <c r="Y130" s="17">
        <v>0</v>
      </c>
      <c r="Z130" s="17">
        <v>0</v>
      </c>
      <c r="AA130" s="17">
        <v>0</v>
      </c>
      <c r="AB130" s="17">
        <v>0</v>
      </c>
      <c r="AC130" s="17">
        <v>0</v>
      </c>
      <c r="AD130" s="17">
        <v>0</v>
      </c>
      <c r="AE130" s="17">
        <v>0</v>
      </c>
      <c r="AF130" s="17">
        <v>0</v>
      </c>
      <c r="AG130" s="17">
        <v>0</v>
      </c>
      <c r="AH130" s="17">
        <v>0</v>
      </c>
      <c r="AI130" s="17">
        <v>1</v>
      </c>
      <c r="AJ130" s="17">
        <v>4</v>
      </c>
      <c r="AK130" s="17">
        <v>17</v>
      </c>
      <c r="AL130" s="17">
        <v>24</v>
      </c>
      <c r="AM130" s="17">
        <v>32</v>
      </c>
      <c r="AN130" s="17">
        <v>54</v>
      </c>
      <c r="AO130" s="17">
        <v>90</v>
      </c>
      <c r="AP130" s="17">
        <v>123</v>
      </c>
      <c r="AQ130" s="17">
        <v>157</v>
      </c>
      <c r="AR130" s="17">
        <v>191</v>
      </c>
      <c r="AS130" s="17">
        <v>236</v>
      </c>
      <c r="AT130" s="17">
        <v>291</v>
      </c>
      <c r="AU130" s="17">
        <v>352</v>
      </c>
      <c r="AV130" s="17">
        <v>425</v>
      </c>
      <c r="AW130" s="17">
        <v>554</v>
      </c>
      <c r="AX130" s="17">
        <v>690</v>
      </c>
      <c r="AY130" s="17">
        <v>853</v>
      </c>
      <c r="AZ130" s="17">
        <v>1018</v>
      </c>
      <c r="BA130" s="17">
        <v>1255</v>
      </c>
      <c r="BB130" s="17">
        <v>1564</v>
      </c>
      <c r="BC130" s="17">
        <v>1859</v>
      </c>
      <c r="BD130" s="17">
        <v>2230</v>
      </c>
      <c r="BE130" s="17">
        <v>2674</v>
      </c>
      <c r="BF130" s="17">
        <v>3084</v>
      </c>
      <c r="BG130" s="17">
        <v>3493</v>
      </c>
      <c r="BH130" s="17">
        <v>3863</v>
      </c>
      <c r="BI130" s="17">
        <v>4169</v>
      </c>
      <c r="BJ130" s="17">
        <v>4506</v>
      </c>
      <c r="BK130" s="17">
        <v>4851</v>
      </c>
      <c r="BL130" s="17">
        <v>5166</v>
      </c>
      <c r="BM130" s="17">
        <v>5471</v>
      </c>
      <c r="BN130" s="17">
        <v>5784</v>
      </c>
      <c r="BO130" s="17">
        <v>6072</v>
      </c>
      <c r="BP130" s="17">
        <v>6397</v>
      </c>
      <c r="BQ130" s="17">
        <v>6726</v>
      </c>
      <c r="BR130" s="17">
        <v>7051</v>
      </c>
      <c r="BS130" s="17">
        <v>7383</v>
      </c>
      <c r="BT130" s="17">
        <v>7672</v>
      </c>
      <c r="BU130" s="17">
        <v>7902</v>
      </c>
      <c r="BV130" s="17">
        <v>8081</v>
      </c>
      <c r="BW130" s="17">
        <v>8254</v>
      </c>
      <c r="BX130" s="17">
        <v>8370</v>
      </c>
      <c r="BY130" s="17">
        <v>8462</v>
      </c>
      <c r="BZ130" s="17">
        <v>8535</v>
      </c>
      <c r="CA130" s="17">
        <v>8587</v>
      </c>
      <c r="CB130" s="17">
        <v>8629</v>
      </c>
      <c r="CC130" s="17">
        <v>8675</v>
      </c>
      <c r="CD130" s="17">
        <v>8706</v>
      </c>
      <c r="CE130" s="17">
        <v>8725</v>
      </c>
      <c r="CF130" s="17">
        <v>8738</v>
      </c>
      <c r="CG130" s="17">
        <v>8749</v>
      </c>
      <c r="CH130" s="17">
        <v>8756</v>
      </c>
      <c r="CI130" s="17">
        <v>8760</v>
      </c>
      <c r="CJ130" s="17">
        <v>8760</v>
      </c>
      <c r="CK130" s="17">
        <v>8760</v>
      </c>
      <c r="CL130" s="17">
        <v>8760</v>
      </c>
      <c r="CM130" s="17">
        <v>8760</v>
      </c>
      <c r="CN130" s="17">
        <v>8760</v>
      </c>
      <c r="CO130" s="17">
        <v>8760</v>
      </c>
      <c r="CP130" s="17">
        <v>8760</v>
      </c>
      <c r="CQ130" s="17">
        <v>8760</v>
      </c>
      <c r="CR130" s="17">
        <v>8760</v>
      </c>
      <c r="CS130" s="17">
        <v>8760</v>
      </c>
      <c r="CT130" s="17">
        <v>8760</v>
      </c>
      <c r="CU130" s="17">
        <v>8760</v>
      </c>
      <c r="CV130" s="17">
        <v>8760</v>
      </c>
      <c r="CW130" s="17">
        <v>8760</v>
      </c>
      <c r="CX130" s="17">
        <v>8760</v>
      </c>
      <c r="CY130" s="17">
        <v>8760</v>
      </c>
      <c r="CZ130" s="17">
        <v>8760</v>
      </c>
      <c r="DA130" s="17">
        <v>8760</v>
      </c>
      <c r="DB130" s="17">
        <v>8760</v>
      </c>
    </row>
    <row r="131" spans="1:106" s="17" customFormat="1" x14ac:dyDescent="0.25">
      <c r="A131" s="22" t="s">
        <v>149</v>
      </c>
      <c r="B131" s="17" t="s">
        <v>142</v>
      </c>
      <c r="C131" s="17" t="s">
        <v>438</v>
      </c>
      <c r="D131" s="17" t="s">
        <v>645</v>
      </c>
      <c r="E131" s="17" t="s">
        <v>646</v>
      </c>
      <c r="F131" s="17">
        <v>102120</v>
      </c>
      <c r="G131" s="17">
        <v>0</v>
      </c>
      <c r="H131" s="17">
        <v>0</v>
      </c>
      <c r="I131" s="17">
        <v>0</v>
      </c>
      <c r="J131" s="17">
        <v>0</v>
      </c>
      <c r="K131" s="17">
        <v>0</v>
      </c>
      <c r="L131" s="17">
        <v>0</v>
      </c>
      <c r="M131" s="17">
        <v>0</v>
      </c>
      <c r="N131" s="17">
        <v>0</v>
      </c>
      <c r="O131" s="17">
        <v>0</v>
      </c>
      <c r="P131" s="17">
        <v>0</v>
      </c>
      <c r="Q131" s="17">
        <v>0</v>
      </c>
      <c r="R131" s="17">
        <v>0</v>
      </c>
      <c r="S131" s="17">
        <v>0</v>
      </c>
      <c r="T131" s="17">
        <v>0</v>
      </c>
      <c r="U131" s="17">
        <v>0</v>
      </c>
      <c r="V131" s="17">
        <v>0</v>
      </c>
      <c r="W131" s="17">
        <v>0</v>
      </c>
      <c r="X131" s="17">
        <v>0</v>
      </c>
      <c r="Y131" s="17">
        <v>0</v>
      </c>
      <c r="Z131" s="17">
        <v>0</v>
      </c>
      <c r="AA131" s="17">
        <v>0</v>
      </c>
      <c r="AB131" s="17">
        <v>0</v>
      </c>
      <c r="AC131" s="17">
        <v>0</v>
      </c>
      <c r="AD131" s="17">
        <v>0</v>
      </c>
      <c r="AE131" s="17">
        <v>0</v>
      </c>
      <c r="AF131" s="17">
        <v>0</v>
      </c>
      <c r="AG131" s="17">
        <v>0</v>
      </c>
      <c r="AH131" s="17">
        <v>0</v>
      </c>
      <c r="AI131" s="17">
        <v>0</v>
      </c>
      <c r="AJ131" s="17">
        <v>0</v>
      </c>
      <c r="AK131" s="17">
        <v>0</v>
      </c>
      <c r="AL131" s="17">
        <v>0</v>
      </c>
      <c r="AM131" s="17">
        <v>0</v>
      </c>
      <c r="AN131" s="17">
        <v>0</v>
      </c>
      <c r="AO131" s="17">
        <v>0</v>
      </c>
      <c r="AP131" s="17">
        <v>0</v>
      </c>
      <c r="AQ131" s="17">
        <v>0</v>
      </c>
      <c r="AR131" s="17">
        <v>1</v>
      </c>
      <c r="AS131" s="17">
        <v>5</v>
      </c>
      <c r="AT131" s="17">
        <v>14</v>
      </c>
      <c r="AU131" s="17">
        <v>29</v>
      </c>
      <c r="AV131" s="17">
        <v>48</v>
      </c>
      <c r="AW131" s="17">
        <v>65</v>
      </c>
      <c r="AX131" s="17">
        <v>99</v>
      </c>
      <c r="AY131" s="17">
        <v>153</v>
      </c>
      <c r="AZ131" s="17">
        <v>225</v>
      </c>
      <c r="BA131" s="17">
        <v>350</v>
      </c>
      <c r="BB131" s="17">
        <v>604</v>
      </c>
      <c r="BC131" s="17">
        <v>900</v>
      </c>
      <c r="BD131" s="17">
        <v>1197</v>
      </c>
      <c r="BE131" s="17">
        <v>1608</v>
      </c>
      <c r="BF131" s="17">
        <v>1989</v>
      </c>
      <c r="BG131" s="17">
        <v>2402</v>
      </c>
      <c r="BH131" s="17">
        <v>2894</v>
      </c>
      <c r="BI131" s="17">
        <v>3403</v>
      </c>
      <c r="BJ131" s="17">
        <v>3820</v>
      </c>
      <c r="BK131" s="17">
        <v>4226</v>
      </c>
      <c r="BL131" s="17">
        <v>4640</v>
      </c>
      <c r="BM131" s="17">
        <v>4981</v>
      </c>
      <c r="BN131" s="17">
        <v>5355</v>
      </c>
      <c r="BO131" s="17">
        <v>5735</v>
      </c>
      <c r="BP131" s="17">
        <v>6109</v>
      </c>
      <c r="BQ131" s="17">
        <v>6447</v>
      </c>
      <c r="BR131" s="17">
        <v>6826</v>
      </c>
      <c r="BS131" s="17">
        <v>7156</v>
      </c>
      <c r="BT131" s="17">
        <v>7437</v>
      </c>
      <c r="BU131" s="17">
        <v>7699</v>
      </c>
      <c r="BV131" s="17">
        <v>7914</v>
      </c>
      <c r="BW131" s="17">
        <v>8104</v>
      </c>
      <c r="BX131" s="17">
        <v>8269</v>
      </c>
      <c r="BY131" s="17">
        <v>8420</v>
      </c>
      <c r="BZ131" s="17">
        <v>8525</v>
      </c>
      <c r="CA131" s="17">
        <v>8602</v>
      </c>
      <c r="CB131" s="17">
        <v>8668</v>
      </c>
      <c r="CC131" s="17">
        <v>8711</v>
      </c>
      <c r="CD131" s="17">
        <v>8730</v>
      </c>
      <c r="CE131" s="17">
        <v>8744</v>
      </c>
      <c r="CF131" s="17">
        <v>8760</v>
      </c>
      <c r="CG131" s="17">
        <v>8760</v>
      </c>
      <c r="CH131" s="17">
        <v>8760</v>
      </c>
      <c r="CI131" s="17">
        <v>8760</v>
      </c>
      <c r="CJ131" s="17">
        <v>8760</v>
      </c>
      <c r="CK131" s="17">
        <v>8760</v>
      </c>
      <c r="CL131" s="17">
        <v>8760</v>
      </c>
      <c r="CM131" s="17">
        <v>8760</v>
      </c>
      <c r="CN131" s="17">
        <v>8760</v>
      </c>
      <c r="CO131" s="17">
        <v>8760</v>
      </c>
      <c r="CP131" s="17">
        <v>8760</v>
      </c>
      <c r="CQ131" s="17">
        <v>8760</v>
      </c>
      <c r="CR131" s="17">
        <v>8760</v>
      </c>
      <c r="CS131" s="17">
        <v>8760</v>
      </c>
      <c r="CT131" s="17">
        <v>8760</v>
      </c>
      <c r="CU131" s="17">
        <v>8760</v>
      </c>
      <c r="CV131" s="17">
        <v>8760</v>
      </c>
      <c r="CW131" s="17">
        <v>8760</v>
      </c>
      <c r="CX131" s="17">
        <v>8760</v>
      </c>
      <c r="CY131" s="17">
        <v>8760</v>
      </c>
      <c r="CZ131" s="17">
        <v>8760</v>
      </c>
      <c r="DA131" s="17">
        <v>8760</v>
      </c>
      <c r="DB131" s="17">
        <v>8760</v>
      </c>
    </row>
    <row r="132" spans="1:106" s="17" customFormat="1" x14ac:dyDescent="0.25">
      <c r="A132" s="22" t="s">
        <v>150</v>
      </c>
      <c r="B132" s="17" t="s">
        <v>143</v>
      </c>
      <c r="C132" s="17" t="s">
        <v>438</v>
      </c>
      <c r="D132" s="17" t="s">
        <v>647</v>
      </c>
      <c r="E132" s="17" t="s">
        <v>648</v>
      </c>
      <c r="F132" s="17">
        <v>102507</v>
      </c>
      <c r="G132" s="17">
        <v>0</v>
      </c>
      <c r="H132" s="17">
        <v>0</v>
      </c>
      <c r="I132" s="17">
        <v>0</v>
      </c>
      <c r="J132" s="17">
        <v>0</v>
      </c>
      <c r="K132" s="17">
        <v>0</v>
      </c>
      <c r="L132" s="17">
        <v>0</v>
      </c>
      <c r="M132" s="17">
        <v>0</v>
      </c>
      <c r="N132" s="17">
        <v>0</v>
      </c>
      <c r="O132" s="17">
        <v>0</v>
      </c>
      <c r="P132" s="17">
        <v>0</v>
      </c>
      <c r="Q132" s="17">
        <v>0</v>
      </c>
      <c r="R132" s="17">
        <v>0</v>
      </c>
      <c r="S132" s="17">
        <v>0</v>
      </c>
      <c r="T132" s="17">
        <v>0</v>
      </c>
      <c r="U132" s="17">
        <v>0</v>
      </c>
      <c r="V132" s="17">
        <v>0</v>
      </c>
      <c r="W132" s="17">
        <v>0</v>
      </c>
      <c r="X132" s="17">
        <v>0</v>
      </c>
      <c r="Y132" s="17">
        <v>0</v>
      </c>
      <c r="Z132" s="17">
        <v>0</v>
      </c>
      <c r="AA132" s="17">
        <v>0</v>
      </c>
      <c r="AB132" s="17">
        <v>0</v>
      </c>
      <c r="AC132" s="17">
        <v>0</v>
      </c>
      <c r="AD132" s="17">
        <v>0</v>
      </c>
      <c r="AE132" s="17">
        <v>0</v>
      </c>
      <c r="AF132" s="17">
        <v>0</v>
      </c>
      <c r="AG132" s="17">
        <v>0</v>
      </c>
      <c r="AH132" s="17">
        <v>0</v>
      </c>
      <c r="AI132" s="17">
        <v>0</v>
      </c>
      <c r="AJ132" s="17">
        <v>0</v>
      </c>
      <c r="AK132" s="17">
        <v>1</v>
      </c>
      <c r="AL132" s="17">
        <v>5</v>
      </c>
      <c r="AM132" s="17">
        <v>17</v>
      </c>
      <c r="AN132" s="17">
        <v>40</v>
      </c>
      <c r="AO132" s="17">
        <v>82</v>
      </c>
      <c r="AP132" s="17">
        <v>111</v>
      </c>
      <c r="AQ132" s="17">
        <v>158</v>
      </c>
      <c r="AR132" s="17">
        <v>207</v>
      </c>
      <c r="AS132" s="17">
        <v>250</v>
      </c>
      <c r="AT132" s="17">
        <v>299</v>
      </c>
      <c r="AU132" s="17">
        <v>367</v>
      </c>
      <c r="AV132" s="17">
        <v>426</v>
      </c>
      <c r="AW132" s="17">
        <v>495</v>
      </c>
      <c r="AX132" s="17">
        <v>601</v>
      </c>
      <c r="AY132" s="17">
        <v>775</v>
      </c>
      <c r="AZ132" s="17">
        <v>914</v>
      </c>
      <c r="BA132" s="17">
        <v>1102</v>
      </c>
      <c r="BB132" s="17">
        <v>1378</v>
      </c>
      <c r="BC132" s="17">
        <v>1652</v>
      </c>
      <c r="BD132" s="17">
        <v>1998</v>
      </c>
      <c r="BE132" s="17">
        <v>2413</v>
      </c>
      <c r="BF132" s="17">
        <v>2803</v>
      </c>
      <c r="BG132" s="17">
        <v>3194</v>
      </c>
      <c r="BH132" s="17">
        <v>3588</v>
      </c>
      <c r="BI132" s="17">
        <v>4014</v>
      </c>
      <c r="BJ132" s="17">
        <v>4345</v>
      </c>
      <c r="BK132" s="17">
        <v>4686</v>
      </c>
      <c r="BL132" s="17">
        <v>5004</v>
      </c>
      <c r="BM132" s="17">
        <v>5335</v>
      </c>
      <c r="BN132" s="17">
        <v>5629</v>
      </c>
      <c r="BO132" s="17">
        <v>5926</v>
      </c>
      <c r="BP132" s="17">
        <v>6293</v>
      </c>
      <c r="BQ132" s="17">
        <v>6654</v>
      </c>
      <c r="BR132" s="17">
        <v>6992</v>
      </c>
      <c r="BS132" s="17">
        <v>7324</v>
      </c>
      <c r="BT132" s="17">
        <v>7603</v>
      </c>
      <c r="BU132" s="17">
        <v>7832</v>
      </c>
      <c r="BV132" s="17">
        <v>8029</v>
      </c>
      <c r="BW132" s="17">
        <v>8184</v>
      </c>
      <c r="BX132" s="17">
        <v>8328</v>
      </c>
      <c r="BY132" s="17">
        <v>8437</v>
      </c>
      <c r="BZ132" s="17">
        <v>8521</v>
      </c>
      <c r="CA132" s="17">
        <v>8589</v>
      </c>
      <c r="CB132" s="17">
        <v>8632</v>
      </c>
      <c r="CC132" s="17">
        <v>8676</v>
      </c>
      <c r="CD132" s="17">
        <v>8711</v>
      </c>
      <c r="CE132" s="17">
        <v>8736</v>
      </c>
      <c r="CF132" s="17">
        <v>8748</v>
      </c>
      <c r="CG132" s="17">
        <v>8758</v>
      </c>
      <c r="CH132" s="17">
        <v>8758</v>
      </c>
      <c r="CI132" s="17">
        <v>8758</v>
      </c>
      <c r="CJ132" s="17">
        <v>8760</v>
      </c>
      <c r="CK132" s="17">
        <v>8760</v>
      </c>
      <c r="CL132" s="17">
        <v>8760</v>
      </c>
      <c r="CM132" s="17">
        <v>8760</v>
      </c>
      <c r="CN132" s="17">
        <v>8760</v>
      </c>
      <c r="CO132" s="17">
        <v>8760</v>
      </c>
      <c r="CP132" s="17">
        <v>8760</v>
      </c>
      <c r="CQ132" s="17">
        <v>8760</v>
      </c>
      <c r="CR132" s="17">
        <v>8760</v>
      </c>
      <c r="CS132" s="17">
        <v>8760</v>
      </c>
      <c r="CT132" s="17">
        <v>8760</v>
      </c>
      <c r="CU132" s="17">
        <v>8760</v>
      </c>
      <c r="CV132" s="17">
        <v>8760</v>
      </c>
      <c r="CW132" s="17">
        <v>8760</v>
      </c>
      <c r="CX132" s="17">
        <v>8760</v>
      </c>
      <c r="CY132" s="17">
        <v>8760</v>
      </c>
      <c r="CZ132" s="17">
        <v>8760</v>
      </c>
      <c r="DA132" s="17">
        <v>8760</v>
      </c>
      <c r="DB132" s="17">
        <v>8760</v>
      </c>
    </row>
    <row r="133" spans="1:106" s="17" customFormat="1" x14ac:dyDescent="0.25">
      <c r="A133" s="22" t="s">
        <v>151</v>
      </c>
      <c r="B133" s="17" t="s">
        <v>144</v>
      </c>
      <c r="C133" s="17" t="s">
        <v>438</v>
      </c>
      <c r="D133" s="17" t="s">
        <v>649</v>
      </c>
      <c r="E133" s="17" t="s">
        <v>650</v>
      </c>
      <c r="F133" s="17">
        <v>102411</v>
      </c>
      <c r="G133" s="17">
        <v>0</v>
      </c>
      <c r="H133" s="17">
        <v>0</v>
      </c>
      <c r="I133" s="17">
        <v>0</v>
      </c>
      <c r="J133" s="17">
        <v>0</v>
      </c>
      <c r="K133" s="17">
        <v>0</v>
      </c>
      <c r="L133" s="17">
        <v>0</v>
      </c>
      <c r="M133" s="17">
        <v>0</v>
      </c>
      <c r="N133" s="17">
        <v>0</v>
      </c>
      <c r="O133" s="17">
        <v>0</v>
      </c>
      <c r="P133" s="17">
        <v>0</v>
      </c>
      <c r="Q133" s="17">
        <v>0</v>
      </c>
      <c r="R133" s="17">
        <v>0</v>
      </c>
      <c r="S133" s="17">
        <v>0</v>
      </c>
      <c r="T133" s="17">
        <v>0</v>
      </c>
      <c r="U133" s="17">
        <v>0</v>
      </c>
      <c r="V133" s="17">
        <v>0</v>
      </c>
      <c r="W133" s="17">
        <v>0</v>
      </c>
      <c r="X133" s="17">
        <v>0</v>
      </c>
      <c r="Y133" s="17">
        <v>0</v>
      </c>
      <c r="Z133" s="17">
        <v>0</v>
      </c>
      <c r="AA133" s="17">
        <v>0</v>
      </c>
      <c r="AB133" s="17">
        <v>0</v>
      </c>
      <c r="AC133" s="17">
        <v>0</v>
      </c>
      <c r="AD133" s="17">
        <v>0</v>
      </c>
      <c r="AE133" s="17">
        <v>0</v>
      </c>
      <c r="AF133" s="17">
        <v>0</v>
      </c>
      <c r="AG133" s="17">
        <v>0</v>
      </c>
      <c r="AH133" s="17">
        <v>0</v>
      </c>
      <c r="AI133" s="17">
        <v>0</v>
      </c>
      <c r="AJ133" s="17">
        <v>0</v>
      </c>
      <c r="AK133" s="17">
        <v>4</v>
      </c>
      <c r="AL133" s="17">
        <v>5</v>
      </c>
      <c r="AM133" s="17">
        <v>6</v>
      </c>
      <c r="AN133" s="17">
        <v>20</v>
      </c>
      <c r="AO133" s="17">
        <v>25</v>
      </c>
      <c r="AP133" s="17">
        <v>39</v>
      </c>
      <c r="AQ133" s="17">
        <v>62</v>
      </c>
      <c r="AR133" s="17">
        <v>90</v>
      </c>
      <c r="AS133" s="17">
        <v>142</v>
      </c>
      <c r="AT133" s="17">
        <v>190</v>
      </c>
      <c r="AU133" s="17">
        <v>244</v>
      </c>
      <c r="AV133" s="17">
        <v>315</v>
      </c>
      <c r="AW133" s="17">
        <v>428</v>
      </c>
      <c r="AX133" s="17">
        <v>582</v>
      </c>
      <c r="AY133" s="17">
        <v>702</v>
      </c>
      <c r="AZ133" s="17">
        <v>884</v>
      </c>
      <c r="BA133" s="17">
        <v>1115</v>
      </c>
      <c r="BB133" s="17">
        <v>1429</v>
      </c>
      <c r="BC133" s="17">
        <v>1765</v>
      </c>
      <c r="BD133" s="17">
        <v>2114</v>
      </c>
      <c r="BE133" s="17">
        <v>2524</v>
      </c>
      <c r="BF133" s="17">
        <v>2904</v>
      </c>
      <c r="BG133" s="17">
        <v>3295</v>
      </c>
      <c r="BH133" s="17">
        <v>3628</v>
      </c>
      <c r="BI133" s="17">
        <v>3973</v>
      </c>
      <c r="BJ133" s="17">
        <v>4286</v>
      </c>
      <c r="BK133" s="17">
        <v>4609</v>
      </c>
      <c r="BL133" s="17">
        <v>4906</v>
      </c>
      <c r="BM133" s="17">
        <v>5196</v>
      </c>
      <c r="BN133" s="17">
        <v>5534</v>
      </c>
      <c r="BO133" s="17">
        <v>5880</v>
      </c>
      <c r="BP133" s="17">
        <v>6295</v>
      </c>
      <c r="BQ133" s="17">
        <v>6643</v>
      </c>
      <c r="BR133" s="17">
        <v>6956</v>
      </c>
      <c r="BS133" s="17">
        <v>7251</v>
      </c>
      <c r="BT133" s="17">
        <v>7538</v>
      </c>
      <c r="BU133" s="17">
        <v>7792</v>
      </c>
      <c r="BV133" s="17">
        <v>8003</v>
      </c>
      <c r="BW133" s="17">
        <v>8195</v>
      </c>
      <c r="BX133" s="17">
        <v>8368</v>
      </c>
      <c r="BY133" s="17">
        <v>8479</v>
      </c>
      <c r="BZ133" s="17">
        <v>8540</v>
      </c>
      <c r="CA133" s="17">
        <v>8602</v>
      </c>
      <c r="CB133" s="17">
        <v>8641</v>
      </c>
      <c r="CC133" s="17">
        <v>8679</v>
      </c>
      <c r="CD133" s="17">
        <v>8707</v>
      </c>
      <c r="CE133" s="17">
        <v>8728</v>
      </c>
      <c r="CF133" s="17">
        <v>8741</v>
      </c>
      <c r="CG133" s="17">
        <v>8752</v>
      </c>
      <c r="CH133" s="17">
        <v>8759</v>
      </c>
      <c r="CI133" s="17">
        <v>8760</v>
      </c>
      <c r="CJ133" s="17">
        <v>8760</v>
      </c>
      <c r="CK133" s="17">
        <v>8760</v>
      </c>
      <c r="CL133" s="17">
        <v>8760</v>
      </c>
      <c r="CM133" s="17">
        <v>8760</v>
      </c>
      <c r="CN133" s="17">
        <v>8760</v>
      </c>
      <c r="CO133" s="17">
        <v>8760</v>
      </c>
      <c r="CP133" s="17">
        <v>8760</v>
      </c>
      <c r="CQ133" s="17">
        <v>8760</v>
      </c>
      <c r="CR133" s="17">
        <v>8760</v>
      </c>
      <c r="CS133" s="17">
        <v>8760</v>
      </c>
      <c r="CT133" s="17">
        <v>8760</v>
      </c>
      <c r="CU133" s="17">
        <v>8760</v>
      </c>
      <c r="CV133" s="17">
        <v>8760</v>
      </c>
      <c r="CW133" s="17">
        <v>8760</v>
      </c>
      <c r="CX133" s="17">
        <v>8760</v>
      </c>
      <c r="CY133" s="17">
        <v>8760</v>
      </c>
      <c r="CZ133" s="17">
        <v>8760</v>
      </c>
      <c r="DA133" s="17">
        <v>8760</v>
      </c>
      <c r="DB133" s="17">
        <v>8760</v>
      </c>
    </row>
    <row r="134" spans="1:106" s="17" customFormat="1" x14ac:dyDescent="0.25">
      <c r="A134" s="22" t="s">
        <v>152</v>
      </c>
      <c r="B134" s="17" t="s">
        <v>146</v>
      </c>
      <c r="C134" s="17" t="s">
        <v>438</v>
      </c>
      <c r="D134" s="17" t="s">
        <v>651</v>
      </c>
      <c r="E134" s="17" t="s">
        <v>652</v>
      </c>
      <c r="F134" s="17">
        <v>102520</v>
      </c>
      <c r="G134" s="17">
        <v>0</v>
      </c>
      <c r="H134" s="17">
        <v>0</v>
      </c>
      <c r="I134" s="17">
        <v>0</v>
      </c>
      <c r="J134" s="17">
        <v>0</v>
      </c>
      <c r="K134" s="17">
        <v>0</v>
      </c>
      <c r="L134" s="17">
        <v>0</v>
      </c>
      <c r="M134" s="17">
        <v>0</v>
      </c>
      <c r="N134" s="17">
        <v>0</v>
      </c>
      <c r="O134" s="17">
        <v>0</v>
      </c>
      <c r="P134" s="17">
        <v>0</v>
      </c>
      <c r="Q134" s="17">
        <v>0</v>
      </c>
      <c r="R134" s="17">
        <v>0</v>
      </c>
      <c r="S134" s="17">
        <v>0</v>
      </c>
      <c r="T134" s="17">
        <v>0</v>
      </c>
      <c r="U134" s="17">
        <v>0</v>
      </c>
      <c r="V134" s="17">
        <v>0</v>
      </c>
      <c r="W134" s="17">
        <v>0</v>
      </c>
      <c r="X134" s="17">
        <v>0</v>
      </c>
      <c r="Y134" s="17">
        <v>0</v>
      </c>
      <c r="Z134" s="17">
        <v>0</v>
      </c>
      <c r="AA134" s="17">
        <v>0</v>
      </c>
      <c r="AB134" s="17">
        <v>0</v>
      </c>
      <c r="AC134" s="17">
        <v>0</v>
      </c>
      <c r="AD134" s="17">
        <v>0</v>
      </c>
      <c r="AE134" s="17">
        <v>0</v>
      </c>
      <c r="AF134" s="17">
        <v>0</v>
      </c>
      <c r="AG134" s="17">
        <v>0</v>
      </c>
      <c r="AH134" s="17">
        <v>0</v>
      </c>
      <c r="AI134" s="17">
        <v>2</v>
      </c>
      <c r="AJ134" s="17">
        <v>6</v>
      </c>
      <c r="AK134" s="17">
        <v>14</v>
      </c>
      <c r="AL134" s="17">
        <v>24</v>
      </c>
      <c r="AM134" s="17">
        <v>35</v>
      </c>
      <c r="AN134" s="17">
        <v>94</v>
      </c>
      <c r="AO134" s="17">
        <v>135</v>
      </c>
      <c r="AP134" s="17">
        <v>164</v>
      </c>
      <c r="AQ134" s="17">
        <v>205</v>
      </c>
      <c r="AR134" s="17">
        <v>263</v>
      </c>
      <c r="AS134" s="17">
        <v>322</v>
      </c>
      <c r="AT134" s="17">
        <v>383</v>
      </c>
      <c r="AU134" s="17">
        <v>485</v>
      </c>
      <c r="AV134" s="17">
        <v>548</v>
      </c>
      <c r="AW134" s="17">
        <v>639</v>
      </c>
      <c r="AX134" s="17">
        <v>757</v>
      </c>
      <c r="AY134" s="17">
        <v>866</v>
      </c>
      <c r="AZ134" s="17">
        <v>999</v>
      </c>
      <c r="BA134" s="17">
        <v>1234</v>
      </c>
      <c r="BB134" s="17">
        <v>1528</v>
      </c>
      <c r="BC134" s="17">
        <v>1853</v>
      </c>
      <c r="BD134" s="17">
        <v>2198</v>
      </c>
      <c r="BE134" s="17">
        <v>2640</v>
      </c>
      <c r="BF134" s="17">
        <v>3007</v>
      </c>
      <c r="BG134" s="17">
        <v>3325</v>
      </c>
      <c r="BH134" s="17">
        <v>3621</v>
      </c>
      <c r="BI134" s="17">
        <v>3915</v>
      </c>
      <c r="BJ134" s="17">
        <v>4252</v>
      </c>
      <c r="BK134" s="17">
        <v>4622</v>
      </c>
      <c r="BL134" s="17">
        <v>5003</v>
      </c>
      <c r="BM134" s="17">
        <v>5372</v>
      </c>
      <c r="BN134" s="17">
        <v>5715</v>
      </c>
      <c r="BO134" s="17">
        <v>6041</v>
      </c>
      <c r="BP134" s="17">
        <v>6352</v>
      </c>
      <c r="BQ134" s="17">
        <v>6743</v>
      </c>
      <c r="BR134" s="17">
        <v>7103</v>
      </c>
      <c r="BS134" s="17">
        <v>7433</v>
      </c>
      <c r="BT134" s="17">
        <v>7739</v>
      </c>
      <c r="BU134" s="17">
        <v>7985</v>
      </c>
      <c r="BV134" s="17">
        <v>8186</v>
      </c>
      <c r="BW134" s="17">
        <v>8351</v>
      </c>
      <c r="BX134" s="17">
        <v>8459</v>
      </c>
      <c r="BY134" s="17">
        <v>8533</v>
      </c>
      <c r="BZ134" s="17">
        <v>8595</v>
      </c>
      <c r="CA134" s="17">
        <v>8648</v>
      </c>
      <c r="CB134" s="17">
        <v>8700</v>
      </c>
      <c r="CC134" s="17">
        <v>8732</v>
      </c>
      <c r="CD134" s="17">
        <v>8751</v>
      </c>
      <c r="CE134" s="17">
        <v>8758</v>
      </c>
      <c r="CF134" s="17">
        <v>8760</v>
      </c>
      <c r="CG134" s="17">
        <v>8760</v>
      </c>
      <c r="CH134" s="17">
        <v>8760</v>
      </c>
      <c r="CI134" s="17">
        <v>8760</v>
      </c>
      <c r="CJ134" s="17">
        <v>8760</v>
      </c>
      <c r="CK134" s="17">
        <v>8760</v>
      </c>
      <c r="CL134" s="17">
        <v>8760</v>
      </c>
      <c r="CM134" s="17">
        <v>8760</v>
      </c>
      <c r="CN134" s="17">
        <v>8760</v>
      </c>
      <c r="CO134" s="17">
        <v>8760</v>
      </c>
      <c r="CP134" s="17">
        <v>8760</v>
      </c>
      <c r="CQ134" s="17">
        <v>8760</v>
      </c>
      <c r="CR134" s="17">
        <v>8760</v>
      </c>
      <c r="CS134" s="17">
        <v>8760</v>
      </c>
      <c r="CT134" s="17">
        <v>8760</v>
      </c>
      <c r="CU134" s="17">
        <v>8760</v>
      </c>
      <c r="CV134" s="17">
        <v>8760</v>
      </c>
      <c r="CW134" s="17">
        <v>8760</v>
      </c>
      <c r="CX134" s="17">
        <v>8760</v>
      </c>
      <c r="CY134" s="17">
        <v>8760</v>
      </c>
      <c r="CZ134" s="17">
        <v>8760</v>
      </c>
      <c r="DA134" s="17">
        <v>8760</v>
      </c>
      <c r="DB134" s="17">
        <v>8760</v>
      </c>
    </row>
    <row r="135" spans="1:106" s="17" customFormat="1" x14ac:dyDescent="0.25">
      <c r="A135" s="22" t="s">
        <v>153</v>
      </c>
      <c r="B135" s="17" t="s">
        <v>147</v>
      </c>
      <c r="C135" s="17" t="s">
        <v>438</v>
      </c>
      <c r="D135" s="17" t="s">
        <v>653</v>
      </c>
      <c r="E135" s="17" t="s">
        <v>654</v>
      </c>
      <c r="F135" s="17">
        <v>102205</v>
      </c>
      <c r="G135" s="17">
        <v>0</v>
      </c>
      <c r="H135" s="17">
        <v>0</v>
      </c>
      <c r="I135" s="17">
        <v>0</v>
      </c>
      <c r="J135" s="17">
        <v>0</v>
      </c>
      <c r="K135" s="17">
        <v>0</v>
      </c>
      <c r="L135" s="17">
        <v>0</v>
      </c>
      <c r="M135" s="17">
        <v>0</v>
      </c>
      <c r="N135" s="17">
        <v>0</v>
      </c>
      <c r="O135" s="17">
        <v>0</v>
      </c>
      <c r="P135" s="17">
        <v>0</v>
      </c>
      <c r="Q135" s="17">
        <v>0</v>
      </c>
      <c r="R135" s="17">
        <v>0</v>
      </c>
      <c r="S135" s="17">
        <v>0</v>
      </c>
      <c r="T135" s="17">
        <v>0</v>
      </c>
      <c r="U135" s="17">
        <v>0</v>
      </c>
      <c r="V135" s="17">
        <v>0</v>
      </c>
      <c r="W135" s="17">
        <v>0</v>
      </c>
      <c r="X135" s="17">
        <v>0</v>
      </c>
      <c r="Y135" s="17">
        <v>0</v>
      </c>
      <c r="Z135" s="17">
        <v>0</v>
      </c>
      <c r="AA135" s="17">
        <v>0</v>
      </c>
      <c r="AB135" s="17">
        <v>0</v>
      </c>
      <c r="AC135" s="17">
        <v>0</v>
      </c>
      <c r="AD135" s="17">
        <v>0</v>
      </c>
      <c r="AE135" s="17">
        <v>0</v>
      </c>
      <c r="AF135" s="17">
        <v>0</v>
      </c>
      <c r="AG135" s="17">
        <v>0</v>
      </c>
      <c r="AH135" s="17">
        <v>0</v>
      </c>
      <c r="AI135" s="17">
        <v>0</v>
      </c>
      <c r="AJ135" s="17">
        <v>0</v>
      </c>
      <c r="AK135" s="17">
        <v>0</v>
      </c>
      <c r="AL135" s="17">
        <v>0</v>
      </c>
      <c r="AM135" s="17">
        <v>0</v>
      </c>
      <c r="AN135" s="17">
        <v>0</v>
      </c>
      <c r="AO135" s="17">
        <v>8</v>
      </c>
      <c r="AP135" s="17">
        <v>21</v>
      </c>
      <c r="AQ135" s="17">
        <v>50</v>
      </c>
      <c r="AR135" s="17">
        <v>63</v>
      </c>
      <c r="AS135" s="17">
        <v>81</v>
      </c>
      <c r="AT135" s="17">
        <v>92</v>
      </c>
      <c r="AU135" s="17">
        <v>115</v>
      </c>
      <c r="AV135" s="17">
        <v>158</v>
      </c>
      <c r="AW135" s="17">
        <v>211</v>
      </c>
      <c r="AX135" s="17">
        <v>299</v>
      </c>
      <c r="AY135" s="17">
        <v>377</v>
      </c>
      <c r="AZ135" s="17">
        <v>479</v>
      </c>
      <c r="BA135" s="17">
        <v>644</v>
      </c>
      <c r="BB135" s="17">
        <v>879</v>
      </c>
      <c r="BC135" s="17">
        <v>1146</v>
      </c>
      <c r="BD135" s="17">
        <v>1430</v>
      </c>
      <c r="BE135" s="17">
        <v>1770</v>
      </c>
      <c r="BF135" s="17">
        <v>2126</v>
      </c>
      <c r="BG135" s="17">
        <v>2552</v>
      </c>
      <c r="BH135" s="17">
        <v>2996</v>
      </c>
      <c r="BI135" s="17">
        <v>3486</v>
      </c>
      <c r="BJ135" s="17">
        <v>3943</v>
      </c>
      <c r="BK135" s="17">
        <v>4385</v>
      </c>
      <c r="BL135" s="17">
        <v>4796</v>
      </c>
      <c r="BM135" s="17">
        <v>5125</v>
      </c>
      <c r="BN135" s="17">
        <v>5441</v>
      </c>
      <c r="BO135" s="17">
        <v>5787</v>
      </c>
      <c r="BP135" s="17">
        <v>6126</v>
      </c>
      <c r="BQ135" s="17">
        <v>6467</v>
      </c>
      <c r="BR135" s="17">
        <v>6831</v>
      </c>
      <c r="BS135" s="17">
        <v>7153</v>
      </c>
      <c r="BT135" s="17">
        <v>7490</v>
      </c>
      <c r="BU135" s="17">
        <v>7777</v>
      </c>
      <c r="BV135" s="17">
        <v>8032</v>
      </c>
      <c r="BW135" s="17">
        <v>8253</v>
      </c>
      <c r="BX135" s="17">
        <v>8415</v>
      </c>
      <c r="BY135" s="17">
        <v>8515</v>
      </c>
      <c r="BZ135" s="17">
        <v>8573</v>
      </c>
      <c r="CA135" s="17">
        <v>8624</v>
      </c>
      <c r="CB135" s="17">
        <v>8668</v>
      </c>
      <c r="CC135" s="17">
        <v>8695</v>
      </c>
      <c r="CD135" s="17">
        <v>8725</v>
      </c>
      <c r="CE135" s="17">
        <v>8742</v>
      </c>
      <c r="CF135" s="17">
        <v>8755</v>
      </c>
      <c r="CG135" s="17">
        <v>8759</v>
      </c>
      <c r="CH135" s="17">
        <v>8760</v>
      </c>
      <c r="CI135" s="17">
        <v>8760</v>
      </c>
      <c r="CJ135" s="17">
        <v>8760</v>
      </c>
      <c r="CK135" s="17">
        <v>8760</v>
      </c>
      <c r="CL135" s="17">
        <v>8760</v>
      </c>
      <c r="CM135" s="17">
        <v>8760</v>
      </c>
      <c r="CN135" s="17">
        <v>8760</v>
      </c>
      <c r="CO135" s="17">
        <v>8760</v>
      </c>
      <c r="CP135" s="17">
        <v>8760</v>
      </c>
      <c r="CQ135" s="17">
        <v>8760</v>
      </c>
      <c r="CR135" s="17">
        <v>8760</v>
      </c>
      <c r="CS135" s="17">
        <v>8760</v>
      </c>
      <c r="CT135" s="17">
        <v>8760</v>
      </c>
      <c r="CU135" s="17">
        <v>8760</v>
      </c>
      <c r="CV135" s="17">
        <v>8760</v>
      </c>
      <c r="CW135" s="17">
        <v>8760</v>
      </c>
      <c r="CX135" s="17">
        <v>8760</v>
      </c>
      <c r="CY135" s="17">
        <v>8760</v>
      </c>
      <c r="CZ135" s="17">
        <v>8760</v>
      </c>
      <c r="DA135" s="17">
        <v>8760</v>
      </c>
      <c r="DB135" s="17">
        <v>8760</v>
      </c>
    </row>
    <row r="136" spans="1:106" s="17" customFormat="1" x14ac:dyDescent="0.25">
      <c r="A136" s="22" t="s">
        <v>154</v>
      </c>
      <c r="B136" s="17" t="s">
        <v>148</v>
      </c>
      <c r="C136" s="17" t="s">
        <v>438</v>
      </c>
      <c r="D136" s="17" t="s">
        <v>655</v>
      </c>
      <c r="E136" s="17" t="s">
        <v>656</v>
      </c>
      <c r="F136" s="17">
        <v>102014</v>
      </c>
      <c r="G136" s="17">
        <v>0</v>
      </c>
      <c r="H136" s="17">
        <v>0</v>
      </c>
      <c r="I136" s="17">
        <v>0</v>
      </c>
      <c r="J136" s="17">
        <v>0</v>
      </c>
      <c r="K136" s="17">
        <v>0</v>
      </c>
      <c r="L136" s="17">
        <v>0</v>
      </c>
      <c r="M136" s="17">
        <v>0</v>
      </c>
      <c r="N136" s="17">
        <v>0</v>
      </c>
      <c r="O136" s="17">
        <v>0</v>
      </c>
      <c r="P136" s="17">
        <v>0</v>
      </c>
      <c r="Q136" s="17">
        <v>0</v>
      </c>
      <c r="R136" s="17">
        <v>0</v>
      </c>
      <c r="S136" s="17">
        <v>0</v>
      </c>
      <c r="T136" s="17">
        <v>0</v>
      </c>
      <c r="U136" s="17">
        <v>0</v>
      </c>
      <c r="V136" s="17">
        <v>0</v>
      </c>
      <c r="W136" s="17">
        <v>0</v>
      </c>
      <c r="X136" s="17">
        <v>0</v>
      </c>
      <c r="Y136" s="17">
        <v>0</v>
      </c>
      <c r="Z136" s="17">
        <v>6</v>
      </c>
      <c r="AA136" s="17">
        <v>15</v>
      </c>
      <c r="AB136" s="17">
        <v>21</v>
      </c>
      <c r="AC136" s="17">
        <v>37</v>
      </c>
      <c r="AD136" s="17">
        <v>54</v>
      </c>
      <c r="AE136" s="17">
        <v>76</v>
      </c>
      <c r="AF136" s="17">
        <v>119</v>
      </c>
      <c r="AG136" s="17">
        <v>186</v>
      </c>
      <c r="AH136" s="17">
        <v>254</v>
      </c>
      <c r="AI136" s="17">
        <v>315</v>
      </c>
      <c r="AJ136" s="17">
        <v>387</v>
      </c>
      <c r="AK136" s="17">
        <v>455</v>
      </c>
      <c r="AL136" s="17">
        <v>538</v>
      </c>
      <c r="AM136" s="17">
        <v>632</v>
      </c>
      <c r="AN136" s="17">
        <v>729</v>
      </c>
      <c r="AO136" s="17">
        <v>847</v>
      </c>
      <c r="AP136" s="17">
        <v>969</v>
      </c>
      <c r="AQ136" s="17">
        <v>1118</v>
      </c>
      <c r="AR136" s="17">
        <v>1275</v>
      </c>
      <c r="AS136" s="17">
        <v>1442</v>
      </c>
      <c r="AT136" s="17">
        <v>1635</v>
      </c>
      <c r="AU136" s="17">
        <v>1814</v>
      </c>
      <c r="AV136" s="17">
        <v>2042</v>
      </c>
      <c r="AW136" s="17">
        <v>2310</v>
      </c>
      <c r="AX136" s="17">
        <v>2600</v>
      </c>
      <c r="AY136" s="17">
        <v>2891</v>
      </c>
      <c r="AZ136" s="17">
        <v>3181</v>
      </c>
      <c r="BA136" s="17">
        <v>3499</v>
      </c>
      <c r="BB136" s="17">
        <v>3836</v>
      </c>
      <c r="BC136" s="17">
        <v>4161</v>
      </c>
      <c r="BD136" s="17">
        <v>4507</v>
      </c>
      <c r="BE136" s="17">
        <v>4898</v>
      </c>
      <c r="BF136" s="17">
        <v>5218</v>
      </c>
      <c r="BG136" s="17">
        <v>5516</v>
      </c>
      <c r="BH136" s="17">
        <v>5736</v>
      </c>
      <c r="BI136" s="17">
        <v>6003</v>
      </c>
      <c r="BJ136" s="17">
        <v>6310</v>
      </c>
      <c r="BK136" s="17">
        <v>6601</v>
      </c>
      <c r="BL136" s="17">
        <v>6884</v>
      </c>
      <c r="BM136" s="17">
        <v>7127</v>
      </c>
      <c r="BN136" s="17">
        <v>7353</v>
      </c>
      <c r="BO136" s="17">
        <v>7631</v>
      </c>
      <c r="BP136" s="17">
        <v>7867</v>
      </c>
      <c r="BQ136" s="17">
        <v>8105</v>
      </c>
      <c r="BR136" s="17">
        <v>8279</v>
      </c>
      <c r="BS136" s="17">
        <v>8436</v>
      </c>
      <c r="BT136" s="17">
        <v>8539</v>
      </c>
      <c r="BU136" s="17">
        <v>8602</v>
      </c>
      <c r="BV136" s="17">
        <v>8652</v>
      </c>
      <c r="BW136" s="17">
        <v>8688</v>
      </c>
      <c r="BX136" s="17">
        <v>8729</v>
      </c>
      <c r="BY136" s="17">
        <v>8744</v>
      </c>
      <c r="BZ136" s="17">
        <v>8758</v>
      </c>
      <c r="CA136" s="17">
        <v>8760</v>
      </c>
      <c r="CB136" s="17">
        <v>8760</v>
      </c>
      <c r="CC136" s="17">
        <v>8760</v>
      </c>
      <c r="CD136" s="17">
        <v>8760</v>
      </c>
      <c r="CE136" s="17">
        <v>8760</v>
      </c>
      <c r="CF136" s="17">
        <v>8760</v>
      </c>
      <c r="CG136" s="17">
        <v>8760</v>
      </c>
      <c r="CH136" s="17">
        <v>8760</v>
      </c>
      <c r="CI136" s="17">
        <v>8760</v>
      </c>
      <c r="CJ136" s="17">
        <v>8760</v>
      </c>
      <c r="CK136" s="17">
        <v>8760</v>
      </c>
      <c r="CL136" s="17">
        <v>8760</v>
      </c>
      <c r="CM136" s="17">
        <v>8760</v>
      </c>
      <c r="CN136" s="17">
        <v>8760</v>
      </c>
      <c r="CO136" s="17">
        <v>8760</v>
      </c>
      <c r="CP136" s="17">
        <v>8760</v>
      </c>
      <c r="CQ136" s="17">
        <v>8760</v>
      </c>
      <c r="CR136" s="17">
        <v>8760</v>
      </c>
      <c r="CS136" s="17">
        <v>8760</v>
      </c>
      <c r="CT136" s="17">
        <v>8760</v>
      </c>
      <c r="CU136" s="17">
        <v>8760</v>
      </c>
      <c r="CV136" s="17">
        <v>8760</v>
      </c>
      <c r="CW136" s="17">
        <v>8760</v>
      </c>
      <c r="CX136" s="17">
        <v>8760</v>
      </c>
      <c r="CY136" s="17">
        <v>8760</v>
      </c>
      <c r="CZ136" s="17">
        <v>8760</v>
      </c>
      <c r="DA136" s="17">
        <v>8760</v>
      </c>
      <c r="DB136" s="17">
        <v>8760</v>
      </c>
    </row>
    <row r="137" spans="1:106" s="17" customFormat="1" x14ac:dyDescent="0.25">
      <c r="A137" s="22" t="s">
        <v>155</v>
      </c>
      <c r="B137" s="17" t="s">
        <v>149</v>
      </c>
      <c r="C137" s="17" t="s">
        <v>438</v>
      </c>
      <c r="D137" s="17" t="s">
        <v>657</v>
      </c>
      <c r="E137" s="17" t="s">
        <v>658</v>
      </c>
      <c r="F137" s="17">
        <v>102403</v>
      </c>
      <c r="G137" s="17">
        <v>0</v>
      </c>
      <c r="H137" s="17">
        <v>0</v>
      </c>
      <c r="I137" s="17">
        <v>0</v>
      </c>
      <c r="J137" s="17">
        <v>0</v>
      </c>
      <c r="K137" s="17">
        <v>0</v>
      </c>
      <c r="L137" s="17">
        <v>0</v>
      </c>
      <c r="M137" s="17">
        <v>0</v>
      </c>
      <c r="N137" s="17">
        <v>0</v>
      </c>
      <c r="O137" s="17">
        <v>0</v>
      </c>
      <c r="P137" s="17">
        <v>0</v>
      </c>
      <c r="Q137" s="17">
        <v>0</v>
      </c>
      <c r="R137" s="17">
        <v>0</v>
      </c>
      <c r="S137" s="17">
        <v>0</v>
      </c>
      <c r="T137" s="17">
        <v>0</v>
      </c>
      <c r="U137" s="17">
        <v>0</v>
      </c>
      <c r="V137" s="17">
        <v>0</v>
      </c>
      <c r="W137" s="17">
        <v>0</v>
      </c>
      <c r="X137" s="17">
        <v>0</v>
      </c>
      <c r="Y137" s="17">
        <v>0</v>
      </c>
      <c r="Z137" s="17">
        <v>0</v>
      </c>
      <c r="AA137" s="17">
        <v>0</v>
      </c>
      <c r="AB137" s="17">
        <v>0</v>
      </c>
      <c r="AC137" s="17">
        <v>0</v>
      </c>
      <c r="AD137" s="17">
        <v>0</v>
      </c>
      <c r="AE137" s="17">
        <v>0</v>
      </c>
      <c r="AF137" s="17">
        <v>0</v>
      </c>
      <c r="AG137" s="17">
        <v>0</v>
      </c>
      <c r="AH137" s="17">
        <v>0</v>
      </c>
      <c r="AI137" s="17">
        <v>0</v>
      </c>
      <c r="AJ137" s="17">
        <v>5</v>
      </c>
      <c r="AK137" s="17">
        <v>9</v>
      </c>
      <c r="AL137" s="17">
        <v>13</v>
      </c>
      <c r="AM137" s="17">
        <v>19</v>
      </c>
      <c r="AN137" s="17">
        <v>29</v>
      </c>
      <c r="AO137" s="17">
        <v>48</v>
      </c>
      <c r="AP137" s="17">
        <v>60</v>
      </c>
      <c r="AQ137" s="17">
        <v>73</v>
      </c>
      <c r="AR137" s="17">
        <v>83</v>
      </c>
      <c r="AS137" s="17">
        <v>100</v>
      </c>
      <c r="AT137" s="17">
        <v>131</v>
      </c>
      <c r="AU137" s="17">
        <v>161</v>
      </c>
      <c r="AV137" s="17">
        <v>219</v>
      </c>
      <c r="AW137" s="17">
        <v>295</v>
      </c>
      <c r="AX137" s="17">
        <v>379</v>
      </c>
      <c r="AY137" s="17">
        <v>505</v>
      </c>
      <c r="AZ137" s="17">
        <v>673</v>
      </c>
      <c r="BA137" s="17">
        <v>887</v>
      </c>
      <c r="BB137" s="17">
        <v>1182</v>
      </c>
      <c r="BC137" s="17">
        <v>1450</v>
      </c>
      <c r="BD137" s="17">
        <v>1805</v>
      </c>
      <c r="BE137" s="17">
        <v>2228</v>
      </c>
      <c r="BF137" s="17">
        <v>2672</v>
      </c>
      <c r="BG137" s="17">
        <v>3146</v>
      </c>
      <c r="BH137" s="17">
        <v>3644</v>
      </c>
      <c r="BI137" s="17">
        <v>4102</v>
      </c>
      <c r="BJ137" s="17">
        <v>4438</v>
      </c>
      <c r="BK137" s="17">
        <v>4720</v>
      </c>
      <c r="BL137" s="17">
        <v>5018</v>
      </c>
      <c r="BM137" s="17">
        <v>5310</v>
      </c>
      <c r="BN137" s="17">
        <v>5584</v>
      </c>
      <c r="BO137" s="17">
        <v>5920</v>
      </c>
      <c r="BP137" s="17">
        <v>6252</v>
      </c>
      <c r="BQ137" s="17">
        <v>6590</v>
      </c>
      <c r="BR137" s="17">
        <v>6939</v>
      </c>
      <c r="BS137" s="17">
        <v>7269</v>
      </c>
      <c r="BT137" s="17">
        <v>7544</v>
      </c>
      <c r="BU137" s="17">
        <v>7783</v>
      </c>
      <c r="BV137" s="17">
        <v>7971</v>
      </c>
      <c r="BW137" s="17">
        <v>8163</v>
      </c>
      <c r="BX137" s="17">
        <v>8306</v>
      </c>
      <c r="BY137" s="17">
        <v>8410</v>
      </c>
      <c r="BZ137" s="17">
        <v>8509</v>
      </c>
      <c r="CA137" s="17">
        <v>8570</v>
      </c>
      <c r="CB137" s="17">
        <v>8615</v>
      </c>
      <c r="CC137" s="17">
        <v>8661</v>
      </c>
      <c r="CD137" s="17">
        <v>8687</v>
      </c>
      <c r="CE137" s="17">
        <v>8718</v>
      </c>
      <c r="CF137" s="17">
        <v>8736</v>
      </c>
      <c r="CG137" s="17">
        <v>8750</v>
      </c>
      <c r="CH137" s="17">
        <v>8755</v>
      </c>
      <c r="CI137" s="17">
        <v>8760</v>
      </c>
      <c r="CJ137" s="17">
        <v>8760</v>
      </c>
      <c r="CK137" s="17">
        <v>8760</v>
      </c>
      <c r="CL137" s="17">
        <v>8760</v>
      </c>
      <c r="CM137" s="17">
        <v>8760</v>
      </c>
      <c r="CN137" s="17">
        <v>8760</v>
      </c>
      <c r="CO137" s="17">
        <v>8760</v>
      </c>
      <c r="CP137" s="17">
        <v>8760</v>
      </c>
      <c r="CQ137" s="17">
        <v>8760</v>
      </c>
      <c r="CR137" s="17">
        <v>8760</v>
      </c>
      <c r="CS137" s="17">
        <v>8760</v>
      </c>
      <c r="CT137" s="17">
        <v>8760</v>
      </c>
      <c r="CU137" s="17">
        <v>8760</v>
      </c>
      <c r="CV137" s="17">
        <v>8760</v>
      </c>
      <c r="CW137" s="17">
        <v>8760</v>
      </c>
      <c r="CX137" s="17">
        <v>8760</v>
      </c>
      <c r="CY137" s="17">
        <v>8760</v>
      </c>
      <c r="CZ137" s="17">
        <v>8760</v>
      </c>
      <c r="DA137" s="17">
        <v>8760</v>
      </c>
      <c r="DB137" s="17">
        <v>8760</v>
      </c>
    </row>
    <row r="138" spans="1:106" s="17" customFormat="1" x14ac:dyDescent="0.25">
      <c r="A138" s="22" t="s">
        <v>156</v>
      </c>
      <c r="B138" s="17" t="s">
        <v>150</v>
      </c>
      <c r="C138" s="17" t="s">
        <v>438</v>
      </c>
      <c r="D138" s="17" t="s">
        <v>659</v>
      </c>
      <c r="E138" s="17" t="s">
        <v>660</v>
      </c>
      <c r="F138" s="17">
        <v>102110</v>
      </c>
      <c r="G138" s="17">
        <v>0</v>
      </c>
      <c r="H138" s="17">
        <v>0</v>
      </c>
      <c r="I138" s="17">
        <v>0</v>
      </c>
      <c r="J138" s="17">
        <v>0</v>
      </c>
      <c r="K138" s="17">
        <v>0</v>
      </c>
      <c r="L138" s="17">
        <v>0</v>
      </c>
      <c r="M138" s="17">
        <v>0</v>
      </c>
      <c r="N138" s="17">
        <v>0</v>
      </c>
      <c r="O138" s="17">
        <v>0</v>
      </c>
      <c r="P138" s="17">
        <v>0</v>
      </c>
      <c r="Q138" s="17">
        <v>0</v>
      </c>
      <c r="R138" s="17">
        <v>0</v>
      </c>
      <c r="S138" s="17">
        <v>0</v>
      </c>
      <c r="T138" s="17">
        <v>0</v>
      </c>
      <c r="U138" s="17">
        <v>0</v>
      </c>
      <c r="V138" s="17">
        <v>0</v>
      </c>
      <c r="W138" s="17">
        <v>0</v>
      </c>
      <c r="X138" s="17">
        <v>0</v>
      </c>
      <c r="Y138" s="17">
        <v>0</v>
      </c>
      <c r="Z138" s="17">
        <v>0</v>
      </c>
      <c r="AA138" s="17">
        <v>0</v>
      </c>
      <c r="AB138" s="17">
        <v>0</v>
      </c>
      <c r="AC138" s="17">
        <v>0</v>
      </c>
      <c r="AD138" s="17">
        <v>0</v>
      </c>
      <c r="AE138" s="17">
        <v>0</v>
      </c>
      <c r="AF138" s="17">
        <v>0</v>
      </c>
      <c r="AG138" s="17">
        <v>0</v>
      </c>
      <c r="AH138" s="17">
        <v>0</v>
      </c>
      <c r="AI138" s="17">
        <v>0</v>
      </c>
      <c r="AJ138" s="17">
        <v>0</v>
      </c>
      <c r="AK138" s="17">
        <v>0</v>
      </c>
      <c r="AL138" s="17">
        <v>0</v>
      </c>
      <c r="AM138" s="17">
        <v>0</v>
      </c>
      <c r="AN138" s="17">
        <v>0</v>
      </c>
      <c r="AO138" s="17">
        <v>0</v>
      </c>
      <c r="AP138" s="17">
        <v>4</v>
      </c>
      <c r="AQ138" s="17">
        <v>10</v>
      </c>
      <c r="AR138" s="17">
        <v>23</v>
      </c>
      <c r="AS138" s="17">
        <v>42</v>
      </c>
      <c r="AT138" s="17">
        <v>75</v>
      </c>
      <c r="AU138" s="17">
        <v>112</v>
      </c>
      <c r="AV138" s="17">
        <v>152</v>
      </c>
      <c r="AW138" s="17">
        <v>202</v>
      </c>
      <c r="AX138" s="17">
        <v>263</v>
      </c>
      <c r="AY138" s="17">
        <v>361</v>
      </c>
      <c r="AZ138" s="17">
        <v>481</v>
      </c>
      <c r="BA138" s="17">
        <v>622</v>
      </c>
      <c r="BB138" s="17">
        <v>812</v>
      </c>
      <c r="BC138" s="17">
        <v>1046</v>
      </c>
      <c r="BD138" s="17">
        <v>1310</v>
      </c>
      <c r="BE138" s="17">
        <v>1660</v>
      </c>
      <c r="BF138" s="17">
        <v>2077</v>
      </c>
      <c r="BG138" s="17">
        <v>2487</v>
      </c>
      <c r="BH138" s="17">
        <v>2911</v>
      </c>
      <c r="BI138" s="17">
        <v>3384</v>
      </c>
      <c r="BJ138" s="17">
        <v>3831</v>
      </c>
      <c r="BK138" s="17">
        <v>4247</v>
      </c>
      <c r="BL138" s="17">
        <v>4528</v>
      </c>
      <c r="BM138" s="17">
        <v>4788</v>
      </c>
      <c r="BN138" s="17">
        <v>5119</v>
      </c>
      <c r="BO138" s="17">
        <v>5477</v>
      </c>
      <c r="BP138" s="17">
        <v>5937</v>
      </c>
      <c r="BQ138" s="17">
        <v>6394</v>
      </c>
      <c r="BR138" s="17">
        <v>6778</v>
      </c>
      <c r="BS138" s="17">
        <v>7125</v>
      </c>
      <c r="BT138" s="17">
        <v>7431</v>
      </c>
      <c r="BU138" s="17">
        <v>7725</v>
      </c>
      <c r="BV138" s="17">
        <v>8011</v>
      </c>
      <c r="BW138" s="17">
        <v>8185</v>
      </c>
      <c r="BX138" s="17">
        <v>8300</v>
      </c>
      <c r="BY138" s="17">
        <v>8407</v>
      </c>
      <c r="BZ138" s="17">
        <v>8507</v>
      </c>
      <c r="CA138" s="17">
        <v>8576</v>
      </c>
      <c r="CB138" s="17">
        <v>8629</v>
      </c>
      <c r="CC138" s="17">
        <v>8663</v>
      </c>
      <c r="CD138" s="17">
        <v>8703</v>
      </c>
      <c r="CE138" s="17">
        <v>8736</v>
      </c>
      <c r="CF138" s="17">
        <v>8756</v>
      </c>
      <c r="CG138" s="17">
        <v>8760</v>
      </c>
      <c r="CH138" s="17">
        <v>8760</v>
      </c>
      <c r="CI138" s="17">
        <v>8760</v>
      </c>
      <c r="CJ138" s="17">
        <v>8760</v>
      </c>
      <c r="CK138" s="17">
        <v>8760</v>
      </c>
      <c r="CL138" s="17">
        <v>8760</v>
      </c>
      <c r="CM138" s="17">
        <v>8760</v>
      </c>
      <c r="CN138" s="17">
        <v>8760</v>
      </c>
      <c r="CO138" s="17">
        <v>8760</v>
      </c>
      <c r="CP138" s="17">
        <v>8760</v>
      </c>
      <c r="CQ138" s="17">
        <v>8760</v>
      </c>
      <c r="CR138" s="17">
        <v>8760</v>
      </c>
      <c r="CS138" s="17">
        <v>8760</v>
      </c>
      <c r="CT138" s="17">
        <v>8760</v>
      </c>
      <c r="CU138" s="17">
        <v>8760</v>
      </c>
      <c r="CV138" s="17">
        <v>8760</v>
      </c>
      <c r="CW138" s="17">
        <v>8760</v>
      </c>
      <c r="CX138" s="17">
        <v>8760</v>
      </c>
      <c r="CY138" s="17">
        <v>8760</v>
      </c>
      <c r="CZ138" s="17">
        <v>8760</v>
      </c>
      <c r="DA138" s="17">
        <v>8760</v>
      </c>
      <c r="DB138" s="17">
        <v>8760</v>
      </c>
    </row>
    <row r="139" spans="1:106" s="17" customFormat="1" x14ac:dyDescent="0.25">
      <c r="A139" s="22" t="s">
        <v>157</v>
      </c>
      <c r="B139" s="17" t="s">
        <v>151</v>
      </c>
      <c r="C139" s="17" t="s">
        <v>438</v>
      </c>
      <c r="D139" s="17" t="s">
        <v>661</v>
      </c>
      <c r="E139" s="17" t="s">
        <v>662</v>
      </c>
      <c r="F139" s="17">
        <v>102638</v>
      </c>
      <c r="G139" s="17">
        <v>0</v>
      </c>
      <c r="H139" s="17">
        <v>0</v>
      </c>
      <c r="I139" s="17">
        <v>0</v>
      </c>
      <c r="J139" s="17">
        <v>0</v>
      </c>
      <c r="K139" s="17">
        <v>0</v>
      </c>
      <c r="L139" s="17">
        <v>0</v>
      </c>
      <c r="M139" s="17">
        <v>0</v>
      </c>
      <c r="N139" s="17">
        <v>0</v>
      </c>
      <c r="O139" s="17">
        <v>0</v>
      </c>
      <c r="P139" s="17">
        <v>0</v>
      </c>
      <c r="Q139" s="17">
        <v>0</v>
      </c>
      <c r="R139" s="17">
        <v>0</v>
      </c>
      <c r="S139" s="17">
        <v>0</v>
      </c>
      <c r="T139" s="17">
        <v>0</v>
      </c>
      <c r="U139" s="17">
        <v>0</v>
      </c>
      <c r="V139" s="17">
        <v>0</v>
      </c>
      <c r="W139" s="17">
        <v>0</v>
      </c>
      <c r="X139" s="17">
        <v>0</v>
      </c>
      <c r="Y139" s="17">
        <v>0</v>
      </c>
      <c r="Z139" s="17">
        <v>0</v>
      </c>
      <c r="AA139" s="17">
        <v>0</v>
      </c>
      <c r="AB139" s="17">
        <v>0</v>
      </c>
      <c r="AC139" s="17">
        <v>0</v>
      </c>
      <c r="AD139" s="17">
        <v>0</v>
      </c>
      <c r="AE139" s="17">
        <v>0</v>
      </c>
      <c r="AF139" s="17">
        <v>0</v>
      </c>
      <c r="AG139" s="17">
        <v>0</v>
      </c>
      <c r="AH139" s="17">
        <v>0</v>
      </c>
      <c r="AI139" s="17">
        <v>0</v>
      </c>
      <c r="AJ139" s="17">
        <v>0</v>
      </c>
      <c r="AK139" s="17">
        <v>0</v>
      </c>
      <c r="AL139" s="17">
        <v>0</v>
      </c>
      <c r="AM139" s="17">
        <v>2</v>
      </c>
      <c r="AN139" s="17">
        <v>13</v>
      </c>
      <c r="AO139" s="17">
        <v>26</v>
      </c>
      <c r="AP139" s="17">
        <v>51</v>
      </c>
      <c r="AQ139" s="17">
        <v>91</v>
      </c>
      <c r="AR139" s="17">
        <v>133</v>
      </c>
      <c r="AS139" s="17">
        <v>160</v>
      </c>
      <c r="AT139" s="17">
        <v>194</v>
      </c>
      <c r="AU139" s="17">
        <v>236</v>
      </c>
      <c r="AV139" s="17">
        <v>279</v>
      </c>
      <c r="AW139" s="17">
        <v>360</v>
      </c>
      <c r="AX139" s="17">
        <v>474</v>
      </c>
      <c r="AY139" s="17">
        <v>623</v>
      </c>
      <c r="AZ139" s="17">
        <v>829</v>
      </c>
      <c r="BA139" s="17">
        <v>1056</v>
      </c>
      <c r="BB139" s="17">
        <v>1284</v>
      </c>
      <c r="BC139" s="17">
        <v>1554</v>
      </c>
      <c r="BD139" s="17">
        <v>1917</v>
      </c>
      <c r="BE139" s="17">
        <v>2394</v>
      </c>
      <c r="BF139" s="17">
        <v>2823</v>
      </c>
      <c r="BG139" s="17">
        <v>3215</v>
      </c>
      <c r="BH139" s="17">
        <v>3535</v>
      </c>
      <c r="BI139" s="17">
        <v>3893</v>
      </c>
      <c r="BJ139" s="17">
        <v>4275</v>
      </c>
      <c r="BK139" s="17">
        <v>4610</v>
      </c>
      <c r="BL139" s="17">
        <v>4912</v>
      </c>
      <c r="BM139" s="17">
        <v>5288</v>
      </c>
      <c r="BN139" s="17">
        <v>5680</v>
      </c>
      <c r="BO139" s="17">
        <v>6052</v>
      </c>
      <c r="BP139" s="17">
        <v>6379</v>
      </c>
      <c r="BQ139" s="17">
        <v>6702</v>
      </c>
      <c r="BR139" s="17">
        <v>7048</v>
      </c>
      <c r="BS139" s="17">
        <v>7326</v>
      </c>
      <c r="BT139" s="17">
        <v>7592</v>
      </c>
      <c r="BU139" s="17">
        <v>7832</v>
      </c>
      <c r="BV139" s="17">
        <v>8014</v>
      </c>
      <c r="BW139" s="17">
        <v>8181</v>
      </c>
      <c r="BX139" s="17">
        <v>8322</v>
      </c>
      <c r="BY139" s="17">
        <v>8451</v>
      </c>
      <c r="BZ139" s="17">
        <v>8533</v>
      </c>
      <c r="CA139" s="17">
        <v>8592</v>
      </c>
      <c r="CB139" s="17">
        <v>8659</v>
      </c>
      <c r="CC139" s="17">
        <v>8699</v>
      </c>
      <c r="CD139" s="17">
        <v>8717</v>
      </c>
      <c r="CE139" s="17">
        <v>8732</v>
      </c>
      <c r="CF139" s="17">
        <v>8747</v>
      </c>
      <c r="CG139" s="17">
        <v>8756</v>
      </c>
      <c r="CH139" s="17">
        <v>8760</v>
      </c>
      <c r="CI139" s="17">
        <v>8760</v>
      </c>
      <c r="CJ139" s="17">
        <v>8760</v>
      </c>
      <c r="CK139" s="17">
        <v>8760</v>
      </c>
      <c r="CL139" s="17">
        <v>8760</v>
      </c>
      <c r="CM139" s="17">
        <v>8760</v>
      </c>
      <c r="CN139" s="17">
        <v>8760</v>
      </c>
      <c r="CO139" s="17">
        <v>8760</v>
      </c>
      <c r="CP139" s="17">
        <v>8760</v>
      </c>
      <c r="CQ139" s="17">
        <v>8760</v>
      </c>
      <c r="CR139" s="17">
        <v>8760</v>
      </c>
      <c r="CS139" s="17">
        <v>8760</v>
      </c>
      <c r="CT139" s="17">
        <v>8760</v>
      </c>
      <c r="CU139" s="17">
        <v>8760</v>
      </c>
      <c r="CV139" s="17">
        <v>8760</v>
      </c>
      <c r="CW139" s="17">
        <v>8760</v>
      </c>
      <c r="CX139" s="17">
        <v>8760</v>
      </c>
      <c r="CY139" s="17">
        <v>8760</v>
      </c>
      <c r="CZ139" s="17">
        <v>8760</v>
      </c>
      <c r="DA139" s="17">
        <v>8760</v>
      </c>
      <c r="DB139" s="17">
        <v>8760</v>
      </c>
    </row>
    <row r="140" spans="1:106" s="17" customFormat="1" x14ac:dyDescent="0.25">
      <c r="A140" s="22" t="s">
        <v>158</v>
      </c>
      <c r="B140" s="17" t="s">
        <v>153</v>
      </c>
      <c r="C140" s="17" t="s">
        <v>438</v>
      </c>
      <c r="D140" s="17" t="s">
        <v>663</v>
      </c>
      <c r="E140" s="17" t="s">
        <v>664</v>
      </c>
      <c r="F140" s="17">
        <v>102516</v>
      </c>
      <c r="G140" s="17">
        <v>0</v>
      </c>
      <c r="H140" s="17">
        <v>0</v>
      </c>
      <c r="I140" s="17">
        <v>0</v>
      </c>
      <c r="J140" s="17">
        <v>0</v>
      </c>
      <c r="K140" s="17">
        <v>0</v>
      </c>
      <c r="L140" s="17">
        <v>0</v>
      </c>
      <c r="M140" s="17">
        <v>0</v>
      </c>
      <c r="N140" s="17">
        <v>0</v>
      </c>
      <c r="O140" s="17">
        <v>0</v>
      </c>
      <c r="P140" s="17">
        <v>0</v>
      </c>
      <c r="Q140" s="17">
        <v>0</v>
      </c>
      <c r="R140" s="17">
        <v>0</v>
      </c>
      <c r="S140" s="17">
        <v>0</v>
      </c>
      <c r="T140" s="17">
        <v>0</v>
      </c>
      <c r="U140" s="17">
        <v>0</v>
      </c>
      <c r="V140" s="17">
        <v>0</v>
      </c>
      <c r="W140" s="17">
        <v>0</v>
      </c>
      <c r="X140" s="17">
        <v>0</v>
      </c>
      <c r="Y140" s="17">
        <v>0</v>
      </c>
      <c r="Z140" s="17">
        <v>0</v>
      </c>
      <c r="AA140" s="17">
        <v>0</v>
      </c>
      <c r="AB140" s="17">
        <v>0</v>
      </c>
      <c r="AC140" s="17">
        <v>0</v>
      </c>
      <c r="AD140" s="17">
        <v>0</v>
      </c>
      <c r="AE140" s="17">
        <v>2</v>
      </c>
      <c r="AF140" s="17">
        <v>7</v>
      </c>
      <c r="AG140" s="17">
        <v>14</v>
      </c>
      <c r="AH140" s="17">
        <v>24</v>
      </c>
      <c r="AI140" s="17">
        <v>27</v>
      </c>
      <c r="AJ140" s="17">
        <v>29</v>
      </c>
      <c r="AK140" s="17">
        <v>39</v>
      </c>
      <c r="AL140" s="17">
        <v>52</v>
      </c>
      <c r="AM140" s="17">
        <v>75</v>
      </c>
      <c r="AN140" s="17">
        <v>93</v>
      </c>
      <c r="AO140" s="17">
        <v>110</v>
      </c>
      <c r="AP140" s="17">
        <v>135</v>
      </c>
      <c r="AQ140" s="17">
        <v>170</v>
      </c>
      <c r="AR140" s="17">
        <v>211</v>
      </c>
      <c r="AS140" s="17">
        <v>276</v>
      </c>
      <c r="AT140" s="17">
        <v>345</v>
      </c>
      <c r="AU140" s="17">
        <v>438</v>
      </c>
      <c r="AV140" s="17">
        <v>533</v>
      </c>
      <c r="AW140" s="17">
        <v>639</v>
      </c>
      <c r="AX140" s="17">
        <v>834</v>
      </c>
      <c r="AY140" s="17">
        <v>1019</v>
      </c>
      <c r="AZ140" s="17">
        <v>1273</v>
      </c>
      <c r="BA140" s="17">
        <v>1534</v>
      </c>
      <c r="BB140" s="17">
        <v>1794</v>
      </c>
      <c r="BC140" s="17">
        <v>2197</v>
      </c>
      <c r="BD140" s="17">
        <v>2608</v>
      </c>
      <c r="BE140" s="17">
        <v>2985</v>
      </c>
      <c r="BF140" s="17">
        <v>3295</v>
      </c>
      <c r="BG140" s="17">
        <v>3626</v>
      </c>
      <c r="BH140" s="17">
        <v>3946</v>
      </c>
      <c r="BI140" s="17">
        <v>4260</v>
      </c>
      <c r="BJ140" s="17">
        <v>4629</v>
      </c>
      <c r="BK140" s="17">
        <v>4965</v>
      </c>
      <c r="BL140" s="17">
        <v>5285</v>
      </c>
      <c r="BM140" s="17">
        <v>5585</v>
      </c>
      <c r="BN140" s="17">
        <v>5909</v>
      </c>
      <c r="BO140" s="17">
        <v>6216</v>
      </c>
      <c r="BP140" s="17">
        <v>6576</v>
      </c>
      <c r="BQ140" s="17">
        <v>6908</v>
      </c>
      <c r="BR140" s="17">
        <v>7218</v>
      </c>
      <c r="BS140" s="17">
        <v>7488</v>
      </c>
      <c r="BT140" s="17">
        <v>7720</v>
      </c>
      <c r="BU140" s="17">
        <v>7922</v>
      </c>
      <c r="BV140" s="17">
        <v>8153</v>
      </c>
      <c r="BW140" s="17">
        <v>8305</v>
      </c>
      <c r="BX140" s="17">
        <v>8413</v>
      </c>
      <c r="BY140" s="17">
        <v>8516</v>
      </c>
      <c r="BZ140" s="17">
        <v>8582</v>
      </c>
      <c r="CA140" s="17">
        <v>8627</v>
      </c>
      <c r="CB140" s="17">
        <v>8654</v>
      </c>
      <c r="CC140" s="17">
        <v>8681</v>
      </c>
      <c r="CD140" s="17">
        <v>8710</v>
      </c>
      <c r="CE140" s="17">
        <v>8733</v>
      </c>
      <c r="CF140" s="17">
        <v>8758</v>
      </c>
      <c r="CG140" s="17">
        <v>8760</v>
      </c>
      <c r="CH140" s="17">
        <v>8760</v>
      </c>
      <c r="CI140" s="17">
        <v>8760</v>
      </c>
      <c r="CJ140" s="17">
        <v>8760</v>
      </c>
      <c r="CK140" s="17">
        <v>8760</v>
      </c>
      <c r="CL140" s="17">
        <v>8760</v>
      </c>
      <c r="CM140" s="17">
        <v>8760</v>
      </c>
      <c r="CN140" s="17">
        <v>8760</v>
      </c>
      <c r="CO140" s="17">
        <v>8760</v>
      </c>
      <c r="CP140" s="17">
        <v>8760</v>
      </c>
      <c r="CQ140" s="17">
        <v>8760</v>
      </c>
      <c r="CR140" s="17">
        <v>8760</v>
      </c>
      <c r="CS140" s="17">
        <v>8760</v>
      </c>
      <c r="CT140" s="17">
        <v>8760</v>
      </c>
      <c r="CU140" s="17">
        <v>8760</v>
      </c>
      <c r="CV140" s="17">
        <v>8760</v>
      </c>
      <c r="CW140" s="17">
        <v>8760</v>
      </c>
      <c r="CX140" s="17">
        <v>8760</v>
      </c>
      <c r="CY140" s="17">
        <v>8760</v>
      </c>
      <c r="CZ140" s="17">
        <v>8760</v>
      </c>
      <c r="DA140" s="17">
        <v>8760</v>
      </c>
      <c r="DB140" s="17">
        <v>8760</v>
      </c>
    </row>
    <row r="141" spans="1:106" s="17" customFormat="1" x14ac:dyDescent="0.25">
      <c r="A141" s="22" t="s">
        <v>159</v>
      </c>
      <c r="B141" s="17" t="s">
        <v>154</v>
      </c>
      <c r="C141" s="17" t="s">
        <v>438</v>
      </c>
      <c r="D141" s="17" t="s">
        <v>665</v>
      </c>
      <c r="E141" s="17" t="s">
        <v>666</v>
      </c>
      <c r="F141" s="17">
        <v>102807</v>
      </c>
      <c r="G141" s="17">
        <v>0</v>
      </c>
      <c r="H141" s="17">
        <v>0</v>
      </c>
      <c r="I141" s="17">
        <v>0</v>
      </c>
      <c r="J141" s="17">
        <v>0</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0</v>
      </c>
      <c r="AC141" s="17">
        <v>0</v>
      </c>
      <c r="AD141" s="17">
        <v>0</v>
      </c>
      <c r="AE141" s="17">
        <v>0</v>
      </c>
      <c r="AF141" s="17">
        <v>1</v>
      </c>
      <c r="AG141" s="17">
        <v>7</v>
      </c>
      <c r="AH141" s="17">
        <v>16</v>
      </c>
      <c r="AI141" s="17">
        <v>29</v>
      </c>
      <c r="AJ141" s="17">
        <v>52</v>
      </c>
      <c r="AK141" s="17">
        <v>81</v>
      </c>
      <c r="AL141" s="17">
        <v>117</v>
      </c>
      <c r="AM141" s="17">
        <v>156</v>
      </c>
      <c r="AN141" s="17">
        <v>232</v>
      </c>
      <c r="AO141" s="17">
        <v>276</v>
      </c>
      <c r="AP141" s="17">
        <v>327</v>
      </c>
      <c r="AQ141" s="17">
        <v>409</v>
      </c>
      <c r="AR141" s="17">
        <v>500</v>
      </c>
      <c r="AS141" s="17">
        <v>584</v>
      </c>
      <c r="AT141" s="17">
        <v>700</v>
      </c>
      <c r="AU141" s="17">
        <v>819</v>
      </c>
      <c r="AV141" s="17">
        <v>945</v>
      </c>
      <c r="AW141" s="17">
        <v>1067</v>
      </c>
      <c r="AX141" s="17">
        <v>1221</v>
      </c>
      <c r="AY141" s="17">
        <v>1446</v>
      </c>
      <c r="AZ141" s="17">
        <v>1685</v>
      </c>
      <c r="BA141" s="17">
        <v>1911</v>
      </c>
      <c r="BB141" s="17">
        <v>2176</v>
      </c>
      <c r="BC141" s="17">
        <v>2530</v>
      </c>
      <c r="BD141" s="17">
        <v>2857</v>
      </c>
      <c r="BE141" s="17">
        <v>3311</v>
      </c>
      <c r="BF141" s="17">
        <v>3761</v>
      </c>
      <c r="BG141" s="17">
        <v>4193</v>
      </c>
      <c r="BH141" s="17">
        <v>4538</v>
      </c>
      <c r="BI141" s="17">
        <v>4843</v>
      </c>
      <c r="BJ141" s="17">
        <v>5101</v>
      </c>
      <c r="BK141" s="17">
        <v>5377</v>
      </c>
      <c r="BL141" s="17">
        <v>5633</v>
      </c>
      <c r="BM141" s="17">
        <v>5868</v>
      </c>
      <c r="BN141" s="17">
        <v>6166</v>
      </c>
      <c r="BO141" s="17">
        <v>6509</v>
      </c>
      <c r="BP141" s="17">
        <v>6882</v>
      </c>
      <c r="BQ141" s="17">
        <v>7199</v>
      </c>
      <c r="BR141" s="17">
        <v>7544</v>
      </c>
      <c r="BS141" s="17">
        <v>7874</v>
      </c>
      <c r="BT141" s="17">
        <v>8105</v>
      </c>
      <c r="BU141" s="17">
        <v>8288</v>
      </c>
      <c r="BV141" s="17">
        <v>8434</v>
      </c>
      <c r="BW141" s="17">
        <v>8537</v>
      </c>
      <c r="BX141" s="17">
        <v>8613</v>
      </c>
      <c r="BY141" s="17">
        <v>8674</v>
      </c>
      <c r="BZ141" s="17">
        <v>8715</v>
      </c>
      <c r="CA141" s="17">
        <v>8741</v>
      </c>
      <c r="CB141" s="17">
        <v>8758</v>
      </c>
      <c r="CC141" s="17">
        <v>8760</v>
      </c>
      <c r="CD141" s="17">
        <v>8760</v>
      </c>
      <c r="CE141" s="17">
        <v>8760</v>
      </c>
      <c r="CF141" s="17">
        <v>8760</v>
      </c>
      <c r="CG141" s="17">
        <v>8760</v>
      </c>
      <c r="CH141" s="17">
        <v>8760</v>
      </c>
      <c r="CI141" s="17">
        <v>8760</v>
      </c>
      <c r="CJ141" s="17">
        <v>8760</v>
      </c>
      <c r="CK141" s="17">
        <v>8760</v>
      </c>
      <c r="CL141" s="17">
        <v>8760</v>
      </c>
      <c r="CM141" s="17">
        <v>8760</v>
      </c>
      <c r="CN141" s="17">
        <v>8760</v>
      </c>
      <c r="CO141" s="17">
        <v>8760</v>
      </c>
      <c r="CP141" s="17">
        <v>8760</v>
      </c>
      <c r="CQ141" s="17">
        <v>8760</v>
      </c>
      <c r="CR141" s="17">
        <v>8760</v>
      </c>
      <c r="CS141" s="17">
        <v>8760</v>
      </c>
      <c r="CT141" s="17">
        <v>8760</v>
      </c>
      <c r="CU141" s="17">
        <v>8760</v>
      </c>
      <c r="CV141" s="17">
        <v>8760</v>
      </c>
      <c r="CW141" s="17">
        <v>8760</v>
      </c>
      <c r="CX141" s="17">
        <v>8760</v>
      </c>
      <c r="CY141" s="17">
        <v>8760</v>
      </c>
      <c r="CZ141" s="17">
        <v>8760</v>
      </c>
      <c r="DA141" s="17">
        <v>8760</v>
      </c>
      <c r="DB141" s="17">
        <v>8760</v>
      </c>
    </row>
    <row r="142" spans="1:106" s="17" customFormat="1" x14ac:dyDescent="0.25">
      <c r="A142" s="22" t="s">
        <v>160</v>
      </c>
      <c r="B142" s="17" t="s">
        <v>155</v>
      </c>
      <c r="C142" s="17" t="s">
        <v>438</v>
      </c>
      <c r="D142" s="17" t="s">
        <v>667</v>
      </c>
      <c r="E142" s="17" t="s">
        <v>668</v>
      </c>
      <c r="F142" s="17">
        <v>102113</v>
      </c>
      <c r="G142" s="17">
        <v>0</v>
      </c>
      <c r="H142" s="17">
        <v>0</v>
      </c>
      <c r="I142" s="17">
        <v>0</v>
      </c>
      <c r="J142" s="17">
        <v>0</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0</v>
      </c>
      <c r="AC142" s="17">
        <v>0</v>
      </c>
      <c r="AD142" s="17">
        <v>0</v>
      </c>
      <c r="AE142" s="17">
        <v>0</v>
      </c>
      <c r="AF142" s="17">
        <v>0</v>
      </c>
      <c r="AG142" s="17">
        <v>0</v>
      </c>
      <c r="AH142" s="17">
        <v>0</v>
      </c>
      <c r="AI142" s="17">
        <v>0</v>
      </c>
      <c r="AJ142" s="17">
        <v>0</v>
      </c>
      <c r="AK142" s="17">
        <v>0</v>
      </c>
      <c r="AL142" s="17">
        <v>0</v>
      </c>
      <c r="AM142" s="17">
        <v>0</v>
      </c>
      <c r="AN142" s="17">
        <v>0</v>
      </c>
      <c r="AO142" s="17">
        <v>0</v>
      </c>
      <c r="AP142" s="17">
        <v>2</v>
      </c>
      <c r="AQ142" s="17">
        <v>10</v>
      </c>
      <c r="AR142" s="17">
        <v>22</v>
      </c>
      <c r="AS142" s="17">
        <v>32</v>
      </c>
      <c r="AT142" s="17">
        <v>44</v>
      </c>
      <c r="AU142" s="17">
        <v>61</v>
      </c>
      <c r="AV142" s="17">
        <v>88</v>
      </c>
      <c r="AW142" s="17">
        <v>115</v>
      </c>
      <c r="AX142" s="17">
        <v>161</v>
      </c>
      <c r="AY142" s="17">
        <v>216</v>
      </c>
      <c r="AZ142" s="17">
        <v>292</v>
      </c>
      <c r="BA142" s="17">
        <v>462</v>
      </c>
      <c r="BB142" s="17">
        <v>645</v>
      </c>
      <c r="BC142" s="17">
        <v>864</v>
      </c>
      <c r="BD142" s="17">
        <v>1096</v>
      </c>
      <c r="BE142" s="17">
        <v>1384</v>
      </c>
      <c r="BF142" s="17">
        <v>1750</v>
      </c>
      <c r="BG142" s="17">
        <v>2141</v>
      </c>
      <c r="BH142" s="17">
        <v>2688</v>
      </c>
      <c r="BI142" s="17">
        <v>3237</v>
      </c>
      <c r="BJ142" s="17">
        <v>3688</v>
      </c>
      <c r="BK142" s="17">
        <v>4075</v>
      </c>
      <c r="BL142" s="17">
        <v>4475</v>
      </c>
      <c r="BM142" s="17">
        <v>4785</v>
      </c>
      <c r="BN142" s="17">
        <v>5123</v>
      </c>
      <c r="BO142" s="17">
        <v>5465</v>
      </c>
      <c r="BP142" s="17">
        <v>5854</v>
      </c>
      <c r="BQ142" s="17">
        <v>6294</v>
      </c>
      <c r="BR142" s="17">
        <v>6705</v>
      </c>
      <c r="BS142" s="17">
        <v>7071</v>
      </c>
      <c r="BT142" s="17">
        <v>7400</v>
      </c>
      <c r="BU142" s="17">
        <v>7697</v>
      </c>
      <c r="BV142" s="17">
        <v>7948</v>
      </c>
      <c r="BW142" s="17">
        <v>8156</v>
      </c>
      <c r="BX142" s="17">
        <v>8308</v>
      </c>
      <c r="BY142" s="17">
        <v>8432</v>
      </c>
      <c r="BZ142" s="17">
        <v>8518</v>
      </c>
      <c r="CA142" s="17">
        <v>8602</v>
      </c>
      <c r="CB142" s="17">
        <v>8658</v>
      </c>
      <c r="CC142" s="17">
        <v>8692</v>
      </c>
      <c r="CD142" s="17">
        <v>8714</v>
      </c>
      <c r="CE142" s="17">
        <v>8733</v>
      </c>
      <c r="CF142" s="17">
        <v>8744</v>
      </c>
      <c r="CG142" s="17">
        <v>8753</v>
      </c>
      <c r="CH142" s="17">
        <v>8758</v>
      </c>
      <c r="CI142" s="17">
        <v>8760</v>
      </c>
      <c r="CJ142" s="17">
        <v>8760</v>
      </c>
      <c r="CK142" s="17">
        <v>8760</v>
      </c>
      <c r="CL142" s="17">
        <v>8760</v>
      </c>
      <c r="CM142" s="17">
        <v>8760</v>
      </c>
      <c r="CN142" s="17">
        <v>8760</v>
      </c>
      <c r="CO142" s="17">
        <v>8760</v>
      </c>
      <c r="CP142" s="17">
        <v>8760</v>
      </c>
      <c r="CQ142" s="17">
        <v>8760</v>
      </c>
      <c r="CR142" s="17">
        <v>8760</v>
      </c>
      <c r="CS142" s="17">
        <v>8760</v>
      </c>
      <c r="CT142" s="17">
        <v>8760</v>
      </c>
      <c r="CU142" s="17">
        <v>8760</v>
      </c>
      <c r="CV142" s="17">
        <v>8760</v>
      </c>
      <c r="CW142" s="17">
        <v>8760</v>
      </c>
      <c r="CX142" s="17">
        <v>8760</v>
      </c>
      <c r="CY142" s="17">
        <v>8760</v>
      </c>
      <c r="CZ142" s="17">
        <v>8760</v>
      </c>
      <c r="DA142" s="17">
        <v>8760</v>
      </c>
      <c r="DB142" s="17">
        <v>8760</v>
      </c>
    </row>
    <row r="143" spans="1:106" s="17" customFormat="1" x14ac:dyDescent="0.25">
      <c r="A143" s="22" t="s">
        <v>161</v>
      </c>
      <c r="B143" s="17" t="s">
        <v>156</v>
      </c>
      <c r="C143" s="17" t="s">
        <v>438</v>
      </c>
      <c r="D143" s="17" t="s">
        <v>669</v>
      </c>
      <c r="E143" s="17" t="s">
        <v>670</v>
      </c>
      <c r="F143" s="17">
        <v>102508</v>
      </c>
      <c r="G143" s="17">
        <v>0</v>
      </c>
      <c r="H143" s="17">
        <v>0</v>
      </c>
      <c r="I143" s="17">
        <v>0</v>
      </c>
      <c r="J143" s="17">
        <v>0</v>
      </c>
      <c r="K143" s="17">
        <v>0</v>
      </c>
      <c r="L143" s="17">
        <v>0</v>
      </c>
      <c r="M143" s="17">
        <v>0</v>
      </c>
      <c r="N143" s="17">
        <v>0</v>
      </c>
      <c r="O143" s="17">
        <v>0</v>
      </c>
      <c r="P143" s="17">
        <v>0</v>
      </c>
      <c r="Q143" s="17">
        <v>0</v>
      </c>
      <c r="R143" s="17">
        <v>0</v>
      </c>
      <c r="S143" s="17">
        <v>0</v>
      </c>
      <c r="T143" s="17">
        <v>0</v>
      </c>
      <c r="U143" s="17">
        <v>0</v>
      </c>
      <c r="V143" s="17">
        <v>0</v>
      </c>
      <c r="W143" s="17">
        <v>0</v>
      </c>
      <c r="X143" s="17">
        <v>0</v>
      </c>
      <c r="Y143" s="17">
        <v>0</v>
      </c>
      <c r="Z143" s="17">
        <v>0</v>
      </c>
      <c r="AA143" s="17">
        <v>0</v>
      </c>
      <c r="AB143" s="17">
        <v>0</v>
      </c>
      <c r="AC143" s="17">
        <v>0</v>
      </c>
      <c r="AD143" s="17">
        <v>0</v>
      </c>
      <c r="AE143" s="17">
        <v>0</v>
      </c>
      <c r="AF143" s="17">
        <v>0</v>
      </c>
      <c r="AG143" s="17">
        <v>0</v>
      </c>
      <c r="AH143" s="17">
        <v>0</v>
      </c>
      <c r="AI143" s="17">
        <v>11</v>
      </c>
      <c r="AJ143" s="17">
        <v>17</v>
      </c>
      <c r="AK143" s="17">
        <v>20</v>
      </c>
      <c r="AL143" s="17">
        <v>24</v>
      </c>
      <c r="AM143" s="17">
        <v>28</v>
      </c>
      <c r="AN143" s="17">
        <v>43</v>
      </c>
      <c r="AO143" s="17">
        <v>56</v>
      </c>
      <c r="AP143" s="17">
        <v>96</v>
      </c>
      <c r="AQ143" s="17">
        <v>124</v>
      </c>
      <c r="AR143" s="17">
        <v>148</v>
      </c>
      <c r="AS143" s="17">
        <v>184</v>
      </c>
      <c r="AT143" s="17">
        <v>244</v>
      </c>
      <c r="AU143" s="17">
        <v>298</v>
      </c>
      <c r="AV143" s="17">
        <v>386</v>
      </c>
      <c r="AW143" s="17">
        <v>465</v>
      </c>
      <c r="AX143" s="17">
        <v>577</v>
      </c>
      <c r="AY143" s="17">
        <v>731</v>
      </c>
      <c r="AZ143" s="17">
        <v>909</v>
      </c>
      <c r="BA143" s="17">
        <v>1136</v>
      </c>
      <c r="BB143" s="17">
        <v>1434</v>
      </c>
      <c r="BC143" s="17">
        <v>1716</v>
      </c>
      <c r="BD143" s="17">
        <v>2076</v>
      </c>
      <c r="BE143" s="17">
        <v>2490</v>
      </c>
      <c r="BF143" s="17">
        <v>2875</v>
      </c>
      <c r="BG143" s="17">
        <v>3256</v>
      </c>
      <c r="BH143" s="17">
        <v>3633</v>
      </c>
      <c r="BI143" s="17">
        <v>3931</v>
      </c>
      <c r="BJ143" s="17">
        <v>4223</v>
      </c>
      <c r="BK143" s="17">
        <v>4607</v>
      </c>
      <c r="BL143" s="17">
        <v>4937</v>
      </c>
      <c r="BM143" s="17">
        <v>5299</v>
      </c>
      <c r="BN143" s="17">
        <v>5669</v>
      </c>
      <c r="BO143" s="17">
        <v>6071</v>
      </c>
      <c r="BP143" s="17">
        <v>6442</v>
      </c>
      <c r="BQ143" s="17">
        <v>6766</v>
      </c>
      <c r="BR143" s="17">
        <v>7093</v>
      </c>
      <c r="BS143" s="17">
        <v>7402</v>
      </c>
      <c r="BT143" s="17">
        <v>7702</v>
      </c>
      <c r="BU143" s="17">
        <v>7967</v>
      </c>
      <c r="BV143" s="17">
        <v>8195</v>
      </c>
      <c r="BW143" s="17">
        <v>8379</v>
      </c>
      <c r="BX143" s="17">
        <v>8534</v>
      </c>
      <c r="BY143" s="17">
        <v>8637</v>
      </c>
      <c r="BZ143" s="17">
        <v>8714</v>
      </c>
      <c r="CA143" s="17">
        <v>8736</v>
      </c>
      <c r="CB143" s="17">
        <v>8748</v>
      </c>
      <c r="CC143" s="17">
        <v>8754</v>
      </c>
      <c r="CD143" s="17">
        <v>8759</v>
      </c>
      <c r="CE143" s="17">
        <v>8760</v>
      </c>
      <c r="CF143" s="17">
        <v>8760</v>
      </c>
      <c r="CG143" s="17">
        <v>8760</v>
      </c>
      <c r="CH143" s="17">
        <v>8760</v>
      </c>
      <c r="CI143" s="17">
        <v>8760</v>
      </c>
      <c r="CJ143" s="17">
        <v>8760</v>
      </c>
      <c r="CK143" s="17">
        <v>8760</v>
      </c>
      <c r="CL143" s="17">
        <v>8760</v>
      </c>
      <c r="CM143" s="17">
        <v>8760</v>
      </c>
      <c r="CN143" s="17">
        <v>8760</v>
      </c>
      <c r="CO143" s="17">
        <v>8760</v>
      </c>
      <c r="CP143" s="17">
        <v>8760</v>
      </c>
      <c r="CQ143" s="17">
        <v>8760</v>
      </c>
      <c r="CR143" s="17">
        <v>8760</v>
      </c>
      <c r="CS143" s="17">
        <v>8760</v>
      </c>
      <c r="CT143" s="17">
        <v>8760</v>
      </c>
      <c r="CU143" s="17">
        <v>8760</v>
      </c>
      <c r="CV143" s="17">
        <v>8760</v>
      </c>
      <c r="CW143" s="17">
        <v>8760</v>
      </c>
      <c r="CX143" s="17">
        <v>8760</v>
      </c>
      <c r="CY143" s="17">
        <v>8760</v>
      </c>
      <c r="CZ143" s="17">
        <v>8760</v>
      </c>
      <c r="DA143" s="17">
        <v>8760</v>
      </c>
      <c r="DB143" s="17">
        <v>8760</v>
      </c>
    </row>
    <row r="144" spans="1:106" s="17" customFormat="1" x14ac:dyDescent="0.25">
      <c r="A144" s="22" t="s">
        <v>162</v>
      </c>
      <c r="B144" s="17" t="s">
        <v>387</v>
      </c>
    </row>
    <row r="145" spans="1:106" s="17" customFormat="1" x14ac:dyDescent="0.25">
      <c r="A145" s="22" t="s">
        <v>163</v>
      </c>
      <c r="B145" s="17" t="s">
        <v>157</v>
      </c>
      <c r="C145" s="17" t="s">
        <v>438</v>
      </c>
      <c r="D145" s="17" t="s">
        <v>671</v>
      </c>
      <c r="E145" s="17" t="s">
        <v>672</v>
      </c>
      <c r="F145" s="17">
        <v>102513</v>
      </c>
      <c r="G145" s="17">
        <v>0</v>
      </c>
      <c r="H145" s="17">
        <v>0</v>
      </c>
      <c r="I145" s="17">
        <v>0</v>
      </c>
      <c r="J145" s="17">
        <v>0</v>
      </c>
      <c r="K145" s="17">
        <v>0</v>
      </c>
      <c r="L145" s="17">
        <v>0</v>
      </c>
      <c r="M145" s="17">
        <v>0</v>
      </c>
      <c r="N145" s="17">
        <v>0</v>
      </c>
      <c r="O145" s="17">
        <v>0</v>
      </c>
      <c r="P145" s="17">
        <v>0</v>
      </c>
      <c r="Q145" s="17">
        <v>0</v>
      </c>
      <c r="R145" s="17">
        <v>0</v>
      </c>
      <c r="S145" s="17">
        <v>0</v>
      </c>
      <c r="T145" s="17">
        <v>0</v>
      </c>
      <c r="U145" s="17">
        <v>0</v>
      </c>
      <c r="V145" s="17">
        <v>0</v>
      </c>
      <c r="W145" s="17">
        <v>0</v>
      </c>
      <c r="X145" s="17">
        <v>0</v>
      </c>
      <c r="Y145" s="17">
        <v>0</v>
      </c>
      <c r="Z145" s="17">
        <v>0</v>
      </c>
      <c r="AA145" s="17">
        <v>0</v>
      </c>
      <c r="AB145" s="17">
        <v>0</v>
      </c>
      <c r="AC145" s="17">
        <v>0</v>
      </c>
      <c r="AD145" s="17">
        <v>0</v>
      </c>
      <c r="AE145" s="17">
        <v>0</v>
      </c>
      <c r="AF145" s="17">
        <v>0</v>
      </c>
      <c r="AG145" s="17">
        <v>0</v>
      </c>
      <c r="AH145" s="17">
        <v>0</v>
      </c>
      <c r="AI145" s="17">
        <v>0</v>
      </c>
      <c r="AJ145" s="17">
        <v>0</v>
      </c>
      <c r="AK145" s="17">
        <v>1</v>
      </c>
      <c r="AL145" s="17">
        <v>5</v>
      </c>
      <c r="AM145" s="17">
        <v>7</v>
      </c>
      <c r="AN145" s="17">
        <v>17</v>
      </c>
      <c r="AO145" s="17">
        <v>40</v>
      </c>
      <c r="AP145" s="17">
        <v>70</v>
      </c>
      <c r="AQ145" s="17">
        <v>96</v>
      </c>
      <c r="AR145" s="17">
        <v>135</v>
      </c>
      <c r="AS145" s="17">
        <v>181</v>
      </c>
      <c r="AT145" s="17">
        <v>223</v>
      </c>
      <c r="AU145" s="17">
        <v>269</v>
      </c>
      <c r="AV145" s="17">
        <v>339</v>
      </c>
      <c r="AW145" s="17">
        <v>412</v>
      </c>
      <c r="AX145" s="17">
        <v>525</v>
      </c>
      <c r="AY145" s="17">
        <v>672</v>
      </c>
      <c r="AZ145" s="17">
        <v>840</v>
      </c>
      <c r="BA145" s="17">
        <v>1084</v>
      </c>
      <c r="BB145" s="17">
        <v>1393</v>
      </c>
      <c r="BC145" s="17">
        <v>1709</v>
      </c>
      <c r="BD145" s="17">
        <v>2079</v>
      </c>
      <c r="BE145" s="17">
        <v>2473</v>
      </c>
      <c r="BF145" s="17">
        <v>2891</v>
      </c>
      <c r="BG145" s="17">
        <v>3269</v>
      </c>
      <c r="BH145" s="17">
        <v>3665</v>
      </c>
      <c r="BI145" s="17">
        <v>4045</v>
      </c>
      <c r="BJ145" s="17">
        <v>4379</v>
      </c>
      <c r="BK145" s="17">
        <v>4693</v>
      </c>
      <c r="BL145" s="17">
        <v>5004</v>
      </c>
      <c r="BM145" s="17">
        <v>5309</v>
      </c>
      <c r="BN145" s="17">
        <v>5538</v>
      </c>
      <c r="BO145" s="17">
        <v>5796</v>
      </c>
      <c r="BP145" s="17">
        <v>6128</v>
      </c>
      <c r="BQ145" s="17">
        <v>6484</v>
      </c>
      <c r="BR145" s="17">
        <v>6859</v>
      </c>
      <c r="BS145" s="17">
        <v>7239</v>
      </c>
      <c r="BT145" s="17">
        <v>7525</v>
      </c>
      <c r="BU145" s="17">
        <v>7779</v>
      </c>
      <c r="BV145" s="17">
        <v>8003</v>
      </c>
      <c r="BW145" s="17">
        <v>8202</v>
      </c>
      <c r="BX145" s="17">
        <v>8354</v>
      </c>
      <c r="BY145" s="17">
        <v>8487</v>
      </c>
      <c r="BZ145" s="17">
        <v>8575</v>
      </c>
      <c r="CA145" s="17">
        <v>8646</v>
      </c>
      <c r="CB145" s="17">
        <v>8691</v>
      </c>
      <c r="CC145" s="17">
        <v>8719</v>
      </c>
      <c r="CD145" s="17">
        <v>8730</v>
      </c>
      <c r="CE145" s="17">
        <v>8738</v>
      </c>
      <c r="CF145" s="17">
        <v>8748</v>
      </c>
      <c r="CG145" s="17">
        <v>8753</v>
      </c>
      <c r="CH145" s="17">
        <v>8759</v>
      </c>
      <c r="CI145" s="17">
        <v>8760</v>
      </c>
      <c r="CJ145" s="17">
        <v>8760</v>
      </c>
      <c r="CK145" s="17">
        <v>8760</v>
      </c>
      <c r="CL145" s="17">
        <v>8760</v>
      </c>
      <c r="CM145" s="17">
        <v>8760</v>
      </c>
      <c r="CN145" s="17">
        <v>8760</v>
      </c>
      <c r="CO145" s="17">
        <v>8760</v>
      </c>
      <c r="CP145" s="17">
        <v>8760</v>
      </c>
      <c r="CQ145" s="17">
        <v>8760</v>
      </c>
      <c r="CR145" s="17">
        <v>8760</v>
      </c>
      <c r="CS145" s="17">
        <v>8760</v>
      </c>
      <c r="CT145" s="17">
        <v>8760</v>
      </c>
      <c r="CU145" s="17">
        <v>8760</v>
      </c>
      <c r="CV145" s="17">
        <v>8760</v>
      </c>
      <c r="CW145" s="17">
        <v>8760</v>
      </c>
      <c r="CX145" s="17">
        <v>8760</v>
      </c>
      <c r="CY145" s="17">
        <v>8760</v>
      </c>
      <c r="CZ145" s="17">
        <v>8760</v>
      </c>
      <c r="DA145" s="17">
        <v>8760</v>
      </c>
      <c r="DB145" s="17">
        <v>8760</v>
      </c>
    </row>
    <row r="146" spans="1:106" s="17" customFormat="1" x14ac:dyDescent="0.25">
      <c r="A146" s="22" t="s">
        <v>164</v>
      </c>
      <c r="B146" s="17" t="s">
        <v>159</v>
      </c>
      <c r="C146" s="17" t="s">
        <v>438</v>
      </c>
      <c r="D146" s="17" t="s">
        <v>673</v>
      </c>
      <c r="E146" s="17" t="s">
        <v>674</v>
      </c>
      <c r="F146" s="17">
        <v>102315</v>
      </c>
      <c r="G146" s="17">
        <v>0</v>
      </c>
      <c r="H146" s="17">
        <v>0</v>
      </c>
      <c r="I146" s="17">
        <v>0</v>
      </c>
      <c r="J146" s="17">
        <v>0</v>
      </c>
      <c r="K146" s="17">
        <v>0</v>
      </c>
      <c r="L146" s="17">
        <v>0</v>
      </c>
      <c r="M146" s="17">
        <v>0</v>
      </c>
      <c r="N146" s="17">
        <v>0</v>
      </c>
      <c r="O146" s="17">
        <v>0</v>
      </c>
      <c r="P146" s="17">
        <v>0</v>
      </c>
      <c r="Q146" s="17">
        <v>0</v>
      </c>
      <c r="R146" s="17">
        <v>0</v>
      </c>
      <c r="S146" s="17">
        <v>0</v>
      </c>
      <c r="T146" s="17">
        <v>0</v>
      </c>
      <c r="U146" s="17">
        <v>0</v>
      </c>
      <c r="V146" s="17">
        <v>0</v>
      </c>
      <c r="W146" s="17">
        <v>0</v>
      </c>
      <c r="X146" s="17">
        <v>0</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17">
        <v>0</v>
      </c>
      <c r="AS146" s="17">
        <v>5</v>
      </c>
      <c r="AT146" s="17">
        <v>17</v>
      </c>
      <c r="AU146" s="17">
        <v>38</v>
      </c>
      <c r="AV146" s="17">
        <v>62</v>
      </c>
      <c r="AW146" s="17">
        <v>90</v>
      </c>
      <c r="AX146" s="17">
        <v>158</v>
      </c>
      <c r="AY146" s="17">
        <v>221</v>
      </c>
      <c r="AZ146" s="17">
        <v>315</v>
      </c>
      <c r="BA146" s="17">
        <v>430</v>
      </c>
      <c r="BB146" s="17">
        <v>562</v>
      </c>
      <c r="BC146" s="17">
        <v>785</v>
      </c>
      <c r="BD146" s="17">
        <v>1078</v>
      </c>
      <c r="BE146" s="17">
        <v>1538</v>
      </c>
      <c r="BF146" s="17">
        <v>1974</v>
      </c>
      <c r="BG146" s="17">
        <v>2395</v>
      </c>
      <c r="BH146" s="17">
        <v>2789</v>
      </c>
      <c r="BI146" s="17">
        <v>3223</v>
      </c>
      <c r="BJ146" s="17">
        <v>3623</v>
      </c>
      <c r="BK146" s="17">
        <v>4018</v>
      </c>
      <c r="BL146" s="17">
        <v>4369</v>
      </c>
      <c r="BM146" s="17">
        <v>4715</v>
      </c>
      <c r="BN146" s="17">
        <v>5041</v>
      </c>
      <c r="BO146" s="17">
        <v>5394</v>
      </c>
      <c r="BP146" s="17">
        <v>5833</v>
      </c>
      <c r="BQ146" s="17">
        <v>6309</v>
      </c>
      <c r="BR146" s="17">
        <v>6890</v>
      </c>
      <c r="BS146" s="17">
        <v>7359</v>
      </c>
      <c r="BT146" s="17">
        <v>7742</v>
      </c>
      <c r="BU146" s="17">
        <v>8008</v>
      </c>
      <c r="BV146" s="17">
        <v>8231</v>
      </c>
      <c r="BW146" s="17">
        <v>8407</v>
      </c>
      <c r="BX146" s="17">
        <v>8519</v>
      </c>
      <c r="BY146" s="17">
        <v>8591</v>
      </c>
      <c r="BZ146" s="17">
        <v>8652</v>
      </c>
      <c r="CA146" s="17">
        <v>8695</v>
      </c>
      <c r="CB146" s="17">
        <v>8713</v>
      </c>
      <c r="CC146" s="17">
        <v>8733</v>
      </c>
      <c r="CD146" s="17">
        <v>8749</v>
      </c>
      <c r="CE146" s="17">
        <v>8760</v>
      </c>
      <c r="CF146" s="17">
        <v>8760</v>
      </c>
      <c r="CG146" s="17">
        <v>8760</v>
      </c>
      <c r="CH146" s="17">
        <v>8760</v>
      </c>
      <c r="CI146" s="17">
        <v>8760</v>
      </c>
      <c r="CJ146" s="17">
        <v>8760</v>
      </c>
      <c r="CK146" s="17">
        <v>8760</v>
      </c>
      <c r="CL146" s="17">
        <v>8760</v>
      </c>
      <c r="CM146" s="17">
        <v>8760</v>
      </c>
      <c r="CN146" s="17">
        <v>8760</v>
      </c>
      <c r="CO146" s="17">
        <v>8760</v>
      </c>
      <c r="CP146" s="17">
        <v>8760</v>
      </c>
      <c r="CQ146" s="17">
        <v>8760</v>
      </c>
      <c r="CR146" s="17">
        <v>8760</v>
      </c>
      <c r="CS146" s="17">
        <v>8760</v>
      </c>
      <c r="CT146" s="17">
        <v>8760</v>
      </c>
      <c r="CU146" s="17">
        <v>8760</v>
      </c>
      <c r="CV146" s="17">
        <v>8760</v>
      </c>
      <c r="CW146" s="17">
        <v>8760</v>
      </c>
      <c r="CX146" s="17">
        <v>8760</v>
      </c>
      <c r="CY146" s="17">
        <v>8760</v>
      </c>
      <c r="CZ146" s="17">
        <v>8760</v>
      </c>
      <c r="DA146" s="17">
        <v>8760</v>
      </c>
      <c r="DB146" s="17">
        <v>8760</v>
      </c>
    </row>
    <row r="147" spans="1:106" s="17" customFormat="1" x14ac:dyDescent="0.25">
      <c r="A147" s="22" t="s">
        <v>165</v>
      </c>
      <c r="B147" s="17" t="s">
        <v>160</v>
      </c>
      <c r="C147" s="17" t="s">
        <v>438</v>
      </c>
      <c r="D147" s="17" t="s">
        <v>675</v>
      </c>
      <c r="E147" s="17" t="s">
        <v>676</v>
      </c>
      <c r="F147" s="17">
        <v>102633</v>
      </c>
      <c r="G147" s="17">
        <v>0</v>
      </c>
      <c r="H147" s="17">
        <v>0</v>
      </c>
      <c r="I147" s="17">
        <v>0</v>
      </c>
      <c r="J147" s="17">
        <v>0</v>
      </c>
      <c r="K147" s="17">
        <v>0</v>
      </c>
      <c r="L147" s="17">
        <v>0</v>
      </c>
      <c r="M147" s="17">
        <v>0</v>
      </c>
      <c r="N147" s="17">
        <v>0</v>
      </c>
      <c r="O147" s="17">
        <v>0</v>
      </c>
      <c r="P147" s="17">
        <v>0</v>
      </c>
      <c r="Q147" s="17">
        <v>0</v>
      </c>
      <c r="R147" s="17">
        <v>0</v>
      </c>
      <c r="S147" s="17">
        <v>0</v>
      </c>
      <c r="T147" s="17">
        <v>0</v>
      </c>
      <c r="U147" s="17">
        <v>0</v>
      </c>
      <c r="V147" s="17">
        <v>0</v>
      </c>
      <c r="W147" s="17">
        <v>0</v>
      </c>
      <c r="X147" s="17">
        <v>0</v>
      </c>
      <c r="Y147" s="17">
        <v>0</v>
      </c>
      <c r="Z147" s="17">
        <v>0</v>
      </c>
      <c r="AA147" s="17">
        <v>0</v>
      </c>
      <c r="AB147" s="17">
        <v>0</v>
      </c>
      <c r="AC147" s="17">
        <v>0</v>
      </c>
      <c r="AD147" s="17">
        <v>0</v>
      </c>
      <c r="AE147" s="17">
        <v>0</v>
      </c>
      <c r="AF147" s="17">
        <v>0</v>
      </c>
      <c r="AG147" s="17">
        <v>0</v>
      </c>
      <c r="AH147" s="17">
        <v>0</v>
      </c>
      <c r="AI147" s="17">
        <v>0</v>
      </c>
      <c r="AJ147" s="17">
        <v>4</v>
      </c>
      <c r="AK147" s="17">
        <v>5</v>
      </c>
      <c r="AL147" s="17">
        <v>15</v>
      </c>
      <c r="AM147" s="17">
        <v>31</v>
      </c>
      <c r="AN147" s="17">
        <v>45</v>
      </c>
      <c r="AO147" s="17">
        <v>62</v>
      </c>
      <c r="AP147" s="17">
        <v>88</v>
      </c>
      <c r="AQ147" s="17">
        <v>107</v>
      </c>
      <c r="AR147" s="17">
        <v>127</v>
      </c>
      <c r="AS147" s="17">
        <v>151</v>
      </c>
      <c r="AT147" s="17">
        <v>184</v>
      </c>
      <c r="AU147" s="17">
        <v>226</v>
      </c>
      <c r="AV147" s="17">
        <v>279</v>
      </c>
      <c r="AW147" s="17">
        <v>362</v>
      </c>
      <c r="AX147" s="17">
        <v>455</v>
      </c>
      <c r="AY147" s="17">
        <v>569</v>
      </c>
      <c r="AZ147" s="17">
        <v>724</v>
      </c>
      <c r="BA147" s="17">
        <v>962</v>
      </c>
      <c r="BB147" s="17">
        <v>1230</v>
      </c>
      <c r="BC147" s="17">
        <v>1566</v>
      </c>
      <c r="BD147" s="17">
        <v>1969</v>
      </c>
      <c r="BE147" s="17">
        <v>2378</v>
      </c>
      <c r="BF147" s="17">
        <v>2740</v>
      </c>
      <c r="BG147" s="17">
        <v>3094</v>
      </c>
      <c r="BH147" s="17">
        <v>3504</v>
      </c>
      <c r="BI147" s="17">
        <v>3860</v>
      </c>
      <c r="BJ147" s="17">
        <v>4191</v>
      </c>
      <c r="BK147" s="17">
        <v>4535</v>
      </c>
      <c r="BL147" s="17">
        <v>4845</v>
      </c>
      <c r="BM147" s="17">
        <v>5130</v>
      </c>
      <c r="BN147" s="17">
        <v>5483</v>
      </c>
      <c r="BO147" s="17">
        <v>5823</v>
      </c>
      <c r="BP147" s="17">
        <v>6132</v>
      </c>
      <c r="BQ147" s="17">
        <v>6475</v>
      </c>
      <c r="BR147" s="17">
        <v>6822</v>
      </c>
      <c r="BS147" s="17">
        <v>7136</v>
      </c>
      <c r="BT147" s="17">
        <v>7407</v>
      </c>
      <c r="BU147" s="17">
        <v>7687</v>
      </c>
      <c r="BV147" s="17">
        <v>7914</v>
      </c>
      <c r="BW147" s="17">
        <v>8119</v>
      </c>
      <c r="BX147" s="17">
        <v>8284</v>
      </c>
      <c r="BY147" s="17">
        <v>8410</v>
      </c>
      <c r="BZ147" s="17">
        <v>8496</v>
      </c>
      <c r="CA147" s="17">
        <v>8562</v>
      </c>
      <c r="CB147" s="17">
        <v>8616</v>
      </c>
      <c r="CC147" s="17">
        <v>8653</v>
      </c>
      <c r="CD147" s="17">
        <v>8690</v>
      </c>
      <c r="CE147" s="17">
        <v>8721</v>
      </c>
      <c r="CF147" s="17">
        <v>8737</v>
      </c>
      <c r="CG147" s="17">
        <v>8753</v>
      </c>
      <c r="CH147" s="17">
        <v>8760</v>
      </c>
      <c r="CI147" s="17">
        <v>8760</v>
      </c>
      <c r="CJ147" s="17">
        <v>8760</v>
      </c>
      <c r="CK147" s="17">
        <v>8760</v>
      </c>
      <c r="CL147" s="17">
        <v>8760</v>
      </c>
      <c r="CM147" s="17">
        <v>8760</v>
      </c>
      <c r="CN147" s="17">
        <v>8760</v>
      </c>
      <c r="CO147" s="17">
        <v>8760</v>
      </c>
      <c r="CP147" s="17">
        <v>8760</v>
      </c>
      <c r="CQ147" s="17">
        <v>8760</v>
      </c>
      <c r="CR147" s="17">
        <v>8760</v>
      </c>
      <c r="CS147" s="17">
        <v>8760</v>
      </c>
      <c r="CT147" s="17">
        <v>8760</v>
      </c>
      <c r="CU147" s="17">
        <v>8760</v>
      </c>
      <c r="CV147" s="17">
        <v>8760</v>
      </c>
      <c r="CW147" s="17">
        <v>8760</v>
      </c>
      <c r="CX147" s="17">
        <v>8760</v>
      </c>
      <c r="CY147" s="17">
        <v>8760</v>
      </c>
      <c r="CZ147" s="17">
        <v>8760</v>
      </c>
      <c r="DA147" s="17">
        <v>8760</v>
      </c>
      <c r="DB147" s="17">
        <v>8760</v>
      </c>
    </row>
    <row r="148" spans="1:106" s="17" customFormat="1" x14ac:dyDescent="0.25">
      <c r="A148" s="22" t="s">
        <v>166</v>
      </c>
      <c r="B148" s="17" t="s">
        <v>388</v>
      </c>
      <c r="C148" s="17" t="s">
        <v>438</v>
      </c>
      <c r="D148" s="17" t="s">
        <v>677</v>
      </c>
      <c r="E148" s="17" t="s">
        <v>678</v>
      </c>
      <c r="F148" s="17">
        <v>102202</v>
      </c>
      <c r="G148" s="17">
        <v>0</v>
      </c>
      <c r="H148" s="17">
        <v>0</v>
      </c>
      <c r="I148" s="17">
        <v>0</v>
      </c>
      <c r="J148" s="17">
        <v>0</v>
      </c>
      <c r="K148" s="17">
        <v>0</v>
      </c>
      <c r="L148" s="17">
        <v>0</v>
      </c>
      <c r="M148" s="17">
        <v>0</v>
      </c>
      <c r="N148" s="17">
        <v>0</v>
      </c>
      <c r="O148" s="17">
        <v>0</v>
      </c>
      <c r="P148" s="17">
        <v>0</v>
      </c>
      <c r="Q148" s="17">
        <v>0</v>
      </c>
      <c r="R148" s="17">
        <v>0</v>
      </c>
      <c r="S148" s="17">
        <v>0</v>
      </c>
      <c r="T148" s="17">
        <v>0</v>
      </c>
      <c r="U148" s="17">
        <v>0</v>
      </c>
      <c r="V148" s="17">
        <v>0</v>
      </c>
      <c r="W148" s="17">
        <v>0</v>
      </c>
      <c r="X148" s="17">
        <v>0</v>
      </c>
      <c r="Y148" s="17">
        <v>0</v>
      </c>
      <c r="Z148" s="17">
        <v>0</v>
      </c>
      <c r="AA148" s="17">
        <v>0</v>
      </c>
      <c r="AB148" s="17">
        <v>0</v>
      </c>
      <c r="AC148" s="17">
        <v>0</v>
      </c>
      <c r="AD148" s="17">
        <v>0</v>
      </c>
      <c r="AE148" s="17">
        <v>0</v>
      </c>
      <c r="AF148" s="17">
        <v>0</v>
      </c>
      <c r="AG148" s="17">
        <v>0</v>
      </c>
      <c r="AH148" s="17">
        <v>0</v>
      </c>
      <c r="AI148" s="17">
        <v>0</v>
      </c>
      <c r="AJ148" s="17">
        <v>0</v>
      </c>
      <c r="AK148" s="17">
        <v>0</v>
      </c>
      <c r="AL148" s="17">
        <v>0</v>
      </c>
      <c r="AM148" s="17">
        <v>0</v>
      </c>
      <c r="AN148" s="17">
        <v>0</v>
      </c>
      <c r="AO148" s="17">
        <v>7</v>
      </c>
      <c r="AP148" s="17">
        <v>8</v>
      </c>
      <c r="AQ148" s="17">
        <v>17</v>
      </c>
      <c r="AR148" s="17">
        <v>22</v>
      </c>
      <c r="AS148" s="17">
        <v>28</v>
      </c>
      <c r="AT148" s="17">
        <v>44</v>
      </c>
      <c r="AU148" s="17">
        <v>65</v>
      </c>
      <c r="AV148" s="17">
        <v>97</v>
      </c>
      <c r="AW148" s="17">
        <v>142</v>
      </c>
      <c r="AX148" s="17">
        <v>178</v>
      </c>
      <c r="AY148" s="17">
        <v>228</v>
      </c>
      <c r="AZ148" s="17">
        <v>292</v>
      </c>
      <c r="BA148" s="17">
        <v>404</v>
      </c>
      <c r="BB148" s="17">
        <v>626</v>
      </c>
      <c r="BC148" s="17">
        <v>888</v>
      </c>
      <c r="BD148" s="17">
        <v>1200</v>
      </c>
      <c r="BE148" s="17">
        <v>1649</v>
      </c>
      <c r="BF148" s="17">
        <v>2140</v>
      </c>
      <c r="BG148" s="17">
        <v>2583</v>
      </c>
      <c r="BH148" s="17">
        <v>3073</v>
      </c>
      <c r="BI148" s="17">
        <v>3489</v>
      </c>
      <c r="BJ148" s="17">
        <v>3820</v>
      </c>
      <c r="BK148" s="17">
        <v>4117</v>
      </c>
      <c r="BL148" s="17">
        <v>4447</v>
      </c>
      <c r="BM148" s="17">
        <v>4794</v>
      </c>
      <c r="BN148" s="17">
        <v>5072</v>
      </c>
      <c r="BO148" s="17">
        <v>5430</v>
      </c>
      <c r="BP148" s="17">
        <v>5806</v>
      </c>
      <c r="BQ148" s="17">
        <v>6247</v>
      </c>
      <c r="BR148" s="17">
        <v>6661</v>
      </c>
      <c r="BS148" s="17">
        <v>7122</v>
      </c>
      <c r="BT148" s="17">
        <v>7484</v>
      </c>
      <c r="BU148" s="17">
        <v>7758</v>
      </c>
      <c r="BV148" s="17">
        <v>7972</v>
      </c>
      <c r="BW148" s="17">
        <v>8130</v>
      </c>
      <c r="BX148" s="17">
        <v>8262</v>
      </c>
      <c r="BY148" s="17">
        <v>8384</v>
      </c>
      <c r="BZ148" s="17">
        <v>8483</v>
      </c>
      <c r="CA148" s="17">
        <v>8566</v>
      </c>
      <c r="CB148" s="17">
        <v>8649</v>
      </c>
      <c r="CC148" s="17">
        <v>8695</v>
      </c>
      <c r="CD148" s="17">
        <v>8718</v>
      </c>
      <c r="CE148" s="17">
        <v>8725</v>
      </c>
      <c r="CF148" s="17">
        <v>8741</v>
      </c>
      <c r="CG148" s="17">
        <v>8753</v>
      </c>
      <c r="CH148" s="17">
        <v>8757</v>
      </c>
      <c r="CI148" s="17">
        <v>8760</v>
      </c>
      <c r="CJ148" s="17">
        <v>8760</v>
      </c>
      <c r="CK148" s="17">
        <v>8760</v>
      </c>
      <c r="CL148" s="17">
        <v>8760</v>
      </c>
      <c r="CM148" s="17">
        <v>8760</v>
      </c>
      <c r="CN148" s="17">
        <v>8760</v>
      </c>
      <c r="CO148" s="17">
        <v>8760</v>
      </c>
      <c r="CP148" s="17">
        <v>8760</v>
      </c>
      <c r="CQ148" s="17">
        <v>8760</v>
      </c>
      <c r="CR148" s="17">
        <v>8760</v>
      </c>
      <c r="CS148" s="17">
        <v>8760</v>
      </c>
      <c r="CT148" s="17">
        <v>8760</v>
      </c>
      <c r="CU148" s="17">
        <v>8760</v>
      </c>
      <c r="CV148" s="17">
        <v>8760</v>
      </c>
      <c r="CW148" s="17">
        <v>8760</v>
      </c>
      <c r="CX148" s="17">
        <v>8760</v>
      </c>
      <c r="CY148" s="17">
        <v>8760</v>
      </c>
      <c r="CZ148" s="17">
        <v>8760</v>
      </c>
      <c r="DA148" s="17">
        <v>8760</v>
      </c>
      <c r="DB148" s="17">
        <v>8760</v>
      </c>
    </row>
    <row r="149" spans="1:106" s="17" customFormat="1" x14ac:dyDescent="0.25">
      <c r="A149" s="22" t="s">
        <v>167</v>
      </c>
      <c r="B149" s="17" t="s">
        <v>161</v>
      </c>
      <c r="C149" s="17" t="s">
        <v>438</v>
      </c>
      <c r="D149" s="17" t="s">
        <v>679</v>
      </c>
      <c r="E149" s="17" t="s">
        <v>680</v>
      </c>
      <c r="F149" s="17">
        <v>102007</v>
      </c>
      <c r="G149" s="17">
        <v>0</v>
      </c>
      <c r="H149" s="17">
        <v>0</v>
      </c>
      <c r="I149" s="17">
        <v>0</v>
      </c>
      <c r="J149" s="17">
        <v>0</v>
      </c>
      <c r="K149" s="17">
        <v>0</v>
      </c>
      <c r="L149" s="17">
        <v>0</v>
      </c>
      <c r="M149" s="17">
        <v>0</v>
      </c>
      <c r="N149" s="17">
        <v>0</v>
      </c>
      <c r="O149" s="17">
        <v>0</v>
      </c>
      <c r="P149" s="17">
        <v>0</v>
      </c>
      <c r="Q149" s="17">
        <v>0</v>
      </c>
      <c r="R149" s="17">
        <v>0</v>
      </c>
      <c r="S149" s="17">
        <v>0</v>
      </c>
      <c r="T149" s="17">
        <v>0</v>
      </c>
      <c r="U149" s="17">
        <v>0</v>
      </c>
      <c r="V149" s="17">
        <v>0</v>
      </c>
      <c r="W149" s="17">
        <v>0</v>
      </c>
      <c r="X149" s="17">
        <v>0</v>
      </c>
      <c r="Y149" s="17">
        <v>0</v>
      </c>
      <c r="Z149" s="17">
        <v>6</v>
      </c>
      <c r="AA149" s="17">
        <v>28</v>
      </c>
      <c r="AB149" s="17">
        <v>44</v>
      </c>
      <c r="AC149" s="17">
        <v>64</v>
      </c>
      <c r="AD149" s="17">
        <v>98</v>
      </c>
      <c r="AE149" s="17">
        <v>144</v>
      </c>
      <c r="AF149" s="17">
        <v>186</v>
      </c>
      <c r="AG149" s="17">
        <v>240</v>
      </c>
      <c r="AH149" s="17">
        <v>310</v>
      </c>
      <c r="AI149" s="17">
        <v>393</v>
      </c>
      <c r="AJ149" s="17">
        <v>481</v>
      </c>
      <c r="AK149" s="17">
        <v>543</v>
      </c>
      <c r="AL149" s="17">
        <v>625</v>
      </c>
      <c r="AM149" s="17">
        <v>734</v>
      </c>
      <c r="AN149" s="17">
        <v>830</v>
      </c>
      <c r="AO149" s="17">
        <v>927</v>
      </c>
      <c r="AP149" s="17">
        <v>1062</v>
      </c>
      <c r="AQ149" s="17">
        <v>1217</v>
      </c>
      <c r="AR149" s="17">
        <v>1399</v>
      </c>
      <c r="AS149" s="17">
        <v>1558</v>
      </c>
      <c r="AT149" s="17">
        <v>1753</v>
      </c>
      <c r="AU149" s="17">
        <v>1960</v>
      </c>
      <c r="AV149" s="17">
        <v>2177</v>
      </c>
      <c r="AW149" s="17">
        <v>2376</v>
      </c>
      <c r="AX149" s="17">
        <v>2619</v>
      </c>
      <c r="AY149" s="17">
        <v>2806</v>
      </c>
      <c r="AZ149" s="17">
        <v>3042</v>
      </c>
      <c r="BA149" s="17">
        <v>3290</v>
      </c>
      <c r="BB149" s="17">
        <v>3540</v>
      </c>
      <c r="BC149" s="17">
        <v>3820</v>
      </c>
      <c r="BD149" s="17">
        <v>4079</v>
      </c>
      <c r="BE149" s="17">
        <v>4439</v>
      </c>
      <c r="BF149" s="17">
        <v>4803</v>
      </c>
      <c r="BG149" s="17">
        <v>5152</v>
      </c>
      <c r="BH149" s="17">
        <v>5488</v>
      </c>
      <c r="BI149" s="17">
        <v>5788</v>
      </c>
      <c r="BJ149" s="17">
        <v>6106</v>
      </c>
      <c r="BK149" s="17">
        <v>6426</v>
      </c>
      <c r="BL149" s="17">
        <v>6690</v>
      </c>
      <c r="BM149" s="17">
        <v>6975</v>
      </c>
      <c r="BN149" s="17">
        <v>7293</v>
      </c>
      <c r="BO149" s="17">
        <v>7591</v>
      </c>
      <c r="BP149" s="17">
        <v>7866</v>
      </c>
      <c r="BQ149" s="17">
        <v>8121</v>
      </c>
      <c r="BR149" s="17">
        <v>8339</v>
      </c>
      <c r="BS149" s="17">
        <v>8484</v>
      </c>
      <c r="BT149" s="17">
        <v>8578</v>
      </c>
      <c r="BU149" s="17">
        <v>8653</v>
      </c>
      <c r="BV149" s="17">
        <v>8710</v>
      </c>
      <c r="BW149" s="17">
        <v>8741</v>
      </c>
      <c r="BX149" s="17">
        <v>8759</v>
      </c>
      <c r="BY149" s="17">
        <v>8760</v>
      </c>
      <c r="BZ149" s="17">
        <v>8760</v>
      </c>
      <c r="CA149" s="17">
        <v>8760</v>
      </c>
      <c r="CB149" s="17">
        <v>8760</v>
      </c>
      <c r="CC149" s="17">
        <v>8760</v>
      </c>
      <c r="CD149" s="17">
        <v>8760</v>
      </c>
      <c r="CE149" s="17">
        <v>8760</v>
      </c>
      <c r="CF149" s="17">
        <v>8760</v>
      </c>
      <c r="CG149" s="17">
        <v>8760</v>
      </c>
      <c r="CH149" s="17">
        <v>8760</v>
      </c>
      <c r="CI149" s="17">
        <v>8760</v>
      </c>
      <c r="CJ149" s="17">
        <v>8760</v>
      </c>
      <c r="CK149" s="17">
        <v>8760</v>
      </c>
      <c r="CL149" s="17">
        <v>8760</v>
      </c>
      <c r="CM149" s="17">
        <v>8760</v>
      </c>
      <c r="CN149" s="17">
        <v>8760</v>
      </c>
      <c r="CO149" s="17">
        <v>8760</v>
      </c>
      <c r="CP149" s="17">
        <v>8760</v>
      </c>
      <c r="CQ149" s="17">
        <v>8760</v>
      </c>
      <c r="CR149" s="17">
        <v>8760</v>
      </c>
      <c r="CS149" s="17">
        <v>8760</v>
      </c>
      <c r="CT149" s="17">
        <v>8760</v>
      </c>
      <c r="CU149" s="17">
        <v>8760</v>
      </c>
      <c r="CV149" s="17">
        <v>8760</v>
      </c>
      <c r="CW149" s="17">
        <v>8760</v>
      </c>
      <c r="CX149" s="17">
        <v>8760</v>
      </c>
      <c r="CY149" s="17">
        <v>8760</v>
      </c>
      <c r="CZ149" s="17">
        <v>8760</v>
      </c>
      <c r="DA149" s="17">
        <v>8760</v>
      </c>
      <c r="DB149" s="17">
        <v>8760</v>
      </c>
    </row>
    <row r="150" spans="1:106" s="17" customFormat="1" x14ac:dyDescent="0.25">
      <c r="A150" s="22" t="s">
        <v>168</v>
      </c>
      <c r="B150" s="17" t="s">
        <v>389</v>
      </c>
      <c r="C150" s="17" t="s">
        <v>438</v>
      </c>
      <c r="D150" s="17" t="s">
        <v>681</v>
      </c>
      <c r="E150" s="17" t="s">
        <v>682</v>
      </c>
      <c r="F150" s="17">
        <v>102124</v>
      </c>
      <c r="G150" s="17">
        <v>0</v>
      </c>
      <c r="H150" s="17">
        <v>0</v>
      </c>
      <c r="I150" s="17">
        <v>0</v>
      </c>
      <c r="J150" s="17">
        <v>0</v>
      </c>
      <c r="K150" s="17">
        <v>0</v>
      </c>
      <c r="L150" s="17">
        <v>0</v>
      </c>
      <c r="M150" s="17">
        <v>0</v>
      </c>
      <c r="N150" s="17">
        <v>0</v>
      </c>
      <c r="O150" s="17">
        <v>0</v>
      </c>
      <c r="P150" s="17">
        <v>0</v>
      </c>
      <c r="Q150" s="17">
        <v>0</v>
      </c>
      <c r="R150" s="17">
        <v>0</v>
      </c>
      <c r="S150" s="17">
        <v>0</v>
      </c>
      <c r="T150" s="17">
        <v>0</v>
      </c>
      <c r="U150" s="17">
        <v>0</v>
      </c>
      <c r="V150" s="17">
        <v>0</v>
      </c>
      <c r="W150" s="17">
        <v>0</v>
      </c>
      <c r="X150" s="17">
        <v>0</v>
      </c>
      <c r="Y150" s="17">
        <v>0</v>
      </c>
      <c r="Z150" s="17">
        <v>0</v>
      </c>
      <c r="AA150" s="17">
        <v>0</v>
      </c>
      <c r="AB150" s="17">
        <v>0</v>
      </c>
      <c r="AC150" s="17">
        <v>0</v>
      </c>
      <c r="AD150" s="17">
        <v>0</v>
      </c>
      <c r="AE150" s="17">
        <v>0</v>
      </c>
      <c r="AF150" s="17">
        <v>0</v>
      </c>
      <c r="AG150" s="17">
        <v>0</v>
      </c>
      <c r="AH150" s="17">
        <v>0</v>
      </c>
      <c r="AI150" s="17">
        <v>0</v>
      </c>
      <c r="AJ150" s="17">
        <v>0</v>
      </c>
      <c r="AK150" s="17">
        <v>0</v>
      </c>
      <c r="AL150" s="17">
        <v>0</v>
      </c>
      <c r="AM150" s="17">
        <v>0</v>
      </c>
      <c r="AN150" s="17">
        <v>0</v>
      </c>
      <c r="AO150" s="17">
        <v>0</v>
      </c>
      <c r="AP150" s="17">
        <v>0</v>
      </c>
      <c r="AQ150" s="17">
        <v>0</v>
      </c>
      <c r="AR150" s="17">
        <v>6</v>
      </c>
      <c r="AS150" s="17">
        <v>10</v>
      </c>
      <c r="AT150" s="17">
        <v>19</v>
      </c>
      <c r="AU150" s="17">
        <v>28</v>
      </c>
      <c r="AV150" s="17">
        <v>40</v>
      </c>
      <c r="AW150" s="17">
        <v>66</v>
      </c>
      <c r="AX150" s="17">
        <v>83</v>
      </c>
      <c r="AY150" s="17">
        <v>113</v>
      </c>
      <c r="AZ150" s="17">
        <v>166</v>
      </c>
      <c r="BA150" s="17">
        <v>260</v>
      </c>
      <c r="BB150" s="17">
        <v>452</v>
      </c>
      <c r="BC150" s="17">
        <v>721</v>
      </c>
      <c r="BD150" s="17">
        <v>1093</v>
      </c>
      <c r="BE150" s="17">
        <v>1455</v>
      </c>
      <c r="BF150" s="17">
        <v>1861</v>
      </c>
      <c r="BG150" s="17">
        <v>2244</v>
      </c>
      <c r="BH150" s="17">
        <v>2609</v>
      </c>
      <c r="BI150" s="17">
        <v>3018</v>
      </c>
      <c r="BJ150" s="17">
        <v>3441</v>
      </c>
      <c r="BK150" s="17">
        <v>3841</v>
      </c>
      <c r="BL150" s="17">
        <v>4182</v>
      </c>
      <c r="BM150" s="17">
        <v>4510</v>
      </c>
      <c r="BN150" s="17">
        <v>4876</v>
      </c>
      <c r="BO150" s="17">
        <v>5249</v>
      </c>
      <c r="BP150" s="17">
        <v>5674</v>
      </c>
      <c r="BQ150" s="17">
        <v>6127</v>
      </c>
      <c r="BR150" s="17">
        <v>6617</v>
      </c>
      <c r="BS150" s="17">
        <v>7098</v>
      </c>
      <c r="BT150" s="17">
        <v>7519</v>
      </c>
      <c r="BU150" s="17">
        <v>7875</v>
      </c>
      <c r="BV150" s="17">
        <v>8138</v>
      </c>
      <c r="BW150" s="17">
        <v>8334</v>
      </c>
      <c r="BX150" s="17">
        <v>8486</v>
      </c>
      <c r="BY150" s="17">
        <v>8578</v>
      </c>
      <c r="BZ150" s="17">
        <v>8631</v>
      </c>
      <c r="CA150" s="17">
        <v>8672</v>
      </c>
      <c r="CB150" s="17">
        <v>8690</v>
      </c>
      <c r="CC150" s="17">
        <v>8713</v>
      </c>
      <c r="CD150" s="17">
        <v>8724</v>
      </c>
      <c r="CE150" s="17">
        <v>8735</v>
      </c>
      <c r="CF150" s="17">
        <v>8742</v>
      </c>
      <c r="CG150" s="17">
        <v>8753</v>
      </c>
      <c r="CH150" s="17">
        <v>8760</v>
      </c>
      <c r="CI150" s="17">
        <v>8760</v>
      </c>
      <c r="CJ150" s="17">
        <v>8760</v>
      </c>
      <c r="CK150" s="17">
        <v>8760</v>
      </c>
      <c r="CL150" s="17">
        <v>8760</v>
      </c>
      <c r="CM150" s="17">
        <v>8760</v>
      </c>
      <c r="CN150" s="17">
        <v>8760</v>
      </c>
      <c r="CO150" s="17">
        <v>8760</v>
      </c>
      <c r="CP150" s="17">
        <v>8760</v>
      </c>
      <c r="CQ150" s="17">
        <v>8760</v>
      </c>
      <c r="CR150" s="17">
        <v>8760</v>
      </c>
      <c r="CS150" s="17">
        <v>8760</v>
      </c>
      <c r="CT150" s="17">
        <v>8760</v>
      </c>
      <c r="CU150" s="17">
        <v>8760</v>
      </c>
      <c r="CV150" s="17">
        <v>8760</v>
      </c>
      <c r="CW150" s="17">
        <v>8760</v>
      </c>
      <c r="CX150" s="17">
        <v>8760</v>
      </c>
      <c r="CY150" s="17">
        <v>8760</v>
      </c>
      <c r="CZ150" s="17">
        <v>8760</v>
      </c>
      <c r="DA150" s="17">
        <v>8760</v>
      </c>
      <c r="DB150" s="17">
        <v>8760</v>
      </c>
    </row>
    <row r="151" spans="1:106" s="17" customFormat="1" x14ac:dyDescent="0.25">
      <c r="A151" s="22" t="s">
        <v>169</v>
      </c>
      <c r="B151" s="17" t="s">
        <v>152</v>
      </c>
      <c r="C151" s="17" t="s">
        <v>438</v>
      </c>
      <c r="D151" s="17" t="s">
        <v>683</v>
      </c>
      <c r="E151" s="17" t="s">
        <v>684</v>
      </c>
      <c r="F151" s="17">
        <v>102602</v>
      </c>
      <c r="G151" s="17">
        <v>0</v>
      </c>
      <c r="H151" s="17">
        <v>0</v>
      </c>
      <c r="I151" s="17">
        <v>0</v>
      </c>
      <c r="J151" s="17">
        <v>0</v>
      </c>
      <c r="K151" s="17">
        <v>0</v>
      </c>
      <c r="L151" s="17">
        <v>0</v>
      </c>
      <c r="M151" s="17">
        <v>0</v>
      </c>
      <c r="N151" s="17">
        <v>0</v>
      </c>
      <c r="O151" s="17">
        <v>0</v>
      </c>
      <c r="P151" s="17">
        <v>0</v>
      </c>
      <c r="Q151" s="17">
        <v>0</v>
      </c>
      <c r="R151" s="17">
        <v>0</v>
      </c>
      <c r="S151" s="17">
        <v>0</v>
      </c>
      <c r="T151" s="17">
        <v>0</v>
      </c>
      <c r="U151" s="17">
        <v>0</v>
      </c>
      <c r="V151" s="17">
        <v>0</v>
      </c>
      <c r="W151" s="17">
        <v>0</v>
      </c>
      <c r="X151" s="17">
        <v>0</v>
      </c>
      <c r="Y151" s="17">
        <v>0</v>
      </c>
      <c r="Z151" s="17">
        <v>0</v>
      </c>
      <c r="AA151" s="17">
        <v>0</v>
      </c>
      <c r="AB151" s="17">
        <v>0</v>
      </c>
      <c r="AC151" s="17">
        <v>0</v>
      </c>
      <c r="AD151" s="17">
        <v>0</v>
      </c>
      <c r="AE151" s="17">
        <v>0</v>
      </c>
      <c r="AF151" s="17">
        <v>0</v>
      </c>
      <c r="AG151" s="17">
        <v>0</v>
      </c>
      <c r="AH151" s="17">
        <v>0</v>
      </c>
      <c r="AI151" s="17">
        <v>0</v>
      </c>
      <c r="AJ151" s="17">
        <v>4</v>
      </c>
      <c r="AK151" s="17">
        <v>7</v>
      </c>
      <c r="AL151" s="17">
        <v>21</v>
      </c>
      <c r="AM151" s="17">
        <v>37</v>
      </c>
      <c r="AN151" s="17">
        <v>51</v>
      </c>
      <c r="AO151" s="17">
        <v>66</v>
      </c>
      <c r="AP151" s="17">
        <v>92</v>
      </c>
      <c r="AQ151" s="17">
        <v>112</v>
      </c>
      <c r="AR151" s="17">
        <v>130</v>
      </c>
      <c r="AS151" s="17">
        <v>162</v>
      </c>
      <c r="AT151" s="17">
        <v>197</v>
      </c>
      <c r="AU151" s="17">
        <v>233</v>
      </c>
      <c r="AV151" s="17">
        <v>294</v>
      </c>
      <c r="AW151" s="17">
        <v>372</v>
      </c>
      <c r="AX151" s="17">
        <v>469</v>
      </c>
      <c r="AY151" s="17">
        <v>590</v>
      </c>
      <c r="AZ151" s="17">
        <v>763</v>
      </c>
      <c r="BA151" s="17">
        <v>1001</v>
      </c>
      <c r="BB151" s="17">
        <v>1279</v>
      </c>
      <c r="BC151" s="17">
        <v>1626</v>
      </c>
      <c r="BD151" s="17">
        <v>2012</v>
      </c>
      <c r="BE151" s="17">
        <v>2437</v>
      </c>
      <c r="BF151" s="17">
        <v>2782</v>
      </c>
      <c r="BG151" s="17">
        <v>3166</v>
      </c>
      <c r="BH151" s="17">
        <v>3544</v>
      </c>
      <c r="BI151" s="17">
        <v>3903</v>
      </c>
      <c r="BJ151" s="17">
        <v>4269</v>
      </c>
      <c r="BK151" s="17">
        <v>4605</v>
      </c>
      <c r="BL151" s="17">
        <v>4918</v>
      </c>
      <c r="BM151" s="17">
        <v>5201</v>
      </c>
      <c r="BN151" s="17">
        <v>5548</v>
      </c>
      <c r="BO151" s="17">
        <v>5852</v>
      </c>
      <c r="BP151" s="17">
        <v>6166</v>
      </c>
      <c r="BQ151" s="17">
        <v>6500</v>
      </c>
      <c r="BR151" s="17">
        <v>6859</v>
      </c>
      <c r="BS151" s="17">
        <v>7160</v>
      </c>
      <c r="BT151" s="17">
        <v>7421</v>
      </c>
      <c r="BU151" s="17">
        <v>7696</v>
      </c>
      <c r="BV151" s="17">
        <v>7916</v>
      </c>
      <c r="BW151" s="17">
        <v>8129</v>
      </c>
      <c r="BX151" s="17">
        <v>8290</v>
      </c>
      <c r="BY151" s="17">
        <v>8419</v>
      </c>
      <c r="BZ151" s="17">
        <v>8503</v>
      </c>
      <c r="CA151" s="17">
        <v>8573</v>
      </c>
      <c r="CB151" s="17">
        <v>8622</v>
      </c>
      <c r="CC151" s="17">
        <v>8656</v>
      </c>
      <c r="CD151" s="17">
        <v>8691</v>
      </c>
      <c r="CE151" s="17">
        <v>8720</v>
      </c>
      <c r="CF151" s="17">
        <v>8733</v>
      </c>
      <c r="CG151" s="17">
        <v>8753</v>
      </c>
      <c r="CH151" s="17">
        <v>8760</v>
      </c>
      <c r="CI151" s="17">
        <v>8760</v>
      </c>
      <c r="CJ151" s="17">
        <v>8760</v>
      </c>
      <c r="CK151" s="17">
        <v>8760</v>
      </c>
      <c r="CL151" s="17">
        <v>8760</v>
      </c>
      <c r="CM151" s="17">
        <v>8760</v>
      </c>
      <c r="CN151" s="17">
        <v>8760</v>
      </c>
      <c r="CO151" s="17">
        <v>8760</v>
      </c>
      <c r="CP151" s="17">
        <v>8760</v>
      </c>
      <c r="CQ151" s="17">
        <v>8760</v>
      </c>
      <c r="CR151" s="17">
        <v>8760</v>
      </c>
      <c r="CS151" s="17">
        <v>8760</v>
      </c>
      <c r="CT151" s="17">
        <v>8760</v>
      </c>
      <c r="CU151" s="17">
        <v>8760</v>
      </c>
      <c r="CV151" s="17">
        <v>8760</v>
      </c>
      <c r="CW151" s="17">
        <v>8760</v>
      </c>
      <c r="CX151" s="17">
        <v>8760</v>
      </c>
      <c r="CY151" s="17">
        <v>8760</v>
      </c>
      <c r="CZ151" s="17">
        <v>8760</v>
      </c>
      <c r="DA151" s="17">
        <v>8760</v>
      </c>
      <c r="DB151" s="17">
        <v>8760</v>
      </c>
    </row>
    <row r="152" spans="1:106" s="17" customFormat="1" x14ac:dyDescent="0.25">
      <c r="A152" s="22" t="s">
        <v>170</v>
      </c>
      <c r="B152" s="17" t="s">
        <v>162</v>
      </c>
      <c r="C152" s="17" t="s">
        <v>438</v>
      </c>
      <c r="D152" s="17" t="s">
        <v>685</v>
      </c>
      <c r="E152" s="17" t="s">
        <v>686</v>
      </c>
      <c r="F152" s="17">
        <v>102301</v>
      </c>
      <c r="G152" s="17">
        <v>0</v>
      </c>
      <c r="H152" s="17">
        <v>0</v>
      </c>
      <c r="I152" s="17">
        <v>0</v>
      </c>
      <c r="J152" s="17">
        <v>0</v>
      </c>
      <c r="K152" s="17">
        <v>0</v>
      </c>
      <c r="L152" s="17">
        <v>0</v>
      </c>
      <c r="M152" s="17">
        <v>0</v>
      </c>
      <c r="N152" s="17">
        <v>0</v>
      </c>
      <c r="O152" s="17">
        <v>0</v>
      </c>
      <c r="P152" s="17">
        <v>0</v>
      </c>
      <c r="Q152" s="17">
        <v>0</v>
      </c>
      <c r="R152" s="17">
        <v>0</v>
      </c>
      <c r="S152" s="17">
        <v>0</v>
      </c>
      <c r="T152" s="17">
        <v>0</v>
      </c>
      <c r="U152" s="17">
        <v>0</v>
      </c>
      <c r="V152" s="17">
        <v>0</v>
      </c>
      <c r="W152" s="17">
        <v>0</v>
      </c>
      <c r="X152" s="17">
        <v>0</v>
      </c>
      <c r="Y152" s="17">
        <v>0</v>
      </c>
      <c r="Z152" s="17">
        <v>0</v>
      </c>
      <c r="AA152" s="17">
        <v>0</v>
      </c>
      <c r="AB152" s="17">
        <v>0</v>
      </c>
      <c r="AC152" s="17">
        <v>0</v>
      </c>
      <c r="AD152" s="17">
        <v>0</v>
      </c>
      <c r="AE152" s="17">
        <v>0</v>
      </c>
      <c r="AF152" s="17">
        <v>0</v>
      </c>
      <c r="AG152" s="17">
        <v>0</v>
      </c>
      <c r="AH152" s="17">
        <v>0</v>
      </c>
      <c r="AI152" s="17">
        <v>0</v>
      </c>
      <c r="AJ152" s="17">
        <v>0</v>
      </c>
      <c r="AK152" s="17">
        <v>0</v>
      </c>
      <c r="AL152" s="17">
        <v>0</v>
      </c>
      <c r="AM152" s="17">
        <v>0</v>
      </c>
      <c r="AN152" s="17">
        <v>0</v>
      </c>
      <c r="AO152" s="17">
        <v>1</v>
      </c>
      <c r="AP152" s="17">
        <v>4</v>
      </c>
      <c r="AQ152" s="17">
        <v>7</v>
      </c>
      <c r="AR152" s="17">
        <v>11</v>
      </c>
      <c r="AS152" s="17">
        <v>25</v>
      </c>
      <c r="AT152" s="17">
        <v>48</v>
      </c>
      <c r="AU152" s="17">
        <v>70</v>
      </c>
      <c r="AV152" s="17">
        <v>88</v>
      </c>
      <c r="AW152" s="17">
        <v>115</v>
      </c>
      <c r="AX152" s="17">
        <v>163</v>
      </c>
      <c r="AY152" s="17">
        <v>237</v>
      </c>
      <c r="AZ152" s="17">
        <v>342</v>
      </c>
      <c r="BA152" s="17">
        <v>433</v>
      </c>
      <c r="BB152" s="17">
        <v>595</v>
      </c>
      <c r="BC152" s="17">
        <v>814</v>
      </c>
      <c r="BD152" s="17">
        <v>1075</v>
      </c>
      <c r="BE152" s="17">
        <v>1495</v>
      </c>
      <c r="BF152" s="17">
        <v>1991</v>
      </c>
      <c r="BG152" s="17">
        <v>2438</v>
      </c>
      <c r="BH152" s="17">
        <v>2899</v>
      </c>
      <c r="BI152" s="17">
        <v>3384</v>
      </c>
      <c r="BJ152" s="17">
        <v>3825</v>
      </c>
      <c r="BK152" s="17">
        <v>4203</v>
      </c>
      <c r="BL152" s="17">
        <v>4547</v>
      </c>
      <c r="BM152" s="17">
        <v>4871</v>
      </c>
      <c r="BN152" s="17">
        <v>5251</v>
      </c>
      <c r="BO152" s="17">
        <v>5583</v>
      </c>
      <c r="BP152" s="17">
        <v>5990</v>
      </c>
      <c r="BQ152" s="17">
        <v>6414</v>
      </c>
      <c r="BR152" s="17">
        <v>6770</v>
      </c>
      <c r="BS152" s="17">
        <v>7104</v>
      </c>
      <c r="BT152" s="17">
        <v>7428</v>
      </c>
      <c r="BU152" s="17">
        <v>7688</v>
      </c>
      <c r="BV152" s="17">
        <v>7899</v>
      </c>
      <c r="BW152" s="17">
        <v>8104</v>
      </c>
      <c r="BX152" s="17">
        <v>8247</v>
      </c>
      <c r="BY152" s="17">
        <v>8378</v>
      </c>
      <c r="BZ152" s="17">
        <v>8493</v>
      </c>
      <c r="CA152" s="17">
        <v>8572</v>
      </c>
      <c r="CB152" s="17">
        <v>8640</v>
      </c>
      <c r="CC152" s="17">
        <v>8688</v>
      </c>
      <c r="CD152" s="17">
        <v>8715</v>
      </c>
      <c r="CE152" s="17">
        <v>8737</v>
      </c>
      <c r="CF152" s="17">
        <v>8747</v>
      </c>
      <c r="CG152" s="17">
        <v>8752</v>
      </c>
      <c r="CH152" s="17">
        <v>8758</v>
      </c>
      <c r="CI152" s="17">
        <v>8760</v>
      </c>
      <c r="CJ152" s="17">
        <v>8760</v>
      </c>
      <c r="CK152" s="17">
        <v>8760</v>
      </c>
      <c r="CL152" s="17">
        <v>8760</v>
      </c>
      <c r="CM152" s="17">
        <v>8760</v>
      </c>
      <c r="CN152" s="17">
        <v>8760</v>
      </c>
      <c r="CO152" s="17">
        <v>8760</v>
      </c>
      <c r="CP152" s="17">
        <v>8760</v>
      </c>
      <c r="CQ152" s="17">
        <v>8760</v>
      </c>
      <c r="CR152" s="17">
        <v>8760</v>
      </c>
      <c r="CS152" s="17">
        <v>8760</v>
      </c>
      <c r="CT152" s="17">
        <v>8760</v>
      </c>
      <c r="CU152" s="17">
        <v>8760</v>
      </c>
      <c r="CV152" s="17">
        <v>8760</v>
      </c>
      <c r="CW152" s="17">
        <v>8760</v>
      </c>
      <c r="CX152" s="17">
        <v>8760</v>
      </c>
      <c r="CY152" s="17">
        <v>8760</v>
      </c>
      <c r="CZ152" s="17">
        <v>8760</v>
      </c>
      <c r="DA152" s="17">
        <v>8760</v>
      </c>
      <c r="DB152" s="17">
        <v>8760</v>
      </c>
    </row>
    <row r="153" spans="1:106" s="17" customFormat="1" x14ac:dyDescent="0.25">
      <c r="A153" s="22" t="s">
        <v>171</v>
      </c>
      <c r="B153" s="17" t="s">
        <v>163</v>
      </c>
      <c r="C153" s="17" t="s">
        <v>438</v>
      </c>
      <c r="D153" s="17" t="s">
        <v>687</v>
      </c>
      <c r="E153" s="17" t="s">
        <v>688</v>
      </c>
      <c r="F153" s="17">
        <v>102108</v>
      </c>
      <c r="G153" s="17">
        <v>0</v>
      </c>
      <c r="H153" s="17">
        <v>0</v>
      </c>
      <c r="I153" s="17">
        <v>0</v>
      </c>
      <c r="J153" s="17">
        <v>0</v>
      </c>
      <c r="K153" s="17">
        <v>0</v>
      </c>
      <c r="L153" s="17">
        <v>0</v>
      </c>
      <c r="M153" s="17">
        <v>0</v>
      </c>
      <c r="N153" s="17">
        <v>0</v>
      </c>
      <c r="O153" s="17">
        <v>0</v>
      </c>
      <c r="P153" s="17">
        <v>0</v>
      </c>
      <c r="Q153" s="17">
        <v>0</v>
      </c>
      <c r="R153" s="17">
        <v>0</v>
      </c>
      <c r="S153" s="17">
        <v>0</v>
      </c>
      <c r="T153" s="17">
        <v>0</v>
      </c>
      <c r="U153" s="17">
        <v>0</v>
      </c>
      <c r="V153" s="17">
        <v>0</v>
      </c>
      <c r="W153" s="17">
        <v>0</v>
      </c>
      <c r="X153" s="17">
        <v>0</v>
      </c>
      <c r="Y153" s="17">
        <v>0</v>
      </c>
      <c r="Z153" s="17">
        <v>0</v>
      </c>
      <c r="AA153" s="17">
        <v>0</v>
      </c>
      <c r="AB153" s="17">
        <v>0</v>
      </c>
      <c r="AC153" s="17">
        <v>0</v>
      </c>
      <c r="AD153" s="17">
        <v>0</v>
      </c>
      <c r="AE153" s="17">
        <v>0</v>
      </c>
      <c r="AF153" s="17">
        <v>0</v>
      </c>
      <c r="AG153" s="17">
        <v>0</v>
      </c>
      <c r="AH153" s="17">
        <v>0</v>
      </c>
      <c r="AI153" s="17">
        <v>0</v>
      </c>
      <c r="AJ153" s="17">
        <v>0</v>
      </c>
      <c r="AK153" s="17">
        <v>0</v>
      </c>
      <c r="AL153" s="17">
        <v>0</v>
      </c>
      <c r="AM153" s="17">
        <v>0</v>
      </c>
      <c r="AN153" s="17">
        <v>0</v>
      </c>
      <c r="AO153" s="17">
        <v>0</v>
      </c>
      <c r="AP153" s="17">
        <v>0</v>
      </c>
      <c r="AQ153" s="17">
        <v>0</v>
      </c>
      <c r="AR153" s="17">
        <v>0</v>
      </c>
      <c r="AS153" s="17">
        <v>10</v>
      </c>
      <c r="AT153" s="17">
        <v>19</v>
      </c>
      <c r="AU153" s="17">
        <v>40</v>
      </c>
      <c r="AV153" s="17">
        <v>54</v>
      </c>
      <c r="AW153" s="17">
        <v>93</v>
      </c>
      <c r="AX153" s="17">
        <v>122</v>
      </c>
      <c r="AY153" s="17">
        <v>156</v>
      </c>
      <c r="AZ153" s="17">
        <v>183</v>
      </c>
      <c r="BA153" s="17">
        <v>261</v>
      </c>
      <c r="BB153" s="17">
        <v>405</v>
      </c>
      <c r="BC153" s="17">
        <v>598</v>
      </c>
      <c r="BD153" s="17">
        <v>923</v>
      </c>
      <c r="BE153" s="17">
        <v>1249</v>
      </c>
      <c r="BF153" s="17">
        <v>1616</v>
      </c>
      <c r="BG153" s="17">
        <v>2014</v>
      </c>
      <c r="BH153" s="17">
        <v>2486</v>
      </c>
      <c r="BI153" s="17">
        <v>2982</v>
      </c>
      <c r="BJ153" s="17">
        <v>3507</v>
      </c>
      <c r="BK153" s="17">
        <v>3919</v>
      </c>
      <c r="BL153" s="17">
        <v>4253</v>
      </c>
      <c r="BM153" s="17">
        <v>4552</v>
      </c>
      <c r="BN153" s="17">
        <v>4881</v>
      </c>
      <c r="BO153" s="17">
        <v>5313</v>
      </c>
      <c r="BP153" s="17">
        <v>5757</v>
      </c>
      <c r="BQ153" s="17">
        <v>6236</v>
      </c>
      <c r="BR153" s="17">
        <v>6695</v>
      </c>
      <c r="BS153" s="17">
        <v>7143</v>
      </c>
      <c r="BT153" s="17">
        <v>7571</v>
      </c>
      <c r="BU153" s="17">
        <v>7944</v>
      </c>
      <c r="BV153" s="17">
        <v>8174</v>
      </c>
      <c r="BW153" s="17">
        <v>8383</v>
      </c>
      <c r="BX153" s="17">
        <v>8496</v>
      </c>
      <c r="BY153" s="17">
        <v>8585</v>
      </c>
      <c r="BZ153" s="17">
        <v>8630</v>
      </c>
      <c r="CA153" s="17">
        <v>8658</v>
      </c>
      <c r="CB153" s="17">
        <v>8688</v>
      </c>
      <c r="CC153" s="17">
        <v>8712</v>
      </c>
      <c r="CD153" s="17">
        <v>8732</v>
      </c>
      <c r="CE153" s="17">
        <v>8746</v>
      </c>
      <c r="CF153" s="17">
        <v>8757</v>
      </c>
      <c r="CG153" s="17">
        <v>8760</v>
      </c>
      <c r="CH153" s="17">
        <v>8760</v>
      </c>
      <c r="CI153" s="17">
        <v>8760</v>
      </c>
      <c r="CJ153" s="17">
        <v>8760</v>
      </c>
      <c r="CK153" s="17">
        <v>8760</v>
      </c>
      <c r="CL153" s="17">
        <v>8760</v>
      </c>
      <c r="CM153" s="17">
        <v>8760</v>
      </c>
      <c r="CN153" s="17">
        <v>8760</v>
      </c>
      <c r="CO153" s="17">
        <v>8760</v>
      </c>
      <c r="CP153" s="17">
        <v>8760</v>
      </c>
      <c r="CQ153" s="17">
        <v>8760</v>
      </c>
      <c r="CR153" s="17">
        <v>8760</v>
      </c>
      <c r="CS153" s="17">
        <v>8760</v>
      </c>
      <c r="CT153" s="17">
        <v>8760</v>
      </c>
      <c r="CU153" s="17">
        <v>8760</v>
      </c>
      <c r="CV153" s="17">
        <v>8760</v>
      </c>
      <c r="CW153" s="17">
        <v>8760</v>
      </c>
      <c r="CX153" s="17">
        <v>8760</v>
      </c>
      <c r="CY153" s="17">
        <v>8760</v>
      </c>
      <c r="CZ153" s="17">
        <v>8760</v>
      </c>
      <c r="DA153" s="17">
        <v>8760</v>
      </c>
      <c r="DB153" s="17">
        <v>8760</v>
      </c>
    </row>
    <row r="154" spans="1:106" s="17" customFormat="1" x14ac:dyDescent="0.25">
      <c r="A154" s="22" t="s">
        <v>172</v>
      </c>
      <c r="B154" s="17" t="s">
        <v>391</v>
      </c>
      <c r="C154" s="17" t="s">
        <v>438</v>
      </c>
      <c r="D154" s="17" t="s">
        <v>689</v>
      </c>
      <c r="E154" s="17" t="s">
        <v>690</v>
      </c>
      <c r="F154" s="17">
        <v>102511</v>
      </c>
      <c r="G154" s="17">
        <v>0</v>
      </c>
      <c r="H154" s="17">
        <v>0</v>
      </c>
      <c r="I154" s="17">
        <v>0</v>
      </c>
      <c r="J154" s="17">
        <v>0</v>
      </c>
      <c r="K154" s="17">
        <v>0</v>
      </c>
      <c r="L154" s="17">
        <v>0</v>
      </c>
      <c r="M154" s="17">
        <v>0</v>
      </c>
      <c r="N154" s="17">
        <v>0</v>
      </c>
      <c r="O154" s="17">
        <v>0</v>
      </c>
      <c r="P154" s="17">
        <v>0</v>
      </c>
      <c r="Q154" s="17">
        <v>0</v>
      </c>
      <c r="R154" s="17">
        <v>0</v>
      </c>
      <c r="S154" s="17">
        <v>0</v>
      </c>
      <c r="T154" s="17">
        <v>0</v>
      </c>
      <c r="U154" s="17">
        <v>0</v>
      </c>
      <c r="V154" s="17">
        <v>0</v>
      </c>
      <c r="W154" s="17">
        <v>0</v>
      </c>
      <c r="X154" s="17">
        <v>0</v>
      </c>
      <c r="Y154" s="17">
        <v>0</v>
      </c>
      <c r="Z154" s="17">
        <v>0</v>
      </c>
      <c r="AA154" s="17">
        <v>0</v>
      </c>
      <c r="AB154" s="17">
        <v>0</v>
      </c>
      <c r="AC154" s="17">
        <v>0</v>
      </c>
      <c r="AD154" s="17">
        <v>0</v>
      </c>
      <c r="AE154" s="17">
        <v>0</v>
      </c>
      <c r="AF154" s="17">
        <v>0</v>
      </c>
      <c r="AG154" s="17">
        <v>0</v>
      </c>
      <c r="AH154" s="17">
        <v>0</v>
      </c>
      <c r="AI154" s="17">
        <v>0</v>
      </c>
      <c r="AJ154" s="17">
        <v>0</v>
      </c>
      <c r="AK154" s="17">
        <v>0</v>
      </c>
      <c r="AL154" s="17">
        <v>1</v>
      </c>
      <c r="AM154" s="17">
        <v>4</v>
      </c>
      <c r="AN154" s="17">
        <v>7</v>
      </c>
      <c r="AO154" s="17">
        <v>17</v>
      </c>
      <c r="AP154" s="17">
        <v>41</v>
      </c>
      <c r="AQ154" s="17">
        <v>76</v>
      </c>
      <c r="AR154" s="17">
        <v>110</v>
      </c>
      <c r="AS154" s="17">
        <v>143</v>
      </c>
      <c r="AT154" s="17">
        <v>185</v>
      </c>
      <c r="AU154" s="17">
        <v>222</v>
      </c>
      <c r="AV154" s="17">
        <v>258</v>
      </c>
      <c r="AW154" s="17">
        <v>336</v>
      </c>
      <c r="AX154" s="17">
        <v>477</v>
      </c>
      <c r="AY154" s="17">
        <v>627</v>
      </c>
      <c r="AZ154" s="17">
        <v>828</v>
      </c>
      <c r="BA154" s="17">
        <v>1035</v>
      </c>
      <c r="BB154" s="17">
        <v>1331</v>
      </c>
      <c r="BC154" s="17">
        <v>1645</v>
      </c>
      <c r="BD154" s="17">
        <v>2028</v>
      </c>
      <c r="BE154" s="17">
        <v>2451</v>
      </c>
      <c r="BF154" s="17">
        <v>2905</v>
      </c>
      <c r="BG154" s="17">
        <v>3328</v>
      </c>
      <c r="BH154" s="17">
        <v>3709</v>
      </c>
      <c r="BI154" s="17">
        <v>4075</v>
      </c>
      <c r="BJ154" s="17">
        <v>4383</v>
      </c>
      <c r="BK154" s="17">
        <v>4704</v>
      </c>
      <c r="BL154" s="17">
        <v>4976</v>
      </c>
      <c r="BM154" s="17">
        <v>5266</v>
      </c>
      <c r="BN154" s="17">
        <v>5606</v>
      </c>
      <c r="BO154" s="17">
        <v>5980</v>
      </c>
      <c r="BP154" s="17">
        <v>6309</v>
      </c>
      <c r="BQ154" s="17">
        <v>6653</v>
      </c>
      <c r="BR154" s="17">
        <v>6997</v>
      </c>
      <c r="BS154" s="17">
        <v>7315</v>
      </c>
      <c r="BT154" s="17">
        <v>7602</v>
      </c>
      <c r="BU154" s="17">
        <v>7895</v>
      </c>
      <c r="BV154" s="17">
        <v>8139</v>
      </c>
      <c r="BW154" s="17">
        <v>8322</v>
      </c>
      <c r="BX154" s="17">
        <v>8421</v>
      </c>
      <c r="BY154" s="17">
        <v>8509</v>
      </c>
      <c r="BZ154" s="17">
        <v>8583</v>
      </c>
      <c r="CA154" s="17">
        <v>8628</v>
      </c>
      <c r="CB154" s="17">
        <v>8664</v>
      </c>
      <c r="CC154" s="17">
        <v>8704</v>
      </c>
      <c r="CD154" s="17">
        <v>8718</v>
      </c>
      <c r="CE154" s="17">
        <v>8740</v>
      </c>
      <c r="CF154" s="17">
        <v>8756</v>
      </c>
      <c r="CG154" s="17">
        <v>8760</v>
      </c>
      <c r="CH154" s="17">
        <v>8760</v>
      </c>
      <c r="CI154" s="17">
        <v>8760</v>
      </c>
      <c r="CJ154" s="17">
        <v>8760</v>
      </c>
      <c r="CK154" s="17">
        <v>8760</v>
      </c>
      <c r="CL154" s="17">
        <v>8760</v>
      </c>
      <c r="CM154" s="17">
        <v>8760</v>
      </c>
      <c r="CN154" s="17">
        <v>8760</v>
      </c>
      <c r="CO154" s="17">
        <v>8760</v>
      </c>
      <c r="CP154" s="17">
        <v>8760</v>
      </c>
      <c r="CQ154" s="17">
        <v>8760</v>
      </c>
      <c r="CR154" s="17">
        <v>8760</v>
      </c>
      <c r="CS154" s="17">
        <v>8760</v>
      </c>
      <c r="CT154" s="17">
        <v>8760</v>
      </c>
      <c r="CU154" s="17">
        <v>8760</v>
      </c>
      <c r="CV154" s="17">
        <v>8760</v>
      </c>
      <c r="CW154" s="17">
        <v>8760</v>
      </c>
      <c r="CX154" s="17">
        <v>8760</v>
      </c>
      <c r="CY154" s="17">
        <v>8760</v>
      </c>
      <c r="CZ154" s="17">
        <v>8760</v>
      </c>
      <c r="DA154" s="17">
        <v>8760</v>
      </c>
      <c r="DB154" s="17">
        <v>8760</v>
      </c>
    </row>
    <row r="155" spans="1:106" s="17" customFormat="1" x14ac:dyDescent="0.25">
      <c r="A155" s="22" t="s">
        <v>173</v>
      </c>
      <c r="B155" s="17" t="s">
        <v>165</v>
      </c>
      <c r="C155" s="17" t="s">
        <v>438</v>
      </c>
      <c r="D155" s="17" t="s">
        <v>691</v>
      </c>
      <c r="E155" s="17" t="s">
        <v>692</v>
      </c>
      <c r="F155" s="17">
        <v>102529</v>
      </c>
      <c r="G155" s="17">
        <v>0</v>
      </c>
      <c r="H155" s="17">
        <v>0</v>
      </c>
      <c r="I155" s="17">
        <v>0</v>
      </c>
      <c r="J155" s="17">
        <v>0</v>
      </c>
      <c r="K155" s="17">
        <v>0</v>
      </c>
      <c r="L155" s="17">
        <v>0</v>
      </c>
      <c r="M155" s="17">
        <v>0</v>
      </c>
      <c r="N155" s="17">
        <v>0</v>
      </c>
      <c r="O155" s="17">
        <v>0</v>
      </c>
      <c r="P155" s="17">
        <v>0</v>
      </c>
      <c r="Q155" s="17">
        <v>0</v>
      </c>
      <c r="R155" s="17">
        <v>0</v>
      </c>
      <c r="S155" s="17">
        <v>0</v>
      </c>
      <c r="T155" s="17">
        <v>0</v>
      </c>
      <c r="U155" s="17">
        <v>0</v>
      </c>
      <c r="V155" s="17">
        <v>0</v>
      </c>
      <c r="W155" s="17">
        <v>0</v>
      </c>
      <c r="X155" s="17">
        <v>0</v>
      </c>
      <c r="Y155" s="17">
        <v>0</v>
      </c>
      <c r="Z155" s="17">
        <v>0</v>
      </c>
      <c r="AA155" s="17">
        <v>0</v>
      </c>
      <c r="AB155" s="17">
        <v>0</v>
      </c>
      <c r="AC155" s="17">
        <v>0</v>
      </c>
      <c r="AD155" s="17">
        <v>0</v>
      </c>
      <c r="AE155" s="17">
        <v>0</v>
      </c>
      <c r="AF155" s="17">
        <v>0</v>
      </c>
      <c r="AG155" s="17">
        <v>0</v>
      </c>
      <c r="AH155" s="17">
        <v>0</v>
      </c>
      <c r="AI155" s="17">
        <v>0</v>
      </c>
      <c r="AJ155" s="17">
        <v>0</v>
      </c>
      <c r="AK155" s="17">
        <v>1</v>
      </c>
      <c r="AL155" s="17">
        <v>3</v>
      </c>
      <c r="AM155" s="17">
        <v>7</v>
      </c>
      <c r="AN155" s="17">
        <v>16</v>
      </c>
      <c r="AO155" s="17">
        <v>37</v>
      </c>
      <c r="AP155" s="17">
        <v>62</v>
      </c>
      <c r="AQ155" s="17">
        <v>93</v>
      </c>
      <c r="AR155" s="17">
        <v>116</v>
      </c>
      <c r="AS155" s="17">
        <v>147</v>
      </c>
      <c r="AT155" s="17">
        <v>189</v>
      </c>
      <c r="AU155" s="17">
        <v>233</v>
      </c>
      <c r="AV155" s="17">
        <v>292</v>
      </c>
      <c r="AW155" s="17">
        <v>368</v>
      </c>
      <c r="AX155" s="17">
        <v>485</v>
      </c>
      <c r="AY155" s="17">
        <v>648</v>
      </c>
      <c r="AZ155" s="17">
        <v>803</v>
      </c>
      <c r="BA155" s="17">
        <v>1044</v>
      </c>
      <c r="BB155" s="17">
        <v>1325</v>
      </c>
      <c r="BC155" s="17">
        <v>1621</v>
      </c>
      <c r="BD155" s="17">
        <v>1973</v>
      </c>
      <c r="BE155" s="17">
        <v>2429</v>
      </c>
      <c r="BF155" s="17">
        <v>2865</v>
      </c>
      <c r="BG155" s="17">
        <v>3279</v>
      </c>
      <c r="BH155" s="17">
        <v>3643</v>
      </c>
      <c r="BI155" s="17">
        <v>3985</v>
      </c>
      <c r="BJ155" s="17">
        <v>4333</v>
      </c>
      <c r="BK155" s="17">
        <v>4719</v>
      </c>
      <c r="BL155" s="17">
        <v>5107</v>
      </c>
      <c r="BM155" s="17">
        <v>5397</v>
      </c>
      <c r="BN155" s="17">
        <v>5725</v>
      </c>
      <c r="BO155" s="17">
        <v>6051</v>
      </c>
      <c r="BP155" s="17">
        <v>6388</v>
      </c>
      <c r="BQ155" s="17">
        <v>6727</v>
      </c>
      <c r="BR155" s="17">
        <v>7034</v>
      </c>
      <c r="BS155" s="17">
        <v>7315</v>
      </c>
      <c r="BT155" s="17">
        <v>7586</v>
      </c>
      <c r="BU155" s="17">
        <v>7825</v>
      </c>
      <c r="BV155" s="17">
        <v>8007</v>
      </c>
      <c r="BW155" s="17">
        <v>8178</v>
      </c>
      <c r="BX155" s="17">
        <v>8301</v>
      </c>
      <c r="BY155" s="17">
        <v>8417</v>
      </c>
      <c r="BZ155" s="17">
        <v>8488</v>
      </c>
      <c r="CA155" s="17">
        <v>8547</v>
      </c>
      <c r="CB155" s="17">
        <v>8592</v>
      </c>
      <c r="CC155" s="17">
        <v>8630</v>
      </c>
      <c r="CD155" s="17">
        <v>8665</v>
      </c>
      <c r="CE155" s="17">
        <v>8699</v>
      </c>
      <c r="CF155" s="17">
        <v>8733</v>
      </c>
      <c r="CG155" s="17">
        <v>8746</v>
      </c>
      <c r="CH155" s="17">
        <v>8754</v>
      </c>
      <c r="CI155" s="17">
        <v>8756</v>
      </c>
      <c r="CJ155" s="17">
        <v>8758</v>
      </c>
      <c r="CK155" s="17">
        <v>8759</v>
      </c>
      <c r="CL155" s="17">
        <v>8760</v>
      </c>
      <c r="CM155" s="17">
        <v>8760</v>
      </c>
      <c r="CN155" s="17">
        <v>8760</v>
      </c>
      <c r="CO155" s="17">
        <v>8760</v>
      </c>
      <c r="CP155" s="17">
        <v>8760</v>
      </c>
      <c r="CQ155" s="17">
        <v>8760</v>
      </c>
      <c r="CR155" s="17">
        <v>8760</v>
      </c>
      <c r="CS155" s="17">
        <v>8760</v>
      </c>
      <c r="CT155" s="17">
        <v>8760</v>
      </c>
      <c r="CU155" s="17">
        <v>8760</v>
      </c>
      <c r="CV155" s="17">
        <v>8760</v>
      </c>
      <c r="CW155" s="17">
        <v>8760</v>
      </c>
      <c r="CX155" s="17">
        <v>8760</v>
      </c>
      <c r="CY155" s="17">
        <v>8760</v>
      </c>
      <c r="CZ155" s="17">
        <v>8760</v>
      </c>
      <c r="DA155" s="17">
        <v>8760</v>
      </c>
      <c r="DB155" s="17">
        <v>8760</v>
      </c>
    </row>
    <row r="156" spans="1:106" s="17" customFormat="1" x14ac:dyDescent="0.25">
      <c r="A156" s="22" t="s">
        <v>174</v>
      </c>
      <c r="B156" s="17" t="s">
        <v>166</v>
      </c>
      <c r="C156" s="17" t="s">
        <v>438</v>
      </c>
      <c r="D156" s="17" t="s">
        <v>693</v>
      </c>
      <c r="E156" s="17" t="s">
        <v>694</v>
      </c>
      <c r="F156" s="17">
        <v>102706</v>
      </c>
      <c r="G156" s="17">
        <v>0</v>
      </c>
      <c r="H156" s="17">
        <v>0</v>
      </c>
      <c r="I156" s="17">
        <v>0</v>
      </c>
      <c r="J156" s="17">
        <v>0</v>
      </c>
      <c r="K156" s="17">
        <v>0</v>
      </c>
      <c r="L156" s="17">
        <v>0</v>
      </c>
      <c r="M156" s="17">
        <v>0</v>
      </c>
      <c r="N156" s="17">
        <v>0</v>
      </c>
      <c r="O156" s="17">
        <v>0</v>
      </c>
      <c r="P156" s="17">
        <v>0</v>
      </c>
      <c r="Q156" s="17">
        <v>0</v>
      </c>
      <c r="R156" s="17">
        <v>0</v>
      </c>
      <c r="S156" s="17">
        <v>0</v>
      </c>
      <c r="T156" s="17">
        <v>0</v>
      </c>
      <c r="U156" s="17">
        <v>0</v>
      </c>
      <c r="V156" s="17">
        <v>0</v>
      </c>
      <c r="W156" s="17">
        <v>0</v>
      </c>
      <c r="X156" s="17">
        <v>0</v>
      </c>
      <c r="Y156" s="17">
        <v>0</v>
      </c>
      <c r="Z156" s="17">
        <v>0</v>
      </c>
      <c r="AA156" s="17">
        <v>0</v>
      </c>
      <c r="AB156" s="17">
        <v>0</v>
      </c>
      <c r="AC156" s="17">
        <v>0</v>
      </c>
      <c r="AD156" s="17">
        <v>0</v>
      </c>
      <c r="AE156" s="17">
        <v>0</v>
      </c>
      <c r="AF156" s="17">
        <v>0</v>
      </c>
      <c r="AG156" s="17">
        <v>3</v>
      </c>
      <c r="AH156" s="17">
        <v>7</v>
      </c>
      <c r="AI156" s="17">
        <v>13</v>
      </c>
      <c r="AJ156" s="17">
        <v>25</v>
      </c>
      <c r="AK156" s="17">
        <v>33</v>
      </c>
      <c r="AL156" s="17">
        <v>41</v>
      </c>
      <c r="AM156" s="17">
        <v>58</v>
      </c>
      <c r="AN156" s="17">
        <v>95</v>
      </c>
      <c r="AO156" s="17">
        <v>127</v>
      </c>
      <c r="AP156" s="17">
        <v>172</v>
      </c>
      <c r="AQ156" s="17">
        <v>238</v>
      </c>
      <c r="AR156" s="17">
        <v>290</v>
      </c>
      <c r="AS156" s="17">
        <v>379</v>
      </c>
      <c r="AT156" s="17">
        <v>478</v>
      </c>
      <c r="AU156" s="17">
        <v>593</v>
      </c>
      <c r="AV156" s="17">
        <v>733</v>
      </c>
      <c r="AW156" s="17">
        <v>897</v>
      </c>
      <c r="AX156" s="17">
        <v>1082</v>
      </c>
      <c r="AY156" s="17">
        <v>1352</v>
      </c>
      <c r="AZ156" s="17">
        <v>1640</v>
      </c>
      <c r="BA156" s="17">
        <v>1950</v>
      </c>
      <c r="BB156" s="17">
        <v>2225</v>
      </c>
      <c r="BC156" s="17">
        <v>2500</v>
      </c>
      <c r="BD156" s="17">
        <v>2906</v>
      </c>
      <c r="BE156" s="17">
        <v>3252</v>
      </c>
      <c r="BF156" s="17">
        <v>3642</v>
      </c>
      <c r="BG156" s="17">
        <v>3966</v>
      </c>
      <c r="BH156" s="17">
        <v>4294</v>
      </c>
      <c r="BI156" s="17">
        <v>4596</v>
      </c>
      <c r="BJ156" s="17">
        <v>4860</v>
      </c>
      <c r="BK156" s="17">
        <v>5149</v>
      </c>
      <c r="BL156" s="17">
        <v>5429</v>
      </c>
      <c r="BM156" s="17">
        <v>5780</v>
      </c>
      <c r="BN156" s="17">
        <v>6119</v>
      </c>
      <c r="BO156" s="17">
        <v>6453</v>
      </c>
      <c r="BP156" s="17">
        <v>6801</v>
      </c>
      <c r="BQ156" s="17">
        <v>7149</v>
      </c>
      <c r="BR156" s="17">
        <v>7493</v>
      </c>
      <c r="BS156" s="17">
        <v>7766</v>
      </c>
      <c r="BT156" s="17">
        <v>7989</v>
      </c>
      <c r="BU156" s="17">
        <v>8184</v>
      </c>
      <c r="BV156" s="17">
        <v>8332</v>
      </c>
      <c r="BW156" s="17">
        <v>8443</v>
      </c>
      <c r="BX156" s="17">
        <v>8536</v>
      </c>
      <c r="BY156" s="17">
        <v>8602</v>
      </c>
      <c r="BZ156" s="17">
        <v>8672</v>
      </c>
      <c r="CA156" s="17">
        <v>8705</v>
      </c>
      <c r="CB156" s="17">
        <v>8730</v>
      </c>
      <c r="CC156" s="17">
        <v>8747</v>
      </c>
      <c r="CD156" s="17">
        <v>8760</v>
      </c>
      <c r="CE156" s="17">
        <v>8760</v>
      </c>
      <c r="CF156" s="17">
        <v>8760</v>
      </c>
      <c r="CG156" s="17">
        <v>8760</v>
      </c>
      <c r="CH156" s="17">
        <v>8760</v>
      </c>
      <c r="CI156" s="17">
        <v>8760</v>
      </c>
      <c r="CJ156" s="17">
        <v>8760</v>
      </c>
      <c r="CK156" s="17">
        <v>8760</v>
      </c>
      <c r="CL156" s="17">
        <v>8760</v>
      </c>
      <c r="CM156" s="17">
        <v>8760</v>
      </c>
      <c r="CN156" s="17">
        <v>8760</v>
      </c>
      <c r="CO156" s="17">
        <v>8760</v>
      </c>
      <c r="CP156" s="17">
        <v>8760</v>
      </c>
      <c r="CQ156" s="17">
        <v>8760</v>
      </c>
      <c r="CR156" s="17">
        <v>8760</v>
      </c>
      <c r="CS156" s="17">
        <v>8760</v>
      </c>
      <c r="CT156" s="17">
        <v>8760</v>
      </c>
      <c r="CU156" s="17">
        <v>8760</v>
      </c>
      <c r="CV156" s="17">
        <v>8760</v>
      </c>
      <c r="CW156" s="17">
        <v>8760</v>
      </c>
      <c r="CX156" s="17">
        <v>8760</v>
      </c>
      <c r="CY156" s="17">
        <v>8760</v>
      </c>
      <c r="CZ156" s="17">
        <v>8760</v>
      </c>
      <c r="DA156" s="17">
        <v>8760</v>
      </c>
      <c r="DB156" s="17">
        <v>8760</v>
      </c>
    </row>
    <row r="157" spans="1:106" s="17" customFormat="1" x14ac:dyDescent="0.25">
      <c r="A157" s="22" t="s">
        <v>175</v>
      </c>
      <c r="B157" s="17" t="s">
        <v>167</v>
      </c>
      <c r="C157" s="17" t="s">
        <v>438</v>
      </c>
      <c r="D157" s="17" t="s">
        <v>695</v>
      </c>
      <c r="E157" s="17" t="s">
        <v>696</v>
      </c>
      <c r="F157" s="17">
        <v>102203</v>
      </c>
      <c r="G157" s="17">
        <v>0</v>
      </c>
      <c r="H157" s="17">
        <v>0</v>
      </c>
      <c r="I157" s="17">
        <v>0</v>
      </c>
      <c r="J157" s="17">
        <v>0</v>
      </c>
      <c r="K157" s="17">
        <v>0</v>
      </c>
      <c r="L157" s="17">
        <v>0</v>
      </c>
      <c r="M157" s="17">
        <v>0</v>
      </c>
      <c r="N157" s="17">
        <v>0</v>
      </c>
      <c r="O157" s="17">
        <v>0</v>
      </c>
      <c r="P157" s="17">
        <v>0</v>
      </c>
      <c r="Q157" s="17">
        <v>0</v>
      </c>
      <c r="R157" s="17">
        <v>0</v>
      </c>
      <c r="S157" s="17">
        <v>0</v>
      </c>
      <c r="T157" s="17">
        <v>0</v>
      </c>
      <c r="U157" s="17">
        <v>0</v>
      </c>
      <c r="V157" s="17">
        <v>0</v>
      </c>
      <c r="W157" s="17">
        <v>0</v>
      </c>
      <c r="X157" s="17">
        <v>0</v>
      </c>
      <c r="Y157" s="17">
        <v>0</v>
      </c>
      <c r="Z157" s="17">
        <v>0</v>
      </c>
      <c r="AA157" s="17">
        <v>0</v>
      </c>
      <c r="AB157" s="17">
        <v>0</v>
      </c>
      <c r="AC157" s="17">
        <v>0</v>
      </c>
      <c r="AD157" s="17">
        <v>0</v>
      </c>
      <c r="AE157" s="17">
        <v>0</v>
      </c>
      <c r="AF157" s="17">
        <v>0</v>
      </c>
      <c r="AG157" s="17">
        <v>0</v>
      </c>
      <c r="AH157" s="17">
        <v>0</v>
      </c>
      <c r="AI157" s="17">
        <v>0</v>
      </c>
      <c r="AJ157" s="17">
        <v>0</v>
      </c>
      <c r="AK157" s="17">
        <v>0</v>
      </c>
      <c r="AL157" s="17">
        <v>0</v>
      </c>
      <c r="AM157" s="17">
        <v>0</v>
      </c>
      <c r="AN157" s="17">
        <v>0</v>
      </c>
      <c r="AO157" s="17">
        <v>7</v>
      </c>
      <c r="AP157" s="17">
        <v>9</v>
      </c>
      <c r="AQ157" s="17">
        <v>11</v>
      </c>
      <c r="AR157" s="17">
        <v>20</v>
      </c>
      <c r="AS157" s="17">
        <v>44</v>
      </c>
      <c r="AT157" s="17">
        <v>57</v>
      </c>
      <c r="AU157" s="17">
        <v>70</v>
      </c>
      <c r="AV157" s="17">
        <v>98</v>
      </c>
      <c r="AW157" s="17">
        <v>131</v>
      </c>
      <c r="AX157" s="17">
        <v>188</v>
      </c>
      <c r="AY157" s="17">
        <v>271</v>
      </c>
      <c r="AZ157" s="17">
        <v>366</v>
      </c>
      <c r="BA157" s="17">
        <v>495</v>
      </c>
      <c r="BB157" s="17">
        <v>705</v>
      </c>
      <c r="BC157" s="17">
        <v>969</v>
      </c>
      <c r="BD157" s="17">
        <v>1270</v>
      </c>
      <c r="BE157" s="17">
        <v>1649</v>
      </c>
      <c r="BF157" s="17">
        <v>2096</v>
      </c>
      <c r="BG157" s="17">
        <v>2578</v>
      </c>
      <c r="BH157" s="17">
        <v>2991</v>
      </c>
      <c r="BI157" s="17">
        <v>3357</v>
      </c>
      <c r="BJ157" s="17">
        <v>3794</v>
      </c>
      <c r="BK157" s="17">
        <v>4285</v>
      </c>
      <c r="BL157" s="17">
        <v>4676</v>
      </c>
      <c r="BM157" s="17">
        <v>5031</v>
      </c>
      <c r="BN157" s="17">
        <v>5447</v>
      </c>
      <c r="BO157" s="17">
        <v>5829</v>
      </c>
      <c r="BP157" s="17">
        <v>6177</v>
      </c>
      <c r="BQ157" s="17">
        <v>6568</v>
      </c>
      <c r="BR157" s="17">
        <v>6927</v>
      </c>
      <c r="BS157" s="17">
        <v>7299</v>
      </c>
      <c r="BT157" s="17">
        <v>7638</v>
      </c>
      <c r="BU157" s="17">
        <v>7908</v>
      </c>
      <c r="BV157" s="17">
        <v>8135</v>
      </c>
      <c r="BW157" s="17">
        <v>8313</v>
      </c>
      <c r="BX157" s="17">
        <v>8424</v>
      </c>
      <c r="BY157" s="17">
        <v>8510</v>
      </c>
      <c r="BZ157" s="17">
        <v>8573</v>
      </c>
      <c r="CA157" s="17">
        <v>8632</v>
      </c>
      <c r="CB157" s="17">
        <v>8676</v>
      </c>
      <c r="CC157" s="17">
        <v>8707</v>
      </c>
      <c r="CD157" s="17">
        <v>8730</v>
      </c>
      <c r="CE157" s="17">
        <v>8742</v>
      </c>
      <c r="CF157" s="17">
        <v>8752</v>
      </c>
      <c r="CG157" s="17">
        <v>8759</v>
      </c>
      <c r="CH157" s="17">
        <v>8760</v>
      </c>
      <c r="CI157" s="17">
        <v>8760</v>
      </c>
      <c r="CJ157" s="17">
        <v>8760</v>
      </c>
      <c r="CK157" s="17">
        <v>8760</v>
      </c>
      <c r="CL157" s="17">
        <v>8760</v>
      </c>
      <c r="CM157" s="17">
        <v>8760</v>
      </c>
      <c r="CN157" s="17">
        <v>8760</v>
      </c>
      <c r="CO157" s="17">
        <v>8760</v>
      </c>
      <c r="CP157" s="17">
        <v>8760</v>
      </c>
      <c r="CQ157" s="17">
        <v>8760</v>
      </c>
      <c r="CR157" s="17">
        <v>8760</v>
      </c>
      <c r="CS157" s="17">
        <v>8760</v>
      </c>
      <c r="CT157" s="17">
        <v>8760</v>
      </c>
      <c r="CU157" s="17">
        <v>8760</v>
      </c>
      <c r="CV157" s="17">
        <v>8760</v>
      </c>
      <c r="CW157" s="17">
        <v>8760</v>
      </c>
      <c r="CX157" s="17">
        <v>8760</v>
      </c>
      <c r="CY157" s="17">
        <v>8760</v>
      </c>
      <c r="CZ157" s="17">
        <v>8760</v>
      </c>
      <c r="DA157" s="17">
        <v>8760</v>
      </c>
      <c r="DB157" s="17">
        <v>8760</v>
      </c>
    </row>
    <row r="158" spans="1:106" s="17" customFormat="1" x14ac:dyDescent="0.25">
      <c r="A158" s="22" t="s">
        <v>176</v>
      </c>
      <c r="B158" s="17" t="s">
        <v>168</v>
      </c>
      <c r="C158" s="17" t="s">
        <v>438</v>
      </c>
      <c r="D158" s="17" t="s">
        <v>697</v>
      </c>
      <c r="E158" s="17" t="s">
        <v>698</v>
      </c>
      <c r="F158" s="17">
        <v>102310</v>
      </c>
      <c r="G158" s="17">
        <v>0</v>
      </c>
      <c r="H158" s="17">
        <v>0</v>
      </c>
      <c r="I158" s="17">
        <v>0</v>
      </c>
      <c r="J158" s="17">
        <v>0</v>
      </c>
      <c r="K158" s="17">
        <v>0</v>
      </c>
      <c r="L158" s="17">
        <v>0</v>
      </c>
      <c r="M158" s="17">
        <v>0</v>
      </c>
      <c r="N158" s="17">
        <v>0</v>
      </c>
      <c r="O158" s="17">
        <v>0</v>
      </c>
      <c r="P158" s="17">
        <v>0</v>
      </c>
      <c r="Q158" s="17">
        <v>0</v>
      </c>
      <c r="R158" s="17">
        <v>0</v>
      </c>
      <c r="S158" s="17">
        <v>0</v>
      </c>
      <c r="T158" s="17">
        <v>0</v>
      </c>
      <c r="U158" s="17">
        <v>0</v>
      </c>
      <c r="V158" s="17">
        <v>0</v>
      </c>
      <c r="W158" s="17">
        <v>0</v>
      </c>
      <c r="X158" s="17">
        <v>0</v>
      </c>
      <c r="Y158" s="17">
        <v>0</v>
      </c>
      <c r="Z158" s="17">
        <v>0</v>
      </c>
      <c r="AA158" s="17">
        <v>0</v>
      </c>
      <c r="AB158" s="17">
        <v>0</v>
      </c>
      <c r="AC158" s="17">
        <v>0</v>
      </c>
      <c r="AD158" s="17">
        <v>0</v>
      </c>
      <c r="AE158" s="17">
        <v>0</v>
      </c>
      <c r="AF158" s="17">
        <v>0</v>
      </c>
      <c r="AG158" s="17">
        <v>0</v>
      </c>
      <c r="AH158" s="17">
        <v>0</v>
      </c>
      <c r="AI158" s="17">
        <v>0</v>
      </c>
      <c r="AJ158" s="17">
        <v>0</v>
      </c>
      <c r="AK158" s="17">
        <v>0</v>
      </c>
      <c r="AL158" s="17">
        <v>2</v>
      </c>
      <c r="AM158" s="17">
        <v>6</v>
      </c>
      <c r="AN158" s="17">
        <v>12</v>
      </c>
      <c r="AO158" s="17">
        <v>15</v>
      </c>
      <c r="AP158" s="17">
        <v>19</v>
      </c>
      <c r="AQ158" s="17">
        <v>28</v>
      </c>
      <c r="AR158" s="17">
        <v>52</v>
      </c>
      <c r="AS158" s="17">
        <v>75</v>
      </c>
      <c r="AT158" s="17">
        <v>113</v>
      </c>
      <c r="AU158" s="17">
        <v>156</v>
      </c>
      <c r="AV158" s="17">
        <v>200</v>
      </c>
      <c r="AW158" s="17">
        <v>277</v>
      </c>
      <c r="AX158" s="17">
        <v>372</v>
      </c>
      <c r="AY158" s="17">
        <v>495</v>
      </c>
      <c r="AZ158" s="17">
        <v>678</v>
      </c>
      <c r="BA158" s="17">
        <v>929</v>
      </c>
      <c r="BB158" s="17">
        <v>1206</v>
      </c>
      <c r="BC158" s="17">
        <v>1481</v>
      </c>
      <c r="BD158" s="17">
        <v>1829</v>
      </c>
      <c r="BE158" s="17">
        <v>2250</v>
      </c>
      <c r="BF158" s="17">
        <v>2689</v>
      </c>
      <c r="BG158" s="17">
        <v>3084</v>
      </c>
      <c r="BH158" s="17">
        <v>3479</v>
      </c>
      <c r="BI158" s="17">
        <v>3879</v>
      </c>
      <c r="BJ158" s="17">
        <v>4219</v>
      </c>
      <c r="BK158" s="17">
        <v>4644</v>
      </c>
      <c r="BL158" s="17">
        <v>5057</v>
      </c>
      <c r="BM158" s="17">
        <v>5412</v>
      </c>
      <c r="BN158" s="17">
        <v>5709</v>
      </c>
      <c r="BO158" s="17">
        <v>6054</v>
      </c>
      <c r="BP158" s="17">
        <v>6397</v>
      </c>
      <c r="BQ158" s="17">
        <v>6751</v>
      </c>
      <c r="BR158" s="17">
        <v>7092</v>
      </c>
      <c r="BS158" s="17">
        <v>7378</v>
      </c>
      <c r="BT158" s="17">
        <v>7610</v>
      </c>
      <c r="BU158" s="17">
        <v>7802</v>
      </c>
      <c r="BV158" s="17">
        <v>7983</v>
      </c>
      <c r="BW158" s="17">
        <v>8146</v>
      </c>
      <c r="BX158" s="17">
        <v>8264</v>
      </c>
      <c r="BY158" s="17">
        <v>8360</v>
      </c>
      <c r="BZ158" s="17">
        <v>8464</v>
      </c>
      <c r="CA158" s="17">
        <v>8561</v>
      </c>
      <c r="CB158" s="17">
        <v>8620</v>
      </c>
      <c r="CC158" s="17">
        <v>8673</v>
      </c>
      <c r="CD158" s="17">
        <v>8707</v>
      </c>
      <c r="CE158" s="17">
        <v>8731</v>
      </c>
      <c r="CF158" s="17">
        <v>8746</v>
      </c>
      <c r="CG158" s="17">
        <v>8752</v>
      </c>
      <c r="CH158" s="17">
        <v>8760</v>
      </c>
      <c r="CI158" s="17">
        <v>8760</v>
      </c>
      <c r="CJ158" s="17">
        <v>8760</v>
      </c>
      <c r="CK158" s="17">
        <v>8760</v>
      </c>
      <c r="CL158" s="17">
        <v>8760</v>
      </c>
      <c r="CM158" s="17">
        <v>8760</v>
      </c>
      <c r="CN158" s="17">
        <v>8760</v>
      </c>
      <c r="CO158" s="17">
        <v>8760</v>
      </c>
      <c r="CP158" s="17">
        <v>8760</v>
      </c>
      <c r="CQ158" s="17">
        <v>8760</v>
      </c>
      <c r="CR158" s="17">
        <v>8760</v>
      </c>
      <c r="CS158" s="17">
        <v>8760</v>
      </c>
      <c r="CT158" s="17">
        <v>8760</v>
      </c>
      <c r="CU158" s="17">
        <v>8760</v>
      </c>
      <c r="CV158" s="17">
        <v>8760</v>
      </c>
      <c r="CW158" s="17">
        <v>8760</v>
      </c>
      <c r="CX158" s="17">
        <v>8760</v>
      </c>
      <c r="CY158" s="17">
        <v>8760</v>
      </c>
      <c r="CZ158" s="17">
        <v>8760</v>
      </c>
      <c r="DA158" s="17">
        <v>8760</v>
      </c>
      <c r="DB158" s="17">
        <v>8760</v>
      </c>
    </row>
    <row r="159" spans="1:106" s="17" customFormat="1" x14ac:dyDescent="0.25">
      <c r="A159" s="22" t="s">
        <v>177</v>
      </c>
      <c r="B159" s="17" t="s">
        <v>169</v>
      </c>
      <c r="C159" s="17" t="s">
        <v>438</v>
      </c>
      <c r="D159" s="17" t="s">
        <v>699</v>
      </c>
      <c r="E159" s="17" t="s">
        <v>700</v>
      </c>
      <c r="F159" s="17">
        <v>102647</v>
      </c>
      <c r="G159" s="17">
        <v>0</v>
      </c>
      <c r="H159" s="17">
        <v>0</v>
      </c>
      <c r="I159" s="17">
        <v>0</v>
      </c>
      <c r="J159" s="17">
        <v>0</v>
      </c>
      <c r="K159" s="17">
        <v>0</v>
      </c>
      <c r="L159" s="17">
        <v>0</v>
      </c>
      <c r="M159" s="17">
        <v>0</v>
      </c>
      <c r="N159" s="17">
        <v>0</v>
      </c>
      <c r="O159" s="17">
        <v>0</v>
      </c>
      <c r="P159" s="17">
        <v>0</v>
      </c>
      <c r="Q159" s="17">
        <v>0</v>
      </c>
      <c r="R159" s="17">
        <v>0</v>
      </c>
      <c r="S159" s="17">
        <v>0</v>
      </c>
      <c r="T159" s="17">
        <v>0</v>
      </c>
      <c r="U159" s="17">
        <v>0</v>
      </c>
      <c r="V159" s="17">
        <v>0</v>
      </c>
      <c r="W159" s="17">
        <v>0</v>
      </c>
      <c r="X159" s="17">
        <v>0</v>
      </c>
      <c r="Y159" s="17">
        <v>0</v>
      </c>
      <c r="Z159" s="17">
        <v>0</v>
      </c>
      <c r="AA159" s="17">
        <v>0</v>
      </c>
      <c r="AB159" s="17">
        <v>0</v>
      </c>
      <c r="AC159" s="17">
        <v>0</v>
      </c>
      <c r="AD159" s="17">
        <v>0</v>
      </c>
      <c r="AE159" s="17">
        <v>0</v>
      </c>
      <c r="AF159" s="17">
        <v>0</v>
      </c>
      <c r="AG159" s="17">
        <v>0</v>
      </c>
      <c r="AH159" s="17">
        <v>0</v>
      </c>
      <c r="AI159" s="17">
        <v>0</v>
      </c>
      <c r="AJ159" s="17">
        <v>0</v>
      </c>
      <c r="AK159" s="17">
        <v>0</v>
      </c>
      <c r="AL159" s="17">
        <v>0</v>
      </c>
      <c r="AM159" s="17">
        <v>0</v>
      </c>
      <c r="AN159" s="17">
        <v>0</v>
      </c>
      <c r="AO159" s="17">
        <v>1</v>
      </c>
      <c r="AP159" s="17">
        <v>4</v>
      </c>
      <c r="AQ159" s="17">
        <v>8</v>
      </c>
      <c r="AR159" s="17">
        <v>10</v>
      </c>
      <c r="AS159" s="17">
        <v>29</v>
      </c>
      <c r="AT159" s="17">
        <v>54</v>
      </c>
      <c r="AU159" s="17">
        <v>83</v>
      </c>
      <c r="AV159" s="17">
        <v>116</v>
      </c>
      <c r="AW159" s="17">
        <v>166</v>
      </c>
      <c r="AX159" s="17">
        <v>252</v>
      </c>
      <c r="AY159" s="17">
        <v>377</v>
      </c>
      <c r="AZ159" s="17">
        <v>521</v>
      </c>
      <c r="BA159" s="17">
        <v>688</v>
      </c>
      <c r="BB159" s="17">
        <v>930</v>
      </c>
      <c r="BC159" s="17">
        <v>1242</v>
      </c>
      <c r="BD159" s="17">
        <v>1630</v>
      </c>
      <c r="BE159" s="17">
        <v>2052</v>
      </c>
      <c r="BF159" s="17">
        <v>2467</v>
      </c>
      <c r="BG159" s="17">
        <v>2923</v>
      </c>
      <c r="BH159" s="17">
        <v>3337</v>
      </c>
      <c r="BI159" s="17">
        <v>3738</v>
      </c>
      <c r="BJ159" s="17">
        <v>4153</v>
      </c>
      <c r="BK159" s="17">
        <v>4494</v>
      </c>
      <c r="BL159" s="17">
        <v>4820</v>
      </c>
      <c r="BM159" s="17">
        <v>5096</v>
      </c>
      <c r="BN159" s="17">
        <v>5440</v>
      </c>
      <c r="BO159" s="17">
        <v>5801</v>
      </c>
      <c r="BP159" s="17">
        <v>6171</v>
      </c>
      <c r="BQ159" s="17">
        <v>6490</v>
      </c>
      <c r="BR159" s="17">
        <v>6847</v>
      </c>
      <c r="BS159" s="17">
        <v>7206</v>
      </c>
      <c r="BT159" s="17">
        <v>7510</v>
      </c>
      <c r="BU159" s="17">
        <v>7756</v>
      </c>
      <c r="BV159" s="17">
        <v>7999</v>
      </c>
      <c r="BW159" s="17">
        <v>8210</v>
      </c>
      <c r="BX159" s="17">
        <v>8382</v>
      </c>
      <c r="BY159" s="17">
        <v>8495</v>
      </c>
      <c r="BZ159" s="17">
        <v>8584</v>
      </c>
      <c r="CA159" s="17">
        <v>8640</v>
      </c>
      <c r="CB159" s="17">
        <v>8677</v>
      </c>
      <c r="CC159" s="17">
        <v>8706</v>
      </c>
      <c r="CD159" s="17">
        <v>8729</v>
      </c>
      <c r="CE159" s="17">
        <v>8740</v>
      </c>
      <c r="CF159" s="17">
        <v>8751</v>
      </c>
      <c r="CG159" s="17">
        <v>8756</v>
      </c>
      <c r="CH159" s="17">
        <v>8760</v>
      </c>
      <c r="CI159" s="17">
        <v>8760</v>
      </c>
      <c r="CJ159" s="17">
        <v>8760</v>
      </c>
      <c r="CK159" s="17">
        <v>8760</v>
      </c>
      <c r="CL159" s="17">
        <v>8760</v>
      </c>
      <c r="CM159" s="17">
        <v>8760</v>
      </c>
      <c r="CN159" s="17">
        <v>8760</v>
      </c>
      <c r="CO159" s="17">
        <v>8760</v>
      </c>
      <c r="CP159" s="17">
        <v>8760</v>
      </c>
      <c r="CQ159" s="17">
        <v>8760</v>
      </c>
      <c r="CR159" s="17">
        <v>8760</v>
      </c>
      <c r="CS159" s="17">
        <v>8760</v>
      </c>
      <c r="CT159" s="17">
        <v>8760</v>
      </c>
      <c r="CU159" s="17">
        <v>8760</v>
      </c>
      <c r="CV159" s="17">
        <v>8760</v>
      </c>
      <c r="CW159" s="17">
        <v>8760</v>
      </c>
      <c r="CX159" s="17">
        <v>8760</v>
      </c>
      <c r="CY159" s="17">
        <v>8760</v>
      </c>
      <c r="CZ159" s="17">
        <v>8760</v>
      </c>
      <c r="DA159" s="17">
        <v>8760</v>
      </c>
      <c r="DB159" s="17">
        <v>8760</v>
      </c>
    </row>
    <row r="160" spans="1:106" s="17" customFormat="1" x14ac:dyDescent="0.25">
      <c r="A160" s="22" t="s">
        <v>178</v>
      </c>
      <c r="B160" s="17" t="s">
        <v>170</v>
      </c>
      <c r="C160" s="17" t="s">
        <v>438</v>
      </c>
      <c r="D160" s="17" t="s">
        <v>701</v>
      </c>
      <c r="E160" s="17" t="s">
        <v>702</v>
      </c>
      <c r="F160" s="17">
        <v>102213</v>
      </c>
      <c r="G160" s="17">
        <v>0</v>
      </c>
      <c r="H160" s="17">
        <v>0</v>
      </c>
      <c r="I160" s="17">
        <v>0</v>
      </c>
      <c r="J160" s="17">
        <v>0</v>
      </c>
      <c r="K160" s="17">
        <v>0</v>
      </c>
      <c r="L160" s="17">
        <v>0</v>
      </c>
      <c r="M160" s="17">
        <v>0</v>
      </c>
      <c r="N160" s="17">
        <v>0</v>
      </c>
      <c r="O160" s="17">
        <v>0</v>
      </c>
      <c r="P160" s="17">
        <v>0</v>
      </c>
      <c r="Q160" s="17">
        <v>0</v>
      </c>
      <c r="R160" s="17">
        <v>0</v>
      </c>
      <c r="S160" s="17">
        <v>0</v>
      </c>
      <c r="T160" s="17">
        <v>0</v>
      </c>
      <c r="U160" s="17">
        <v>0</v>
      </c>
      <c r="V160" s="17">
        <v>0</v>
      </c>
      <c r="W160" s="17">
        <v>0</v>
      </c>
      <c r="X160" s="17">
        <v>0</v>
      </c>
      <c r="Y160" s="17">
        <v>0</v>
      </c>
      <c r="Z160" s="17">
        <v>0</v>
      </c>
      <c r="AA160" s="17">
        <v>0</v>
      </c>
      <c r="AB160" s="17">
        <v>0</v>
      </c>
      <c r="AC160" s="17">
        <v>0</v>
      </c>
      <c r="AD160" s="17">
        <v>0</v>
      </c>
      <c r="AE160" s="17">
        <v>0</v>
      </c>
      <c r="AF160" s="17">
        <v>0</v>
      </c>
      <c r="AG160" s="17">
        <v>0</v>
      </c>
      <c r="AH160" s="17">
        <v>0</v>
      </c>
      <c r="AI160" s="17">
        <v>0</v>
      </c>
      <c r="AJ160" s="17">
        <v>0</v>
      </c>
      <c r="AK160" s="17">
        <v>0</v>
      </c>
      <c r="AL160" s="17">
        <v>0</v>
      </c>
      <c r="AM160" s="17">
        <v>0</v>
      </c>
      <c r="AN160" s="17">
        <v>0</v>
      </c>
      <c r="AO160" s="17">
        <v>0</v>
      </c>
      <c r="AP160" s="17">
        <v>0</v>
      </c>
      <c r="AQ160" s="17">
        <v>0</v>
      </c>
      <c r="AR160" s="17">
        <v>4</v>
      </c>
      <c r="AS160" s="17">
        <v>8</v>
      </c>
      <c r="AT160" s="17">
        <v>21</v>
      </c>
      <c r="AU160" s="17">
        <v>32</v>
      </c>
      <c r="AV160" s="17">
        <v>52</v>
      </c>
      <c r="AW160" s="17">
        <v>84</v>
      </c>
      <c r="AX160" s="17">
        <v>139</v>
      </c>
      <c r="AY160" s="17">
        <v>215</v>
      </c>
      <c r="AZ160" s="17">
        <v>360</v>
      </c>
      <c r="BA160" s="17">
        <v>571</v>
      </c>
      <c r="BB160" s="17">
        <v>855</v>
      </c>
      <c r="BC160" s="17">
        <v>1167</v>
      </c>
      <c r="BD160" s="17">
        <v>1575</v>
      </c>
      <c r="BE160" s="17">
        <v>2041</v>
      </c>
      <c r="BF160" s="17">
        <v>2528</v>
      </c>
      <c r="BG160" s="17">
        <v>2925</v>
      </c>
      <c r="BH160" s="17">
        <v>3280</v>
      </c>
      <c r="BI160" s="17">
        <v>3686</v>
      </c>
      <c r="BJ160" s="17">
        <v>4076</v>
      </c>
      <c r="BK160" s="17">
        <v>4424</v>
      </c>
      <c r="BL160" s="17">
        <v>4751</v>
      </c>
      <c r="BM160" s="17">
        <v>5115</v>
      </c>
      <c r="BN160" s="17">
        <v>5483</v>
      </c>
      <c r="BO160" s="17">
        <v>5826</v>
      </c>
      <c r="BP160" s="17">
        <v>6181</v>
      </c>
      <c r="BQ160" s="17">
        <v>6561</v>
      </c>
      <c r="BR160" s="17">
        <v>6924</v>
      </c>
      <c r="BS160" s="17">
        <v>7298</v>
      </c>
      <c r="BT160" s="17">
        <v>7587</v>
      </c>
      <c r="BU160" s="17">
        <v>7832</v>
      </c>
      <c r="BV160" s="17">
        <v>8090</v>
      </c>
      <c r="BW160" s="17">
        <v>8302</v>
      </c>
      <c r="BX160" s="17">
        <v>8451</v>
      </c>
      <c r="BY160" s="17">
        <v>8550</v>
      </c>
      <c r="BZ160" s="17">
        <v>8622</v>
      </c>
      <c r="CA160" s="17">
        <v>8665</v>
      </c>
      <c r="CB160" s="17">
        <v>8695</v>
      </c>
      <c r="CC160" s="17">
        <v>8736</v>
      </c>
      <c r="CD160" s="17">
        <v>8749</v>
      </c>
      <c r="CE160" s="17">
        <v>8759</v>
      </c>
      <c r="CF160" s="17">
        <v>8760</v>
      </c>
      <c r="CG160" s="17">
        <v>8760</v>
      </c>
      <c r="CH160" s="17">
        <v>8760</v>
      </c>
      <c r="CI160" s="17">
        <v>8760</v>
      </c>
      <c r="CJ160" s="17">
        <v>8760</v>
      </c>
      <c r="CK160" s="17">
        <v>8760</v>
      </c>
      <c r="CL160" s="17">
        <v>8760</v>
      </c>
      <c r="CM160" s="17">
        <v>8760</v>
      </c>
      <c r="CN160" s="17">
        <v>8760</v>
      </c>
      <c r="CO160" s="17">
        <v>8760</v>
      </c>
      <c r="CP160" s="17">
        <v>8760</v>
      </c>
      <c r="CQ160" s="17">
        <v>8760</v>
      </c>
      <c r="CR160" s="17">
        <v>8760</v>
      </c>
      <c r="CS160" s="17">
        <v>8760</v>
      </c>
      <c r="CT160" s="17">
        <v>8760</v>
      </c>
      <c r="CU160" s="17">
        <v>8760</v>
      </c>
      <c r="CV160" s="17">
        <v>8760</v>
      </c>
      <c r="CW160" s="17">
        <v>8760</v>
      </c>
      <c r="CX160" s="17">
        <v>8760</v>
      </c>
      <c r="CY160" s="17">
        <v>8760</v>
      </c>
      <c r="CZ160" s="17">
        <v>8760</v>
      </c>
      <c r="DA160" s="17">
        <v>8760</v>
      </c>
      <c r="DB160" s="17">
        <v>8760</v>
      </c>
    </row>
    <row r="161" spans="1:106" s="17" customFormat="1" x14ac:dyDescent="0.25">
      <c r="A161" s="22" t="s">
        <v>179</v>
      </c>
      <c r="B161" s="17" t="s">
        <v>171</v>
      </c>
      <c r="C161" s="17" t="s">
        <v>438</v>
      </c>
      <c r="D161" s="17" t="s">
        <v>703</v>
      </c>
      <c r="E161" s="17" t="s">
        <v>704</v>
      </c>
      <c r="F161" s="17">
        <v>102253</v>
      </c>
      <c r="G161" s="17">
        <v>0</v>
      </c>
      <c r="H161" s="17">
        <v>0</v>
      </c>
      <c r="I161" s="17">
        <v>0</v>
      </c>
      <c r="J161" s="17">
        <v>0</v>
      </c>
      <c r="K161" s="17">
        <v>0</v>
      </c>
      <c r="L161" s="17">
        <v>0</v>
      </c>
      <c r="M161" s="17">
        <v>0</v>
      </c>
      <c r="N161" s="17">
        <v>0</v>
      </c>
      <c r="O161" s="17">
        <v>0</v>
      </c>
      <c r="P161" s="17">
        <v>0</v>
      </c>
      <c r="Q161" s="17">
        <v>0</v>
      </c>
      <c r="R161" s="17">
        <v>0</v>
      </c>
      <c r="S161" s="17">
        <v>0</v>
      </c>
      <c r="T161" s="17">
        <v>0</v>
      </c>
      <c r="U161" s="17">
        <v>0</v>
      </c>
      <c r="V161" s="17">
        <v>0</v>
      </c>
      <c r="W161" s="17">
        <v>0</v>
      </c>
      <c r="X161" s="17">
        <v>0</v>
      </c>
      <c r="Y161" s="17">
        <v>0</v>
      </c>
      <c r="Z161" s="17">
        <v>0</v>
      </c>
      <c r="AA161" s="17">
        <v>0</v>
      </c>
      <c r="AB161" s="17">
        <v>0</v>
      </c>
      <c r="AC161" s="17">
        <v>0</v>
      </c>
      <c r="AD161" s="17">
        <v>0</v>
      </c>
      <c r="AE161" s="17">
        <v>0</v>
      </c>
      <c r="AF161" s="17">
        <v>0</v>
      </c>
      <c r="AG161" s="17">
        <v>0</v>
      </c>
      <c r="AH161" s="17">
        <v>0</v>
      </c>
      <c r="AI161" s="17">
        <v>0</v>
      </c>
      <c r="AJ161" s="17">
        <v>0</v>
      </c>
      <c r="AK161" s="17">
        <v>0</v>
      </c>
      <c r="AL161" s="17">
        <v>0</v>
      </c>
      <c r="AM161" s="17">
        <v>0</v>
      </c>
      <c r="AN161" s="17">
        <v>0</v>
      </c>
      <c r="AO161" s="17">
        <v>0</v>
      </c>
      <c r="AP161" s="17">
        <v>0</v>
      </c>
      <c r="AQ161" s="17">
        <v>0</v>
      </c>
      <c r="AR161" s="17">
        <v>0</v>
      </c>
      <c r="AS161" s="17">
        <v>14</v>
      </c>
      <c r="AT161" s="17">
        <v>33</v>
      </c>
      <c r="AU161" s="17">
        <v>62</v>
      </c>
      <c r="AV161" s="17">
        <v>100</v>
      </c>
      <c r="AW161" s="17">
        <v>160</v>
      </c>
      <c r="AX161" s="17">
        <v>244</v>
      </c>
      <c r="AY161" s="17">
        <v>366</v>
      </c>
      <c r="AZ161" s="17">
        <v>494</v>
      </c>
      <c r="BA161" s="17">
        <v>694</v>
      </c>
      <c r="BB161" s="17">
        <v>949</v>
      </c>
      <c r="BC161" s="17">
        <v>1282</v>
      </c>
      <c r="BD161" s="17">
        <v>1602</v>
      </c>
      <c r="BE161" s="17">
        <v>1993</v>
      </c>
      <c r="BF161" s="17">
        <v>2416</v>
      </c>
      <c r="BG161" s="17">
        <v>2809</v>
      </c>
      <c r="BH161" s="17">
        <v>3186</v>
      </c>
      <c r="BI161" s="17">
        <v>3552</v>
      </c>
      <c r="BJ161" s="17">
        <v>3850</v>
      </c>
      <c r="BK161" s="17">
        <v>4184</v>
      </c>
      <c r="BL161" s="17">
        <v>4508</v>
      </c>
      <c r="BM161" s="17">
        <v>4904</v>
      </c>
      <c r="BN161" s="17">
        <v>5314</v>
      </c>
      <c r="BO161" s="17">
        <v>5731</v>
      </c>
      <c r="BP161" s="17">
        <v>6068</v>
      </c>
      <c r="BQ161" s="17">
        <v>6425</v>
      </c>
      <c r="BR161" s="17">
        <v>6803</v>
      </c>
      <c r="BS161" s="17">
        <v>7197</v>
      </c>
      <c r="BT161" s="17">
        <v>7499</v>
      </c>
      <c r="BU161" s="17">
        <v>7788</v>
      </c>
      <c r="BV161" s="17">
        <v>8056</v>
      </c>
      <c r="BW161" s="17">
        <v>8238</v>
      </c>
      <c r="BX161" s="17">
        <v>8389</v>
      </c>
      <c r="BY161" s="17">
        <v>8485</v>
      </c>
      <c r="BZ161" s="17">
        <v>8558</v>
      </c>
      <c r="CA161" s="17">
        <v>8617</v>
      </c>
      <c r="CB161" s="17">
        <v>8666</v>
      </c>
      <c r="CC161" s="17">
        <v>8701</v>
      </c>
      <c r="CD161" s="17">
        <v>8729</v>
      </c>
      <c r="CE161" s="17">
        <v>8745</v>
      </c>
      <c r="CF161" s="17">
        <v>8752</v>
      </c>
      <c r="CG161" s="17">
        <v>8760</v>
      </c>
      <c r="CH161" s="17">
        <v>8760</v>
      </c>
      <c r="CI161" s="17">
        <v>8760</v>
      </c>
      <c r="CJ161" s="17">
        <v>8760</v>
      </c>
      <c r="CK161" s="17">
        <v>8760</v>
      </c>
      <c r="CL161" s="17">
        <v>8760</v>
      </c>
      <c r="CM161" s="17">
        <v>8760</v>
      </c>
      <c r="CN161" s="17">
        <v>8760</v>
      </c>
      <c r="CO161" s="17">
        <v>8760</v>
      </c>
      <c r="CP161" s="17">
        <v>8760</v>
      </c>
      <c r="CQ161" s="17">
        <v>8760</v>
      </c>
      <c r="CR161" s="17">
        <v>8760</v>
      </c>
      <c r="CS161" s="17">
        <v>8760</v>
      </c>
      <c r="CT161" s="17">
        <v>8760</v>
      </c>
      <c r="CU161" s="17">
        <v>8760</v>
      </c>
      <c r="CV161" s="17">
        <v>8760</v>
      </c>
      <c r="CW161" s="17">
        <v>8760</v>
      </c>
      <c r="CX161" s="17">
        <v>8760</v>
      </c>
      <c r="CY161" s="17">
        <v>8760</v>
      </c>
      <c r="CZ161" s="17">
        <v>8760</v>
      </c>
      <c r="DA161" s="17">
        <v>8760</v>
      </c>
      <c r="DB161" s="17">
        <v>8760</v>
      </c>
    </row>
    <row r="162" spans="1:106" s="17" customFormat="1" x14ac:dyDescent="0.25">
      <c r="A162" s="22" t="s">
        <v>180</v>
      </c>
      <c r="B162" s="17" t="s">
        <v>172</v>
      </c>
      <c r="C162" s="17" t="s">
        <v>438</v>
      </c>
      <c r="D162" s="17" t="s">
        <v>705</v>
      </c>
      <c r="E162" s="17" t="s">
        <v>706</v>
      </c>
      <c r="F162" s="17">
        <v>102515</v>
      </c>
      <c r="G162" s="17">
        <v>0</v>
      </c>
      <c r="H162" s="17">
        <v>0</v>
      </c>
      <c r="I162" s="17">
        <v>0</v>
      </c>
      <c r="J162" s="17">
        <v>0</v>
      </c>
      <c r="K162" s="17">
        <v>0</v>
      </c>
      <c r="L162" s="17">
        <v>0</v>
      </c>
      <c r="M162" s="17">
        <v>0</v>
      </c>
      <c r="N162" s="17">
        <v>0</v>
      </c>
      <c r="O162" s="17">
        <v>0</v>
      </c>
      <c r="P162" s="17">
        <v>0</v>
      </c>
      <c r="Q162" s="17">
        <v>0</v>
      </c>
      <c r="R162" s="17">
        <v>0</v>
      </c>
      <c r="S162" s="17">
        <v>0</v>
      </c>
      <c r="T162" s="17">
        <v>0</v>
      </c>
      <c r="U162" s="17">
        <v>0</v>
      </c>
      <c r="V162" s="17">
        <v>0</v>
      </c>
      <c r="W162" s="17">
        <v>0</v>
      </c>
      <c r="X162" s="17">
        <v>0</v>
      </c>
      <c r="Y162" s="17">
        <v>0</v>
      </c>
      <c r="Z162" s="17">
        <v>0</v>
      </c>
      <c r="AA162" s="17">
        <v>0</v>
      </c>
      <c r="AB162" s="17">
        <v>0</v>
      </c>
      <c r="AC162" s="17">
        <v>0</v>
      </c>
      <c r="AD162" s="17">
        <v>0</v>
      </c>
      <c r="AE162" s="17">
        <v>0</v>
      </c>
      <c r="AF162" s="17">
        <v>0</v>
      </c>
      <c r="AG162" s="17">
        <v>0</v>
      </c>
      <c r="AH162" s="17">
        <v>0</v>
      </c>
      <c r="AI162" s="17">
        <v>0</v>
      </c>
      <c r="AJ162" s="17">
        <v>4</v>
      </c>
      <c r="AK162" s="17">
        <v>15</v>
      </c>
      <c r="AL162" s="17">
        <v>30</v>
      </c>
      <c r="AM162" s="17">
        <v>47</v>
      </c>
      <c r="AN162" s="17">
        <v>75</v>
      </c>
      <c r="AO162" s="17">
        <v>95</v>
      </c>
      <c r="AP162" s="17">
        <v>126</v>
      </c>
      <c r="AQ162" s="17">
        <v>149</v>
      </c>
      <c r="AR162" s="17">
        <v>168</v>
      </c>
      <c r="AS162" s="17">
        <v>195</v>
      </c>
      <c r="AT162" s="17">
        <v>253</v>
      </c>
      <c r="AU162" s="17">
        <v>306</v>
      </c>
      <c r="AV162" s="17">
        <v>390</v>
      </c>
      <c r="AW162" s="17">
        <v>487</v>
      </c>
      <c r="AX162" s="17">
        <v>604</v>
      </c>
      <c r="AY162" s="17">
        <v>764</v>
      </c>
      <c r="AZ162" s="17">
        <v>983</v>
      </c>
      <c r="BA162" s="17">
        <v>1275</v>
      </c>
      <c r="BB162" s="17">
        <v>1570</v>
      </c>
      <c r="BC162" s="17">
        <v>1905</v>
      </c>
      <c r="BD162" s="17">
        <v>2308</v>
      </c>
      <c r="BE162" s="17">
        <v>2799</v>
      </c>
      <c r="BF162" s="17">
        <v>3220</v>
      </c>
      <c r="BG162" s="17">
        <v>3559</v>
      </c>
      <c r="BH162" s="17">
        <v>3911</v>
      </c>
      <c r="BI162" s="17">
        <v>4232</v>
      </c>
      <c r="BJ162" s="17">
        <v>4507</v>
      </c>
      <c r="BK162" s="17">
        <v>4778</v>
      </c>
      <c r="BL162" s="17">
        <v>5063</v>
      </c>
      <c r="BM162" s="17">
        <v>5362</v>
      </c>
      <c r="BN162" s="17">
        <v>5653</v>
      </c>
      <c r="BO162" s="17">
        <v>5990</v>
      </c>
      <c r="BP162" s="17">
        <v>6327</v>
      </c>
      <c r="BQ162" s="17">
        <v>6688</v>
      </c>
      <c r="BR162" s="17">
        <v>7000</v>
      </c>
      <c r="BS162" s="17">
        <v>7312</v>
      </c>
      <c r="BT162" s="17">
        <v>7580</v>
      </c>
      <c r="BU162" s="17">
        <v>7835</v>
      </c>
      <c r="BV162" s="17">
        <v>8041</v>
      </c>
      <c r="BW162" s="17">
        <v>8210</v>
      </c>
      <c r="BX162" s="17">
        <v>8342</v>
      </c>
      <c r="BY162" s="17">
        <v>8450</v>
      </c>
      <c r="BZ162" s="17">
        <v>8530</v>
      </c>
      <c r="CA162" s="17">
        <v>8592</v>
      </c>
      <c r="CB162" s="17">
        <v>8644</v>
      </c>
      <c r="CC162" s="17">
        <v>8685</v>
      </c>
      <c r="CD162" s="17">
        <v>8719</v>
      </c>
      <c r="CE162" s="17">
        <v>8743</v>
      </c>
      <c r="CF162" s="17">
        <v>8755</v>
      </c>
      <c r="CG162" s="17">
        <v>8759</v>
      </c>
      <c r="CH162" s="17">
        <v>8760</v>
      </c>
      <c r="CI162" s="17">
        <v>8760</v>
      </c>
      <c r="CJ162" s="17">
        <v>8760</v>
      </c>
      <c r="CK162" s="17">
        <v>8760</v>
      </c>
      <c r="CL162" s="17">
        <v>8760</v>
      </c>
      <c r="CM162" s="17">
        <v>8760</v>
      </c>
      <c r="CN162" s="17">
        <v>8760</v>
      </c>
      <c r="CO162" s="17">
        <v>8760</v>
      </c>
      <c r="CP162" s="17">
        <v>8760</v>
      </c>
      <c r="CQ162" s="17">
        <v>8760</v>
      </c>
      <c r="CR162" s="17">
        <v>8760</v>
      </c>
      <c r="CS162" s="17">
        <v>8760</v>
      </c>
      <c r="CT162" s="17">
        <v>8760</v>
      </c>
      <c r="CU162" s="17">
        <v>8760</v>
      </c>
      <c r="CV162" s="17">
        <v>8760</v>
      </c>
      <c r="CW162" s="17">
        <v>8760</v>
      </c>
      <c r="CX162" s="17">
        <v>8760</v>
      </c>
      <c r="CY162" s="17">
        <v>8760</v>
      </c>
      <c r="CZ162" s="17">
        <v>8760</v>
      </c>
      <c r="DA162" s="17">
        <v>8760</v>
      </c>
      <c r="DB162" s="17">
        <v>8760</v>
      </c>
    </row>
    <row r="163" spans="1:106" s="17" customFormat="1" x14ac:dyDescent="0.25">
      <c r="A163" s="22" t="s">
        <v>181</v>
      </c>
      <c r="B163" s="17" t="s">
        <v>173</v>
      </c>
      <c r="C163" s="17" t="s">
        <v>438</v>
      </c>
      <c r="D163" s="17" t="s">
        <v>707</v>
      </c>
      <c r="E163" s="17" t="s">
        <v>708</v>
      </c>
      <c r="F163" s="17">
        <v>102406</v>
      </c>
      <c r="G163" s="17">
        <v>0</v>
      </c>
      <c r="H163" s="17">
        <v>0</v>
      </c>
      <c r="I163" s="17">
        <v>0</v>
      </c>
      <c r="J163" s="17">
        <v>0</v>
      </c>
      <c r="K163" s="17">
        <v>0</v>
      </c>
      <c r="L163" s="17">
        <v>0</v>
      </c>
      <c r="M163" s="17">
        <v>0</v>
      </c>
      <c r="N163" s="17">
        <v>0</v>
      </c>
      <c r="O163" s="17">
        <v>0</v>
      </c>
      <c r="P163" s="17">
        <v>0</v>
      </c>
      <c r="Q163" s="17">
        <v>0</v>
      </c>
      <c r="R163" s="17">
        <v>0</v>
      </c>
      <c r="S163" s="17">
        <v>0</v>
      </c>
      <c r="T163" s="17">
        <v>0</v>
      </c>
      <c r="U163" s="17">
        <v>0</v>
      </c>
      <c r="V163" s="17">
        <v>0</v>
      </c>
      <c r="W163" s="17">
        <v>0</v>
      </c>
      <c r="X163" s="17">
        <v>0</v>
      </c>
      <c r="Y163" s="17">
        <v>0</v>
      </c>
      <c r="Z163" s="17">
        <v>0</v>
      </c>
      <c r="AA163" s="17">
        <v>0</v>
      </c>
      <c r="AB163" s="17">
        <v>0</v>
      </c>
      <c r="AC163" s="17">
        <v>0</v>
      </c>
      <c r="AD163" s="17">
        <v>0</v>
      </c>
      <c r="AE163" s="17">
        <v>0</v>
      </c>
      <c r="AF163" s="17">
        <v>0</v>
      </c>
      <c r="AG163" s="17">
        <v>0</v>
      </c>
      <c r="AH163" s="17">
        <v>0</v>
      </c>
      <c r="AI163" s="17">
        <v>0</v>
      </c>
      <c r="AJ163" s="17">
        <v>0</v>
      </c>
      <c r="AK163" s="17">
        <v>0</v>
      </c>
      <c r="AL163" s="17">
        <v>0</v>
      </c>
      <c r="AM163" s="17">
        <v>0</v>
      </c>
      <c r="AN163" s="17">
        <v>0</v>
      </c>
      <c r="AO163" s="17">
        <v>3</v>
      </c>
      <c r="AP163" s="17">
        <v>8</v>
      </c>
      <c r="AQ163" s="17">
        <v>11</v>
      </c>
      <c r="AR163" s="17">
        <v>25</v>
      </c>
      <c r="AS163" s="17">
        <v>39</v>
      </c>
      <c r="AT163" s="17">
        <v>62</v>
      </c>
      <c r="AU163" s="17">
        <v>107</v>
      </c>
      <c r="AV163" s="17">
        <v>183</v>
      </c>
      <c r="AW163" s="17">
        <v>281</v>
      </c>
      <c r="AX163" s="17">
        <v>396</v>
      </c>
      <c r="AY163" s="17">
        <v>504</v>
      </c>
      <c r="AZ163" s="17">
        <v>662</v>
      </c>
      <c r="BA163" s="17">
        <v>860</v>
      </c>
      <c r="BB163" s="17">
        <v>1102</v>
      </c>
      <c r="BC163" s="17">
        <v>1404</v>
      </c>
      <c r="BD163" s="17">
        <v>1845</v>
      </c>
      <c r="BE163" s="17">
        <v>2376</v>
      </c>
      <c r="BF163" s="17">
        <v>2832</v>
      </c>
      <c r="BG163" s="17">
        <v>3173</v>
      </c>
      <c r="BH163" s="17">
        <v>3540</v>
      </c>
      <c r="BI163" s="17">
        <v>3935</v>
      </c>
      <c r="BJ163" s="17">
        <v>4250</v>
      </c>
      <c r="BK163" s="17">
        <v>4552</v>
      </c>
      <c r="BL163" s="17">
        <v>4876</v>
      </c>
      <c r="BM163" s="17">
        <v>5196</v>
      </c>
      <c r="BN163" s="17">
        <v>5523</v>
      </c>
      <c r="BO163" s="17">
        <v>5872</v>
      </c>
      <c r="BP163" s="17">
        <v>6209</v>
      </c>
      <c r="BQ163" s="17">
        <v>6550</v>
      </c>
      <c r="BR163" s="17">
        <v>6947</v>
      </c>
      <c r="BS163" s="17">
        <v>7283</v>
      </c>
      <c r="BT163" s="17">
        <v>7579</v>
      </c>
      <c r="BU163" s="17">
        <v>7837</v>
      </c>
      <c r="BV163" s="17">
        <v>8089</v>
      </c>
      <c r="BW163" s="17">
        <v>8274</v>
      </c>
      <c r="BX163" s="17">
        <v>8428</v>
      </c>
      <c r="BY163" s="17">
        <v>8524</v>
      </c>
      <c r="BZ163" s="17">
        <v>8612</v>
      </c>
      <c r="CA163" s="17">
        <v>8669</v>
      </c>
      <c r="CB163" s="17">
        <v>8717</v>
      </c>
      <c r="CC163" s="17">
        <v>8738</v>
      </c>
      <c r="CD163" s="17">
        <v>8752</v>
      </c>
      <c r="CE163" s="17">
        <v>8759</v>
      </c>
      <c r="CF163" s="17">
        <v>8760</v>
      </c>
      <c r="CG163" s="17">
        <v>8760</v>
      </c>
      <c r="CH163" s="17">
        <v>8760</v>
      </c>
      <c r="CI163" s="17">
        <v>8760</v>
      </c>
      <c r="CJ163" s="17">
        <v>8760</v>
      </c>
      <c r="CK163" s="17">
        <v>8760</v>
      </c>
      <c r="CL163" s="17">
        <v>8760</v>
      </c>
      <c r="CM163" s="17">
        <v>8760</v>
      </c>
      <c r="CN163" s="17">
        <v>8760</v>
      </c>
      <c r="CO163" s="17">
        <v>8760</v>
      </c>
      <c r="CP163" s="17">
        <v>8760</v>
      </c>
      <c r="CQ163" s="17">
        <v>8760</v>
      </c>
      <c r="CR163" s="17">
        <v>8760</v>
      </c>
      <c r="CS163" s="17">
        <v>8760</v>
      </c>
      <c r="CT163" s="17">
        <v>8760</v>
      </c>
      <c r="CU163" s="17">
        <v>8760</v>
      </c>
      <c r="CV163" s="17">
        <v>8760</v>
      </c>
      <c r="CW163" s="17">
        <v>8760</v>
      </c>
      <c r="CX163" s="17">
        <v>8760</v>
      </c>
      <c r="CY163" s="17">
        <v>8760</v>
      </c>
      <c r="CZ163" s="17">
        <v>8760</v>
      </c>
      <c r="DA163" s="17">
        <v>8760</v>
      </c>
      <c r="DB163" s="17">
        <v>8760</v>
      </c>
    </row>
    <row r="164" spans="1:106" s="17" customFormat="1" x14ac:dyDescent="0.25">
      <c r="A164" s="22" t="s">
        <v>182</v>
      </c>
      <c r="B164" s="17" t="s">
        <v>392</v>
      </c>
    </row>
    <row r="165" spans="1:106" s="17" customFormat="1" x14ac:dyDescent="0.25">
      <c r="A165" s="22" t="s">
        <v>183</v>
      </c>
      <c r="B165" s="17" t="s">
        <v>393</v>
      </c>
    </row>
    <row r="166" spans="1:106" s="17" customFormat="1" x14ac:dyDescent="0.25">
      <c r="A166" s="22" t="s">
        <v>184</v>
      </c>
      <c r="B166" s="17" t="s">
        <v>174</v>
      </c>
      <c r="C166" s="17" t="s">
        <v>438</v>
      </c>
      <c r="D166" s="17" t="s">
        <v>709</v>
      </c>
      <c r="E166" s="17" t="s">
        <v>710</v>
      </c>
      <c r="F166" s="17">
        <v>102312</v>
      </c>
      <c r="G166" s="17">
        <v>0</v>
      </c>
      <c r="H166" s="17">
        <v>0</v>
      </c>
      <c r="I166" s="17">
        <v>0</v>
      </c>
      <c r="J166" s="17">
        <v>0</v>
      </c>
      <c r="K166" s="17">
        <v>0</v>
      </c>
      <c r="L166" s="17">
        <v>0</v>
      </c>
      <c r="M166" s="17">
        <v>0</v>
      </c>
      <c r="N166" s="17">
        <v>0</v>
      </c>
      <c r="O166" s="17">
        <v>0</v>
      </c>
      <c r="P166" s="17">
        <v>0</v>
      </c>
      <c r="Q166" s="17">
        <v>0</v>
      </c>
      <c r="R166" s="17">
        <v>0</v>
      </c>
      <c r="S166" s="17">
        <v>0</v>
      </c>
      <c r="T166" s="17">
        <v>0</v>
      </c>
      <c r="U166" s="17">
        <v>0</v>
      </c>
      <c r="V166" s="17">
        <v>0</v>
      </c>
      <c r="W166" s="17">
        <v>0</v>
      </c>
      <c r="X166" s="17">
        <v>0</v>
      </c>
      <c r="Y166" s="17">
        <v>0</v>
      </c>
      <c r="Z166" s="17">
        <v>0</v>
      </c>
      <c r="AA166" s="17">
        <v>0</v>
      </c>
      <c r="AB166" s="17">
        <v>0</v>
      </c>
      <c r="AC166" s="17">
        <v>0</v>
      </c>
      <c r="AD166" s="17">
        <v>0</v>
      </c>
      <c r="AE166" s="17">
        <v>0</v>
      </c>
      <c r="AF166" s="17">
        <v>0</v>
      </c>
      <c r="AG166" s="17">
        <v>0</v>
      </c>
      <c r="AH166" s="17">
        <v>0</v>
      </c>
      <c r="AI166" s="17">
        <v>0</v>
      </c>
      <c r="AJ166" s="17">
        <v>0</v>
      </c>
      <c r="AK166" s="17">
        <v>0</v>
      </c>
      <c r="AL166" s="17">
        <v>3</v>
      </c>
      <c r="AM166" s="17">
        <v>5</v>
      </c>
      <c r="AN166" s="17">
        <v>9</v>
      </c>
      <c r="AO166" s="17">
        <v>11</v>
      </c>
      <c r="AP166" s="17">
        <v>20</v>
      </c>
      <c r="AQ166" s="17">
        <v>44</v>
      </c>
      <c r="AR166" s="17">
        <v>65</v>
      </c>
      <c r="AS166" s="17">
        <v>98</v>
      </c>
      <c r="AT166" s="17">
        <v>142</v>
      </c>
      <c r="AU166" s="17">
        <v>187</v>
      </c>
      <c r="AV166" s="17">
        <v>244</v>
      </c>
      <c r="AW166" s="17">
        <v>312</v>
      </c>
      <c r="AX166" s="17">
        <v>385</v>
      </c>
      <c r="AY166" s="17">
        <v>478</v>
      </c>
      <c r="AZ166" s="17">
        <v>636</v>
      </c>
      <c r="BA166" s="17">
        <v>855</v>
      </c>
      <c r="BB166" s="17">
        <v>1113</v>
      </c>
      <c r="BC166" s="17">
        <v>1301</v>
      </c>
      <c r="BD166" s="17">
        <v>1596</v>
      </c>
      <c r="BE166" s="17">
        <v>2037</v>
      </c>
      <c r="BF166" s="17">
        <v>2476</v>
      </c>
      <c r="BG166" s="17">
        <v>2965</v>
      </c>
      <c r="BH166" s="17">
        <v>3424</v>
      </c>
      <c r="BI166" s="17">
        <v>3794</v>
      </c>
      <c r="BJ166" s="17">
        <v>4140</v>
      </c>
      <c r="BK166" s="17">
        <v>4468</v>
      </c>
      <c r="BL166" s="17">
        <v>4792</v>
      </c>
      <c r="BM166" s="17">
        <v>5105</v>
      </c>
      <c r="BN166" s="17">
        <v>5458</v>
      </c>
      <c r="BO166" s="17">
        <v>5844</v>
      </c>
      <c r="BP166" s="17">
        <v>6242</v>
      </c>
      <c r="BQ166" s="17">
        <v>6579</v>
      </c>
      <c r="BR166" s="17">
        <v>6931</v>
      </c>
      <c r="BS166" s="17">
        <v>7266</v>
      </c>
      <c r="BT166" s="17">
        <v>7546</v>
      </c>
      <c r="BU166" s="17">
        <v>7782</v>
      </c>
      <c r="BV166" s="17">
        <v>7981</v>
      </c>
      <c r="BW166" s="17">
        <v>8141</v>
      </c>
      <c r="BX166" s="17">
        <v>8244</v>
      </c>
      <c r="BY166" s="17">
        <v>8346</v>
      </c>
      <c r="BZ166" s="17">
        <v>8445</v>
      </c>
      <c r="CA166" s="17">
        <v>8534</v>
      </c>
      <c r="CB166" s="17">
        <v>8603</v>
      </c>
      <c r="CC166" s="17">
        <v>8658</v>
      </c>
      <c r="CD166" s="17">
        <v>8688</v>
      </c>
      <c r="CE166" s="17">
        <v>8711</v>
      </c>
      <c r="CF166" s="17">
        <v>8737</v>
      </c>
      <c r="CG166" s="17">
        <v>8752</v>
      </c>
      <c r="CH166" s="17">
        <v>8756</v>
      </c>
      <c r="CI166" s="17">
        <v>8760</v>
      </c>
      <c r="CJ166" s="17">
        <v>8760</v>
      </c>
      <c r="CK166" s="17">
        <v>8760</v>
      </c>
      <c r="CL166" s="17">
        <v>8760</v>
      </c>
      <c r="CM166" s="17">
        <v>8760</v>
      </c>
      <c r="CN166" s="17">
        <v>8760</v>
      </c>
      <c r="CO166" s="17">
        <v>8760</v>
      </c>
      <c r="CP166" s="17">
        <v>8760</v>
      </c>
      <c r="CQ166" s="17">
        <v>8760</v>
      </c>
      <c r="CR166" s="17">
        <v>8760</v>
      </c>
      <c r="CS166" s="17">
        <v>8760</v>
      </c>
      <c r="CT166" s="17">
        <v>8760</v>
      </c>
      <c r="CU166" s="17">
        <v>8760</v>
      </c>
      <c r="CV166" s="17">
        <v>8760</v>
      </c>
      <c r="CW166" s="17">
        <v>8760</v>
      </c>
      <c r="CX166" s="17">
        <v>8760</v>
      </c>
      <c r="CY166" s="17">
        <v>8760</v>
      </c>
      <c r="CZ166" s="17">
        <v>8760</v>
      </c>
      <c r="DA166" s="17">
        <v>8760</v>
      </c>
      <c r="DB166" s="17">
        <v>8760</v>
      </c>
    </row>
    <row r="167" spans="1:106" s="17" customFormat="1" x14ac:dyDescent="0.25">
      <c r="A167" s="22" t="s">
        <v>185</v>
      </c>
      <c r="B167" s="17" t="s">
        <v>175</v>
      </c>
      <c r="C167" s="17" t="s">
        <v>438</v>
      </c>
      <c r="D167" s="17" t="s">
        <v>711</v>
      </c>
      <c r="E167" s="17" t="s">
        <v>712</v>
      </c>
      <c r="F167" s="17">
        <v>102721</v>
      </c>
      <c r="G167" s="17">
        <v>0</v>
      </c>
      <c r="H167" s="17">
        <v>0</v>
      </c>
      <c r="I167" s="17">
        <v>0</v>
      </c>
      <c r="J167" s="17">
        <v>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0</v>
      </c>
      <c r="AC167" s="17">
        <v>0</v>
      </c>
      <c r="AD167" s="17">
        <v>3</v>
      </c>
      <c r="AE167" s="17">
        <v>12</v>
      </c>
      <c r="AF167" s="17">
        <v>18</v>
      </c>
      <c r="AG167" s="17">
        <v>30</v>
      </c>
      <c r="AH167" s="17">
        <v>44</v>
      </c>
      <c r="AI167" s="17">
        <v>53</v>
      </c>
      <c r="AJ167" s="17">
        <v>70</v>
      </c>
      <c r="AK167" s="17">
        <v>118</v>
      </c>
      <c r="AL167" s="17">
        <v>167</v>
      </c>
      <c r="AM167" s="17">
        <v>214</v>
      </c>
      <c r="AN167" s="17">
        <v>268</v>
      </c>
      <c r="AO167" s="17">
        <v>326</v>
      </c>
      <c r="AP167" s="17">
        <v>386</v>
      </c>
      <c r="AQ167" s="17">
        <v>454</v>
      </c>
      <c r="AR167" s="17">
        <v>528</v>
      </c>
      <c r="AS167" s="17">
        <v>600</v>
      </c>
      <c r="AT167" s="17">
        <v>680</v>
      </c>
      <c r="AU167" s="17">
        <v>773</v>
      </c>
      <c r="AV167" s="17">
        <v>875</v>
      </c>
      <c r="AW167" s="17">
        <v>1006</v>
      </c>
      <c r="AX167" s="17">
        <v>1146</v>
      </c>
      <c r="AY167" s="17">
        <v>1311</v>
      </c>
      <c r="AZ167" s="17">
        <v>1531</v>
      </c>
      <c r="BA167" s="17">
        <v>1790</v>
      </c>
      <c r="BB167" s="17">
        <v>2121</v>
      </c>
      <c r="BC167" s="17">
        <v>2522</v>
      </c>
      <c r="BD167" s="17">
        <v>2957</v>
      </c>
      <c r="BE167" s="17">
        <v>3410</v>
      </c>
      <c r="BF167" s="17">
        <v>3793</v>
      </c>
      <c r="BG167" s="17">
        <v>4103</v>
      </c>
      <c r="BH167" s="17">
        <v>4418</v>
      </c>
      <c r="BI167" s="17">
        <v>4746</v>
      </c>
      <c r="BJ167" s="17">
        <v>5046</v>
      </c>
      <c r="BK167" s="17">
        <v>5310</v>
      </c>
      <c r="BL167" s="17">
        <v>5558</v>
      </c>
      <c r="BM167" s="17">
        <v>5873</v>
      </c>
      <c r="BN167" s="17">
        <v>6127</v>
      </c>
      <c r="BO167" s="17">
        <v>6424</v>
      </c>
      <c r="BP167" s="17">
        <v>6684</v>
      </c>
      <c r="BQ167" s="17">
        <v>6922</v>
      </c>
      <c r="BR167" s="17">
        <v>7167</v>
      </c>
      <c r="BS167" s="17">
        <v>7418</v>
      </c>
      <c r="BT167" s="17">
        <v>7636</v>
      </c>
      <c r="BU167" s="17">
        <v>7853</v>
      </c>
      <c r="BV167" s="17">
        <v>8036</v>
      </c>
      <c r="BW167" s="17">
        <v>8176</v>
      </c>
      <c r="BX167" s="17">
        <v>8306</v>
      </c>
      <c r="BY167" s="17">
        <v>8427</v>
      </c>
      <c r="BZ167" s="17">
        <v>8538</v>
      </c>
      <c r="CA167" s="17">
        <v>8604</v>
      </c>
      <c r="CB167" s="17">
        <v>8648</v>
      </c>
      <c r="CC167" s="17">
        <v>8679</v>
      </c>
      <c r="CD167" s="17">
        <v>8710</v>
      </c>
      <c r="CE167" s="17">
        <v>8727</v>
      </c>
      <c r="CF167" s="17">
        <v>8744</v>
      </c>
      <c r="CG167" s="17">
        <v>8759</v>
      </c>
      <c r="CH167" s="17">
        <v>8760</v>
      </c>
      <c r="CI167" s="17">
        <v>8760</v>
      </c>
      <c r="CJ167" s="17">
        <v>8760</v>
      </c>
      <c r="CK167" s="17">
        <v>8760</v>
      </c>
      <c r="CL167" s="17">
        <v>8760</v>
      </c>
      <c r="CM167" s="17">
        <v>8760</v>
      </c>
      <c r="CN167" s="17">
        <v>8760</v>
      </c>
      <c r="CO167" s="17">
        <v>8760</v>
      </c>
      <c r="CP167" s="17">
        <v>8760</v>
      </c>
      <c r="CQ167" s="17">
        <v>8760</v>
      </c>
      <c r="CR167" s="17">
        <v>8760</v>
      </c>
      <c r="CS167" s="17">
        <v>8760</v>
      </c>
      <c r="CT167" s="17">
        <v>8760</v>
      </c>
      <c r="CU167" s="17">
        <v>8760</v>
      </c>
      <c r="CV167" s="17">
        <v>8760</v>
      </c>
      <c r="CW167" s="17">
        <v>8760</v>
      </c>
      <c r="CX167" s="17">
        <v>8760</v>
      </c>
      <c r="CY167" s="17">
        <v>8760</v>
      </c>
      <c r="CZ167" s="17">
        <v>8760</v>
      </c>
      <c r="DA167" s="17">
        <v>8760</v>
      </c>
      <c r="DB167" s="17">
        <v>8760</v>
      </c>
    </row>
    <row r="168" spans="1:106" s="17" customFormat="1" x14ac:dyDescent="0.25">
      <c r="A168" s="22" t="s">
        <v>186</v>
      </c>
      <c r="B168" s="17" t="s">
        <v>394</v>
      </c>
    </row>
    <row r="169" spans="1:106" s="17" customFormat="1" x14ac:dyDescent="0.25">
      <c r="A169" s="22" t="s">
        <v>187</v>
      </c>
      <c r="B169" s="17" t="s">
        <v>176</v>
      </c>
      <c r="C169" s="17" t="s">
        <v>438</v>
      </c>
      <c r="D169" s="17" t="s">
        <v>713</v>
      </c>
      <c r="E169" s="17" t="s">
        <v>490</v>
      </c>
      <c r="F169" s="17">
        <v>102135</v>
      </c>
      <c r="G169" s="17">
        <v>0</v>
      </c>
      <c r="H169" s="17">
        <v>0</v>
      </c>
      <c r="I169" s="17">
        <v>0</v>
      </c>
      <c r="J169" s="17">
        <v>0</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0</v>
      </c>
      <c r="AC169" s="17">
        <v>0</v>
      </c>
      <c r="AD169" s="17">
        <v>0</v>
      </c>
      <c r="AE169" s="17">
        <v>0</v>
      </c>
      <c r="AF169" s="17">
        <v>0</v>
      </c>
      <c r="AG169" s="17">
        <v>0</v>
      </c>
      <c r="AH169" s="17">
        <v>0</v>
      </c>
      <c r="AI169" s="17">
        <v>0</v>
      </c>
      <c r="AJ169" s="17">
        <v>0</v>
      </c>
      <c r="AK169" s="17">
        <v>0</v>
      </c>
      <c r="AL169" s="17">
        <v>0</v>
      </c>
      <c r="AM169" s="17">
        <v>0</v>
      </c>
      <c r="AN169" s="17">
        <v>0</v>
      </c>
      <c r="AO169" s="17">
        <v>0</v>
      </c>
      <c r="AP169" s="17">
        <v>0</v>
      </c>
      <c r="AQ169" s="17">
        <v>0</v>
      </c>
      <c r="AR169" s="17">
        <v>0</v>
      </c>
      <c r="AS169" s="17">
        <v>0</v>
      </c>
      <c r="AT169" s="17">
        <v>5</v>
      </c>
      <c r="AU169" s="17">
        <v>12</v>
      </c>
      <c r="AV169" s="17">
        <v>19</v>
      </c>
      <c r="AW169" s="17">
        <v>32</v>
      </c>
      <c r="AX169" s="17">
        <v>55</v>
      </c>
      <c r="AY169" s="17">
        <v>76</v>
      </c>
      <c r="AZ169" s="17">
        <v>116</v>
      </c>
      <c r="BA169" s="17">
        <v>207</v>
      </c>
      <c r="BB169" s="17">
        <v>326</v>
      </c>
      <c r="BC169" s="17">
        <v>501</v>
      </c>
      <c r="BD169" s="17">
        <v>805</v>
      </c>
      <c r="BE169" s="17">
        <v>1144</v>
      </c>
      <c r="BF169" s="17">
        <v>1553</v>
      </c>
      <c r="BG169" s="17">
        <v>1986</v>
      </c>
      <c r="BH169" s="17">
        <v>2465</v>
      </c>
      <c r="BI169" s="17">
        <v>2981</v>
      </c>
      <c r="BJ169" s="17">
        <v>3452</v>
      </c>
      <c r="BK169" s="17">
        <v>3887</v>
      </c>
      <c r="BL169" s="17">
        <v>4279</v>
      </c>
      <c r="BM169" s="17">
        <v>4602</v>
      </c>
      <c r="BN169" s="17">
        <v>4991</v>
      </c>
      <c r="BO169" s="17">
        <v>5346</v>
      </c>
      <c r="BP169" s="17">
        <v>5739</v>
      </c>
      <c r="BQ169" s="17">
        <v>6127</v>
      </c>
      <c r="BR169" s="17">
        <v>6487</v>
      </c>
      <c r="BS169" s="17">
        <v>6899</v>
      </c>
      <c r="BT169" s="17">
        <v>7297</v>
      </c>
      <c r="BU169" s="17">
        <v>7617</v>
      </c>
      <c r="BV169" s="17">
        <v>7891</v>
      </c>
      <c r="BW169" s="17">
        <v>8112</v>
      </c>
      <c r="BX169" s="17">
        <v>8307</v>
      </c>
      <c r="BY169" s="17">
        <v>8433</v>
      </c>
      <c r="BZ169" s="17">
        <v>8526</v>
      </c>
      <c r="CA169" s="17">
        <v>8585</v>
      </c>
      <c r="CB169" s="17">
        <v>8632</v>
      </c>
      <c r="CC169" s="17">
        <v>8669</v>
      </c>
      <c r="CD169" s="17">
        <v>8704</v>
      </c>
      <c r="CE169" s="17">
        <v>8729</v>
      </c>
      <c r="CF169" s="17">
        <v>8747</v>
      </c>
      <c r="CG169" s="17">
        <v>8759</v>
      </c>
      <c r="CH169" s="17">
        <v>8760</v>
      </c>
      <c r="CI169" s="17">
        <v>8760</v>
      </c>
      <c r="CJ169" s="17">
        <v>8760</v>
      </c>
      <c r="CK169" s="17">
        <v>8760</v>
      </c>
      <c r="CL169" s="17">
        <v>8760</v>
      </c>
      <c r="CM169" s="17">
        <v>8760</v>
      </c>
      <c r="CN169" s="17">
        <v>8760</v>
      </c>
      <c r="CO169" s="17">
        <v>8760</v>
      </c>
      <c r="CP169" s="17">
        <v>8760</v>
      </c>
      <c r="CQ169" s="17">
        <v>8760</v>
      </c>
      <c r="CR169" s="17">
        <v>8760</v>
      </c>
      <c r="CS169" s="17">
        <v>8760</v>
      </c>
      <c r="CT169" s="17">
        <v>8760</v>
      </c>
      <c r="CU169" s="17">
        <v>8760</v>
      </c>
      <c r="CV169" s="17">
        <v>8760</v>
      </c>
      <c r="CW169" s="17">
        <v>8760</v>
      </c>
      <c r="CX169" s="17">
        <v>8760</v>
      </c>
      <c r="CY169" s="17">
        <v>8760</v>
      </c>
      <c r="CZ169" s="17">
        <v>8760</v>
      </c>
      <c r="DA169" s="17">
        <v>8760</v>
      </c>
      <c r="DB169" s="17">
        <v>8760</v>
      </c>
    </row>
    <row r="170" spans="1:106" s="17" customFormat="1" x14ac:dyDescent="0.25">
      <c r="A170" s="22" t="s">
        <v>188</v>
      </c>
      <c r="B170" s="17" t="s">
        <v>177</v>
      </c>
      <c r="C170" s="17" t="s">
        <v>438</v>
      </c>
      <c r="D170" s="17" t="s">
        <v>461</v>
      </c>
      <c r="E170" s="17" t="s">
        <v>714</v>
      </c>
      <c r="F170" s="17">
        <v>102701</v>
      </c>
      <c r="G170" s="17">
        <v>0</v>
      </c>
      <c r="H170" s="17">
        <v>0</v>
      </c>
      <c r="I170" s="17">
        <v>0</v>
      </c>
      <c r="J170" s="17">
        <v>0</v>
      </c>
      <c r="K170" s="17">
        <v>0</v>
      </c>
      <c r="L170" s="17">
        <v>0</v>
      </c>
      <c r="M170" s="17">
        <v>0</v>
      </c>
      <c r="N170" s="17">
        <v>0</v>
      </c>
      <c r="O170" s="17">
        <v>0</v>
      </c>
      <c r="P170" s="17">
        <v>0</v>
      </c>
      <c r="Q170" s="17">
        <v>0</v>
      </c>
      <c r="R170" s="17">
        <v>0</v>
      </c>
      <c r="S170" s="17">
        <v>0</v>
      </c>
      <c r="T170" s="17">
        <v>0</v>
      </c>
      <c r="U170" s="17">
        <v>0</v>
      </c>
      <c r="V170" s="17">
        <v>0</v>
      </c>
      <c r="W170" s="17">
        <v>0</v>
      </c>
      <c r="X170" s="17">
        <v>0</v>
      </c>
      <c r="Y170" s="17">
        <v>0</v>
      </c>
      <c r="Z170" s="17">
        <v>0</v>
      </c>
      <c r="AA170" s="17">
        <v>0</v>
      </c>
      <c r="AB170" s="17">
        <v>0</v>
      </c>
      <c r="AC170" s="17">
        <v>3</v>
      </c>
      <c r="AD170" s="17">
        <v>8</v>
      </c>
      <c r="AE170" s="17">
        <v>12</v>
      </c>
      <c r="AF170" s="17">
        <v>18</v>
      </c>
      <c r="AG170" s="17">
        <v>24</v>
      </c>
      <c r="AH170" s="17">
        <v>28</v>
      </c>
      <c r="AI170" s="17">
        <v>32</v>
      </c>
      <c r="AJ170" s="17">
        <v>44</v>
      </c>
      <c r="AK170" s="17">
        <v>51</v>
      </c>
      <c r="AL170" s="17">
        <v>72</v>
      </c>
      <c r="AM170" s="17">
        <v>94</v>
      </c>
      <c r="AN170" s="17">
        <v>116</v>
      </c>
      <c r="AO170" s="17">
        <v>133</v>
      </c>
      <c r="AP170" s="17">
        <v>166</v>
      </c>
      <c r="AQ170" s="17">
        <v>213</v>
      </c>
      <c r="AR170" s="17">
        <v>258</v>
      </c>
      <c r="AS170" s="17">
        <v>324</v>
      </c>
      <c r="AT170" s="17">
        <v>388</v>
      </c>
      <c r="AU170" s="17">
        <v>474</v>
      </c>
      <c r="AV170" s="17">
        <v>569</v>
      </c>
      <c r="AW170" s="17">
        <v>714</v>
      </c>
      <c r="AX170" s="17">
        <v>828</v>
      </c>
      <c r="AY170" s="17">
        <v>998</v>
      </c>
      <c r="AZ170" s="17">
        <v>1218</v>
      </c>
      <c r="BA170" s="17">
        <v>1465</v>
      </c>
      <c r="BB170" s="17">
        <v>1733</v>
      </c>
      <c r="BC170" s="17">
        <v>2053</v>
      </c>
      <c r="BD170" s="17">
        <v>2466</v>
      </c>
      <c r="BE170" s="17">
        <v>2916</v>
      </c>
      <c r="BF170" s="17">
        <v>3320</v>
      </c>
      <c r="BG170" s="17">
        <v>3664</v>
      </c>
      <c r="BH170" s="17">
        <v>4032</v>
      </c>
      <c r="BI170" s="17">
        <v>4384</v>
      </c>
      <c r="BJ170" s="17">
        <v>4663</v>
      </c>
      <c r="BK170" s="17">
        <v>4964</v>
      </c>
      <c r="BL170" s="17">
        <v>5281</v>
      </c>
      <c r="BM170" s="17">
        <v>5646</v>
      </c>
      <c r="BN170" s="17">
        <v>6001</v>
      </c>
      <c r="BO170" s="17">
        <v>6378</v>
      </c>
      <c r="BP170" s="17">
        <v>6690</v>
      </c>
      <c r="BQ170" s="17">
        <v>7008</v>
      </c>
      <c r="BR170" s="17">
        <v>7313</v>
      </c>
      <c r="BS170" s="17">
        <v>7592</v>
      </c>
      <c r="BT170" s="17">
        <v>7859</v>
      </c>
      <c r="BU170" s="17">
        <v>8041</v>
      </c>
      <c r="BV170" s="17">
        <v>8218</v>
      </c>
      <c r="BW170" s="17">
        <v>8358</v>
      </c>
      <c r="BX170" s="17">
        <v>8470</v>
      </c>
      <c r="BY170" s="17">
        <v>8549</v>
      </c>
      <c r="BZ170" s="17">
        <v>8632</v>
      </c>
      <c r="CA170" s="17">
        <v>8688</v>
      </c>
      <c r="CB170" s="17">
        <v>8711</v>
      </c>
      <c r="CC170" s="17">
        <v>8726</v>
      </c>
      <c r="CD170" s="17">
        <v>8740</v>
      </c>
      <c r="CE170" s="17">
        <v>8749</v>
      </c>
      <c r="CF170" s="17">
        <v>8760</v>
      </c>
      <c r="CG170" s="17">
        <v>8760</v>
      </c>
      <c r="CH170" s="17">
        <v>8760</v>
      </c>
      <c r="CI170" s="17">
        <v>8760</v>
      </c>
      <c r="CJ170" s="17">
        <v>8760</v>
      </c>
      <c r="CK170" s="17">
        <v>8760</v>
      </c>
      <c r="CL170" s="17">
        <v>8760</v>
      </c>
      <c r="CM170" s="17">
        <v>8760</v>
      </c>
      <c r="CN170" s="17">
        <v>8760</v>
      </c>
      <c r="CO170" s="17">
        <v>8760</v>
      </c>
      <c r="CP170" s="17">
        <v>8760</v>
      </c>
      <c r="CQ170" s="17">
        <v>8760</v>
      </c>
      <c r="CR170" s="17">
        <v>8760</v>
      </c>
      <c r="CS170" s="17">
        <v>8760</v>
      </c>
      <c r="CT170" s="17">
        <v>8760</v>
      </c>
      <c r="CU170" s="17">
        <v>8760</v>
      </c>
      <c r="CV170" s="17">
        <v>8760</v>
      </c>
      <c r="CW170" s="17">
        <v>8760</v>
      </c>
      <c r="CX170" s="17">
        <v>8760</v>
      </c>
      <c r="CY170" s="17">
        <v>8760</v>
      </c>
      <c r="CZ170" s="17">
        <v>8760</v>
      </c>
      <c r="DA170" s="17">
        <v>8760</v>
      </c>
      <c r="DB170" s="17">
        <v>8760</v>
      </c>
    </row>
    <row r="171" spans="1:106" s="17" customFormat="1" x14ac:dyDescent="0.25">
      <c r="A171" s="22" t="s">
        <v>189</v>
      </c>
      <c r="B171" s="17" t="s">
        <v>178</v>
      </c>
      <c r="C171" s="17" t="s">
        <v>438</v>
      </c>
      <c r="D171" s="17" t="s">
        <v>715</v>
      </c>
      <c r="E171" s="17" t="s">
        <v>716</v>
      </c>
      <c r="F171" s="17">
        <v>102005</v>
      </c>
      <c r="G171" s="17">
        <v>0</v>
      </c>
      <c r="H171" s="17">
        <v>0</v>
      </c>
      <c r="I171" s="17">
        <v>0</v>
      </c>
      <c r="J171" s="17">
        <v>0</v>
      </c>
      <c r="K171" s="17">
        <v>0</v>
      </c>
      <c r="L171" s="17">
        <v>0</v>
      </c>
      <c r="M171" s="17">
        <v>0</v>
      </c>
      <c r="N171" s="17">
        <v>0</v>
      </c>
      <c r="O171" s="17">
        <v>0</v>
      </c>
      <c r="P171" s="17">
        <v>0</v>
      </c>
      <c r="Q171" s="17">
        <v>0</v>
      </c>
      <c r="R171" s="17">
        <v>0</v>
      </c>
      <c r="S171" s="17">
        <v>0</v>
      </c>
      <c r="T171" s="17">
        <v>0</v>
      </c>
      <c r="U171" s="17">
        <v>0</v>
      </c>
      <c r="V171" s="17">
        <v>0</v>
      </c>
      <c r="W171" s="17">
        <v>0</v>
      </c>
      <c r="X171" s="17">
        <v>0</v>
      </c>
      <c r="Y171" s="17">
        <v>0</v>
      </c>
      <c r="Z171" s="17">
        <v>0</v>
      </c>
      <c r="AA171" s="17">
        <v>1</v>
      </c>
      <c r="AB171" s="17">
        <v>4</v>
      </c>
      <c r="AC171" s="17">
        <v>11</v>
      </c>
      <c r="AD171" s="17">
        <v>22</v>
      </c>
      <c r="AE171" s="17">
        <v>35</v>
      </c>
      <c r="AF171" s="17">
        <v>75</v>
      </c>
      <c r="AG171" s="17">
        <v>118</v>
      </c>
      <c r="AH171" s="17">
        <v>148</v>
      </c>
      <c r="AI171" s="17">
        <v>189</v>
      </c>
      <c r="AJ171" s="17">
        <v>228</v>
      </c>
      <c r="AK171" s="17">
        <v>269</v>
      </c>
      <c r="AL171" s="17">
        <v>320</v>
      </c>
      <c r="AM171" s="17">
        <v>393</v>
      </c>
      <c r="AN171" s="17">
        <v>493</v>
      </c>
      <c r="AO171" s="17">
        <v>557</v>
      </c>
      <c r="AP171" s="17">
        <v>642</v>
      </c>
      <c r="AQ171" s="17">
        <v>716</v>
      </c>
      <c r="AR171" s="17">
        <v>800</v>
      </c>
      <c r="AS171" s="17">
        <v>925</v>
      </c>
      <c r="AT171" s="17">
        <v>1053</v>
      </c>
      <c r="AU171" s="17">
        <v>1199</v>
      </c>
      <c r="AV171" s="17">
        <v>1384</v>
      </c>
      <c r="AW171" s="17">
        <v>1577</v>
      </c>
      <c r="AX171" s="17">
        <v>1808</v>
      </c>
      <c r="AY171" s="17">
        <v>2073</v>
      </c>
      <c r="AZ171" s="17">
        <v>2317</v>
      </c>
      <c r="BA171" s="17">
        <v>2574</v>
      </c>
      <c r="BB171" s="17">
        <v>2842</v>
      </c>
      <c r="BC171" s="17">
        <v>3177</v>
      </c>
      <c r="BD171" s="17">
        <v>3509</v>
      </c>
      <c r="BE171" s="17">
        <v>3886</v>
      </c>
      <c r="BF171" s="17">
        <v>4274</v>
      </c>
      <c r="BG171" s="17">
        <v>4565</v>
      </c>
      <c r="BH171" s="17">
        <v>4867</v>
      </c>
      <c r="BI171" s="17">
        <v>5137</v>
      </c>
      <c r="BJ171" s="17">
        <v>5398</v>
      </c>
      <c r="BK171" s="17">
        <v>5648</v>
      </c>
      <c r="BL171" s="17">
        <v>5938</v>
      </c>
      <c r="BM171" s="17">
        <v>6239</v>
      </c>
      <c r="BN171" s="17">
        <v>6546</v>
      </c>
      <c r="BO171" s="17">
        <v>6876</v>
      </c>
      <c r="BP171" s="17">
        <v>7157</v>
      </c>
      <c r="BQ171" s="17">
        <v>7449</v>
      </c>
      <c r="BR171" s="17">
        <v>7666</v>
      </c>
      <c r="BS171" s="17">
        <v>7887</v>
      </c>
      <c r="BT171" s="17">
        <v>8072</v>
      </c>
      <c r="BU171" s="17">
        <v>8234</v>
      </c>
      <c r="BV171" s="17">
        <v>8387</v>
      </c>
      <c r="BW171" s="17">
        <v>8505</v>
      </c>
      <c r="BX171" s="17">
        <v>8581</v>
      </c>
      <c r="BY171" s="17">
        <v>8639</v>
      </c>
      <c r="BZ171" s="17">
        <v>8689</v>
      </c>
      <c r="CA171" s="17">
        <v>8716</v>
      </c>
      <c r="CB171" s="17">
        <v>8738</v>
      </c>
      <c r="CC171" s="17">
        <v>8746</v>
      </c>
      <c r="CD171" s="17">
        <v>8752</v>
      </c>
      <c r="CE171" s="17">
        <v>8757</v>
      </c>
      <c r="CF171" s="17">
        <v>8759</v>
      </c>
      <c r="CG171" s="17">
        <v>8760</v>
      </c>
      <c r="CH171" s="17">
        <v>8760</v>
      </c>
      <c r="CI171" s="17">
        <v>8760</v>
      </c>
      <c r="CJ171" s="17">
        <v>8760</v>
      </c>
      <c r="CK171" s="17">
        <v>8760</v>
      </c>
      <c r="CL171" s="17">
        <v>8760</v>
      </c>
      <c r="CM171" s="17">
        <v>8760</v>
      </c>
      <c r="CN171" s="17">
        <v>8760</v>
      </c>
      <c r="CO171" s="17">
        <v>8760</v>
      </c>
      <c r="CP171" s="17">
        <v>8760</v>
      </c>
      <c r="CQ171" s="17">
        <v>8760</v>
      </c>
      <c r="CR171" s="17">
        <v>8760</v>
      </c>
      <c r="CS171" s="17">
        <v>8760</v>
      </c>
      <c r="CT171" s="17">
        <v>8760</v>
      </c>
      <c r="CU171" s="17">
        <v>8760</v>
      </c>
      <c r="CV171" s="17">
        <v>8760</v>
      </c>
      <c r="CW171" s="17">
        <v>8760</v>
      </c>
      <c r="CX171" s="17">
        <v>8760</v>
      </c>
      <c r="CY171" s="17">
        <v>8760</v>
      </c>
      <c r="CZ171" s="17">
        <v>8760</v>
      </c>
      <c r="DA171" s="17">
        <v>8760</v>
      </c>
      <c r="DB171" s="17">
        <v>8760</v>
      </c>
    </row>
    <row r="172" spans="1:106" s="17" customFormat="1" x14ac:dyDescent="0.25">
      <c r="A172" s="22" t="s">
        <v>190</v>
      </c>
      <c r="B172" s="17" t="s">
        <v>179</v>
      </c>
      <c r="C172" s="17" t="s">
        <v>438</v>
      </c>
      <c r="D172" s="17" t="s">
        <v>717</v>
      </c>
      <c r="E172" s="17" t="s">
        <v>718</v>
      </c>
      <c r="F172" s="17">
        <v>102106</v>
      </c>
      <c r="G172" s="17">
        <v>0</v>
      </c>
      <c r="H172" s="17">
        <v>0</v>
      </c>
      <c r="I172" s="17">
        <v>0</v>
      </c>
      <c r="J172" s="17">
        <v>0</v>
      </c>
      <c r="K172" s="17">
        <v>0</v>
      </c>
      <c r="L172" s="17">
        <v>0</v>
      </c>
      <c r="M172" s="17">
        <v>0</v>
      </c>
      <c r="N172" s="17">
        <v>0</v>
      </c>
      <c r="O172" s="17">
        <v>0</v>
      </c>
      <c r="P172" s="17">
        <v>0</v>
      </c>
      <c r="Q172" s="17">
        <v>0</v>
      </c>
      <c r="R172" s="17">
        <v>0</v>
      </c>
      <c r="S172" s="17">
        <v>0</v>
      </c>
      <c r="T172" s="17">
        <v>0</v>
      </c>
      <c r="U172" s="17">
        <v>0</v>
      </c>
      <c r="V172" s="17">
        <v>0</v>
      </c>
      <c r="W172" s="17">
        <v>0</v>
      </c>
      <c r="X172" s="17">
        <v>0</v>
      </c>
      <c r="Y172" s="17">
        <v>0</v>
      </c>
      <c r="Z172" s="17">
        <v>0</v>
      </c>
      <c r="AA172" s="17">
        <v>0</v>
      </c>
      <c r="AB172" s="17">
        <v>0</v>
      </c>
      <c r="AC172" s="17">
        <v>0</v>
      </c>
      <c r="AD172" s="17">
        <v>0</v>
      </c>
      <c r="AE172" s="17">
        <v>0</v>
      </c>
      <c r="AF172" s="17">
        <v>0</v>
      </c>
      <c r="AG172" s="17">
        <v>0</v>
      </c>
      <c r="AH172" s="17">
        <v>0</v>
      </c>
      <c r="AI172" s="17">
        <v>0</v>
      </c>
      <c r="AJ172" s="17">
        <v>0</v>
      </c>
      <c r="AK172" s="17">
        <v>0</v>
      </c>
      <c r="AL172" s="17">
        <v>0</v>
      </c>
      <c r="AM172" s="17">
        <v>0</v>
      </c>
      <c r="AN172" s="17">
        <v>0</v>
      </c>
      <c r="AO172" s="17">
        <v>0</v>
      </c>
      <c r="AP172" s="17">
        <v>0</v>
      </c>
      <c r="AQ172" s="17">
        <v>0</v>
      </c>
      <c r="AR172" s="17">
        <v>7</v>
      </c>
      <c r="AS172" s="17">
        <v>14</v>
      </c>
      <c r="AT172" s="17">
        <v>21</v>
      </c>
      <c r="AU172" s="17">
        <v>27</v>
      </c>
      <c r="AV172" s="17">
        <v>39</v>
      </c>
      <c r="AW172" s="17">
        <v>66</v>
      </c>
      <c r="AX172" s="17">
        <v>84</v>
      </c>
      <c r="AY172" s="17">
        <v>112</v>
      </c>
      <c r="AZ172" s="17">
        <v>158</v>
      </c>
      <c r="BA172" s="17">
        <v>264</v>
      </c>
      <c r="BB172" s="17">
        <v>505</v>
      </c>
      <c r="BC172" s="17">
        <v>780</v>
      </c>
      <c r="BD172" s="17">
        <v>1160</v>
      </c>
      <c r="BE172" s="17">
        <v>1540</v>
      </c>
      <c r="BF172" s="17">
        <v>2039</v>
      </c>
      <c r="BG172" s="17">
        <v>2510</v>
      </c>
      <c r="BH172" s="17">
        <v>2983</v>
      </c>
      <c r="BI172" s="17">
        <v>3553</v>
      </c>
      <c r="BJ172" s="17">
        <v>4006</v>
      </c>
      <c r="BK172" s="17">
        <v>4327</v>
      </c>
      <c r="BL172" s="17">
        <v>4604</v>
      </c>
      <c r="BM172" s="17">
        <v>4869</v>
      </c>
      <c r="BN172" s="17">
        <v>5139</v>
      </c>
      <c r="BO172" s="17">
        <v>5484</v>
      </c>
      <c r="BP172" s="17">
        <v>5843</v>
      </c>
      <c r="BQ172" s="17">
        <v>6300</v>
      </c>
      <c r="BR172" s="17">
        <v>6780</v>
      </c>
      <c r="BS172" s="17">
        <v>7216</v>
      </c>
      <c r="BT172" s="17">
        <v>7551</v>
      </c>
      <c r="BU172" s="17">
        <v>7857</v>
      </c>
      <c r="BV172" s="17">
        <v>8110</v>
      </c>
      <c r="BW172" s="17">
        <v>8306</v>
      </c>
      <c r="BX172" s="17">
        <v>8442</v>
      </c>
      <c r="BY172" s="17">
        <v>8547</v>
      </c>
      <c r="BZ172" s="17">
        <v>8609</v>
      </c>
      <c r="CA172" s="17">
        <v>8647</v>
      </c>
      <c r="CB172" s="17">
        <v>8676</v>
      </c>
      <c r="CC172" s="17">
        <v>8699</v>
      </c>
      <c r="CD172" s="17">
        <v>8730</v>
      </c>
      <c r="CE172" s="17">
        <v>8747</v>
      </c>
      <c r="CF172" s="17">
        <v>8754</v>
      </c>
      <c r="CG172" s="17">
        <v>8760</v>
      </c>
      <c r="CH172" s="17">
        <v>8760</v>
      </c>
      <c r="CI172" s="17">
        <v>8760</v>
      </c>
      <c r="CJ172" s="17">
        <v>8760</v>
      </c>
      <c r="CK172" s="17">
        <v>8760</v>
      </c>
      <c r="CL172" s="17">
        <v>8760</v>
      </c>
      <c r="CM172" s="17">
        <v>8760</v>
      </c>
      <c r="CN172" s="17">
        <v>8760</v>
      </c>
      <c r="CO172" s="17">
        <v>8760</v>
      </c>
      <c r="CP172" s="17">
        <v>8760</v>
      </c>
      <c r="CQ172" s="17">
        <v>8760</v>
      </c>
      <c r="CR172" s="17">
        <v>8760</v>
      </c>
      <c r="CS172" s="17">
        <v>8760</v>
      </c>
      <c r="CT172" s="17">
        <v>8760</v>
      </c>
      <c r="CU172" s="17">
        <v>8760</v>
      </c>
      <c r="CV172" s="17">
        <v>8760</v>
      </c>
      <c r="CW172" s="17">
        <v>8760</v>
      </c>
      <c r="CX172" s="17">
        <v>8760</v>
      </c>
      <c r="CY172" s="17">
        <v>8760</v>
      </c>
      <c r="CZ172" s="17">
        <v>8760</v>
      </c>
      <c r="DA172" s="17">
        <v>8760</v>
      </c>
      <c r="DB172" s="17">
        <v>8760</v>
      </c>
    </row>
    <row r="173" spans="1:106" s="17" customFormat="1" x14ac:dyDescent="0.25">
      <c r="A173" s="22" t="s">
        <v>191</v>
      </c>
      <c r="B173" s="17" t="s">
        <v>180</v>
      </c>
      <c r="C173" s="17" t="s">
        <v>438</v>
      </c>
      <c r="D173" s="17" t="s">
        <v>719</v>
      </c>
      <c r="E173" s="17" t="s">
        <v>720</v>
      </c>
      <c r="F173" s="17">
        <v>102907</v>
      </c>
      <c r="G173" s="17">
        <v>0</v>
      </c>
      <c r="H173" s="17">
        <v>0</v>
      </c>
      <c r="I173" s="17">
        <v>0</v>
      </c>
      <c r="J173" s="17">
        <v>0</v>
      </c>
      <c r="K173" s="17">
        <v>0</v>
      </c>
      <c r="L173" s="17">
        <v>0</v>
      </c>
      <c r="M173" s="17">
        <v>0</v>
      </c>
      <c r="N173" s="17">
        <v>0</v>
      </c>
      <c r="O173" s="17">
        <v>0</v>
      </c>
      <c r="P173" s="17">
        <v>0</v>
      </c>
      <c r="Q173" s="17">
        <v>0</v>
      </c>
      <c r="R173" s="17">
        <v>0</v>
      </c>
      <c r="S173" s="17">
        <v>0</v>
      </c>
      <c r="T173" s="17">
        <v>0</v>
      </c>
      <c r="U173" s="17">
        <v>0</v>
      </c>
      <c r="V173" s="17">
        <v>0</v>
      </c>
      <c r="W173" s="17">
        <v>0</v>
      </c>
      <c r="X173" s="17">
        <v>0</v>
      </c>
      <c r="Y173" s="17">
        <v>2</v>
      </c>
      <c r="Z173" s="17">
        <v>16</v>
      </c>
      <c r="AA173" s="17">
        <v>30</v>
      </c>
      <c r="AB173" s="17">
        <v>52</v>
      </c>
      <c r="AC173" s="17">
        <v>102</v>
      </c>
      <c r="AD173" s="17">
        <v>142</v>
      </c>
      <c r="AE173" s="17">
        <v>163</v>
      </c>
      <c r="AF173" s="17">
        <v>192</v>
      </c>
      <c r="AG173" s="17">
        <v>217</v>
      </c>
      <c r="AH173" s="17">
        <v>253</v>
      </c>
      <c r="AI173" s="17">
        <v>284</v>
      </c>
      <c r="AJ173" s="17">
        <v>320</v>
      </c>
      <c r="AK173" s="17">
        <v>361</v>
      </c>
      <c r="AL173" s="17">
        <v>396</v>
      </c>
      <c r="AM173" s="17">
        <v>439</v>
      </c>
      <c r="AN173" s="17">
        <v>505</v>
      </c>
      <c r="AO173" s="17">
        <v>564</v>
      </c>
      <c r="AP173" s="17">
        <v>631</v>
      </c>
      <c r="AQ173" s="17">
        <v>740</v>
      </c>
      <c r="AR173" s="17">
        <v>824</v>
      </c>
      <c r="AS173" s="17">
        <v>935</v>
      </c>
      <c r="AT173" s="17">
        <v>1046</v>
      </c>
      <c r="AU173" s="17">
        <v>1192</v>
      </c>
      <c r="AV173" s="17">
        <v>1331</v>
      </c>
      <c r="AW173" s="17">
        <v>1532</v>
      </c>
      <c r="AX173" s="17">
        <v>1743</v>
      </c>
      <c r="AY173" s="17">
        <v>1992</v>
      </c>
      <c r="AZ173" s="17">
        <v>2223</v>
      </c>
      <c r="BA173" s="17">
        <v>2455</v>
      </c>
      <c r="BB173" s="17">
        <v>2726</v>
      </c>
      <c r="BC173" s="17">
        <v>3090</v>
      </c>
      <c r="BD173" s="17">
        <v>3451</v>
      </c>
      <c r="BE173" s="17">
        <v>3891</v>
      </c>
      <c r="BF173" s="17">
        <v>4222</v>
      </c>
      <c r="BG173" s="17">
        <v>4572</v>
      </c>
      <c r="BH173" s="17">
        <v>4872</v>
      </c>
      <c r="BI173" s="17">
        <v>5133</v>
      </c>
      <c r="BJ173" s="17">
        <v>5409</v>
      </c>
      <c r="BK173" s="17">
        <v>5703</v>
      </c>
      <c r="BL173" s="17">
        <v>5926</v>
      </c>
      <c r="BM173" s="17">
        <v>6198</v>
      </c>
      <c r="BN173" s="17">
        <v>6501</v>
      </c>
      <c r="BO173" s="17">
        <v>6827</v>
      </c>
      <c r="BP173" s="17">
        <v>7129</v>
      </c>
      <c r="BQ173" s="17">
        <v>7440</v>
      </c>
      <c r="BR173" s="17">
        <v>7732</v>
      </c>
      <c r="BS173" s="17">
        <v>7941</v>
      </c>
      <c r="BT173" s="17">
        <v>8131</v>
      </c>
      <c r="BU173" s="17">
        <v>8283</v>
      </c>
      <c r="BV173" s="17">
        <v>8412</v>
      </c>
      <c r="BW173" s="17">
        <v>8516</v>
      </c>
      <c r="BX173" s="17">
        <v>8602</v>
      </c>
      <c r="BY173" s="17">
        <v>8651</v>
      </c>
      <c r="BZ173" s="17">
        <v>8689</v>
      </c>
      <c r="CA173" s="17">
        <v>8721</v>
      </c>
      <c r="CB173" s="17">
        <v>8745</v>
      </c>
      <c r="CC173" s="17">
        <v>8756</v>
      </c>
      <c r="CD173" s="17">
        <v>8760</v>
      </c>
      <c r="CE173" s="17">
        <v>8760</v>
      </c>
      <c r="CF173" s="17">
        <v>8760</v>
      </c>
      <c r="CG173" s="17">
        <v>8760</v>
      </c>
      <c r="CH173" s="17">
        <v>8760</v>
      </c>
      <c r="CI173" s="17">
        <v>8760</v>
      </c>
      <c r="CJ173" s="17">
        <v>8760</v>
      </c>
      <c r="CK173" s="17">
        <v>8760</v>
      </c>
      <c r="CL173" s="17">
        <v>8760</v>
      </c>
      <c r="CM173" s="17">
        <v>8760</v>
      </c>
      <c r="CN173" s="17">
        <v>8760</v>
      </c>
      <c r="CO173" s="17">
        <v>8760</v>
      </c>
      <c r="CP173" s="17">
        <v>8760</v>
      </c>
      <c r="CQ173" s="17">
        <v>8760</v>
      </c>
      <c r="CR173" s="17">
        <v>8760</v>
      </c>
      <c r="CS173" s="17">
        <v>8760</v>
      </c>
      <c r="CT173" s="17">
        <v>8760</v>
      </c>
      <c r="CU173" s="17">
        <v>8760</v>
      </c>
      <c r="CV173" s="17">
        <v>8760</v>
      </c>
      <c r="CW173" s="17">
        <v>8760</v>
      </c>
      <c r="CX173" s="17">
        <v>8760</v>
      </c>
      <c r="CY173" s="17">
        <v>8760</v>
      </c>
      <c r="CZ173" s="17">
        <v>8760</v>
      </c>
      <c r="DA173" s="17">
        <v>8760</v>
      </c>
      <c r="DB173" s="17">
        <v>8760</v>
      </c>
    </row>
    <row r="174" spans="1:106" s="17" customFormat="1" x14ac:dyDescent="0.25">
      <c r="A174" s="22" t="s">
        <v>192</v>
      </c>
      <c r="B174" s="17" t="s">
        <v>181</v>
      </c>
      <c r="C174" s="17" t="s">
        <v>438</v>
      </c>
      <c r="D174" s="17" t="s">
        <v>721</v>
      </c>
      <c r="E174" s="17" t="s">
        <v>722</v>
      </c>
      <c r="F174" s="17">
        <v>102209</v>
      </c>
      <c r="G174" s="17">
        <v>0</v>
      </c>
      <c r="H174" s="17">
        <v>0</v>
      </c>
      <c r="I174" s="17">
        <v>0</v>
      </c>
      <c r="J174" s="17">
        <v>0</v>
      </c>
      <c r="K174" s="17">
        <v>0</v>
      </c>
      <c r="L174" s="17">
        <v>0</v>
      </c>
      <c r="M174" s="17">
        <v>0</v>
      </c>
      <c r="N174" s="17">
        <v>0</v>
      </c>
      <c r="O174" s="17">
        <v>0</v>
      </c>
      <c r="P174" s="17">
        <v>0</v>
      </c>
      <c r="Q174" s="17">
        <v>0</v>
      </c>
      <c r="R174" s="17">
        <v>0</v>
      </c>
      <c r="S174" s="17">
        <v>0</v>
      </c>
      <c r="T174" s="17">
        <v>0</v>
      </c>
      <c r="U174" s="17">
        <v>0</v>
      </c>
      <c r="V174" s="17">
        <v>0</v>
      </c>
      <c r="W174" s="17">
        <v>0</v>
      </c>
      <c r="X174" s="17">
        <v>0</v>
      </c>
      <c r="Y174" s="17">
        <v>0</v>
      </c>
      <c r="Z174" s="17">
        <v>0</v>
      </c>
      <c r="AA174" s="17">
        <v>0</v>
      </c>
      <c r="AB174" s="17">
        <v>0</v>
      </c>
      <c r="AC174" s="17">
        <v>0</v>
      </c>
      <c r="AD174" s="17">
        <v>0</v>
      </c>
      <c r="AE174" s="17">
        <v>0</v>
      </c>
      <c r="AF174" s="17">
        <v>0</v>
      </c>
      <c r="AG174" s="17">
        <v>0</v>
      </c>
      <c r="AH174" s="17">
        <v>0</v>
      </c>
      <c r="AI174" s="17">
        <v>0</v>
      </c>
      <c r="AJ174" s="17">
        <v>0</v>
      </c>
      <c r="AK174" s="17">
        <v>0</v>
      </c>
      <c r="AL174" s="17">
        <v>0</v>
      </c>
      <c r="AM174" s="17">
        <v>0</v>
      </c>
      <c r="AN174" s="17">
        <v>0</v>
      </c>
      <c r="AO174" s="17">
        <v>0</v>
      </c>
      <c r="AP174" s="17">
        <v>0</v>
      </c>
      <c r="AQ174" s="17">
        <v>0</v>
      </c>
      <c r="AR174" s="17">
        <v>0</v>
      </c>
      <c r="AS174" s="17">
        <v>0</v>
      </c>
      <c r="AT174" s="17">
        <v>3</v>
      </c>
      <c r="AU174" s="17">
        <v>20</v>
      </c>
      <c r="AV174" s="17">
        <v>43</v>
      </c>
      <c r="AW174" s="17">
        <v>74</v>
      </c>
      <c r="AX174" s="17">
        <v>111</v>
      </c>
      <c r="AY174" s="17">
        <v>176</v>
      </c>
      <c r="AZ174" s="17">
        <v>246</v>
      </c>
      <c r="BA174" s="17">
        <v>349</v>
      </c>
      <c r="BB174" s="17">
        <v>516</v>
      </c>
      <c r="BC174" s="17">
        <v>718</v>
      </c>
      <c r="BD174" s="17">
        <v>1015</v>
      </c>
      <c r="BE174" s="17">
        <v>1379</v>
      </c>
      <c r="BF174" s="17">
        <v>1782</v>
      </c>
      <c r="BG174" s="17">
        <v>2159</v>
      </c>
      <c r="BH174" s="17">
        <v>2617</v>
      </c>
      <c r="BI174" s="17">
        <v>3112</v>
      </c>
      <c r="BJ174" s="17">
        <v>3587</v>
      </c>
      <c r="BK174" s="17">
        <v>3979</v>
      </c>
      <c r="BL174" s="17">
        <v>4277</v>
      </c>
      <c r="BM174" s="17">
        <v>4598</v>
      </c>
      <c r="BN174" s="17">
        <v>5013</v>
      </c>
      <c r="BO174" s="17">
        <v>5390</v>
      </c>
      <c r="BP174" s="17">
        <v>5800</v>
      </c>
      <c r="BQ174" s="17">
        <v>6238</v>
      </c>
      <c r="BR174" s="17">
        <v>6730</v>
      </c>
      <c r="BS174" s="17">
        <v>7247</v>
      </c>
      <c r="BT174" s="17">
        <v>7697</v>
      </c>
      <c r="BU174" s="17">
        <v>8036</v>
      </c>
      <c r="BV174" s="17">
        <v>8278</v>
      </c>
      <c r="BW174" s="17">
        <v>8470</v>
      </c>
      <c r="BX174" s="17">
        <v>8587</v>
      </c>
      <c r="BY174" s="17">
        <v>8684</v>
      </c>
      <c r="BZ174" s="17">
        <v>8737</v>
      </c>
      <c r="CA174" s="17">
        <v>8757</v>
      </c>
      <c r="CB174" s="17">
        <v>8760</v>
      </c>
      <c r="CC174" s="17">
        <v>8760</v>
      </c>
      <c r="CD174" s="17">
        <v>8760</v>
      </c>
      <c r="CE174" s="17">
        <v>8760</v>
      </c>
      <c r="CF174" s="17">
        <v>8760</v>
      </c>
      <c r="CG174" s="17">
        <v>8760</v>
      </c>
      <c r="CH174" s="17">
        <v>8760</v>
      </c>
      <c r="CI174" s="17">
        <v>8760</v>
      </c>
      <c r="CJ174" s="17">
        <v>8760</v>
      </c>
      <c r="CK174" s="17">
        <v>8760</v>
      </c>
      <c r="CL174" s="17">
        <v>8760</v>
      </c>
      <c r="CM174" s="17">
        <v>8760</v>
      </c>
      <c r="CN174" s="17">
        <v>8760</v>
      </c>
      <c r="CO174" s="17">
        <v>8760</v>
      </c>
      <c r="CP174" s="17">
        <v>8760</v>
      </c>
      <c r="CQ174" s="17">
        <v>8760</v>
      </c>
      <c r="CR174" s="17">
        <v>8760</v>
      </c>
      <c r="CS174" s="17">
        <v>8760</v>
      </c>
      <c r="CT174" s="17">
        <v>8760</v>
      </c>
      <c r="CU174" s="17">
        <v>8760</v>
      </c>
      <c r="CV174" s="17">
        <v>8760</v>
      </c>
      <c r="CW174" s="17">
        <v>8760</v>
      </c>
      <c r="CX174" s="17">
        <v>8760</v>
      </c>
      <c r="CY174" s="17">
        <v>8760</v>
      </c>
      <c r="CZ174" s="17">
        <v>8760</v>
      </c>
      <c r="DA174" s="17">
        <v>8760</v>
      </c>
      <c r="DB174" s="17">
        <v>8760</v>
      </c>
    </row>
    <row r="175" spans="1:106" s="17" customFormat="1" x14ac:dyDescent="0.25">
      <c r="A175" s="22" t="s">
        <v>193</v>
      </c>
      <c r="B175" s="17" t="s">
        <v>395</v>
      </c>
      <c r="C175" s="17" t="s">
        <v>438</v>
      </c>
      <c r="D175" s="17" t="s">
        <v>723</v>
      </c>
      <c r="E175" s="17" t="s">
        <v>724</v>
      </c>
      <c r="F175" s="17">
        <v>102420</v>
      </c>
      <c r="G175" s="17">
        <v>0</v>
      </c>
      <c r="H175" s="17">
        <v>0</v>
      </c>
      <c r="I175" s="17">
        <v>0</v>
      </c>
      <c r="J175" s="17">
        <v>0</v>
      </c>
      <c r="K175" s="17">
        <v>0</v>
      </c>
      <c r="L175" s="17">
        <v>0</v>
      </c>
      <c r="M175" s="17">
        <v>0</v>
      </c>
      <c r="N175" s="17">
        <v>0</v>
      </c>
      <c r="O175" s="17">
        <v>0</v>
      </c>
      <c r="P175" s="17">
        <v>0</v>
      </c>
      <c r="Q175" s="17">
        <v>0</v>
      </c>
      <c r="R175" s="17">
        <v>0</v>
      </c>
      <c r="S175" s="17">
        <v>0</v>
      </c>
      <c r="T175" s="17">
        <v>0</v>
      </c>
      <c r="U175" s="17">
        <v>0</v>
      </c>
      <c r="V175" s="17">
        <v>0</v>
      </c>
      <c r="W175" s="17">
        <v>0</v>
      </c>
      <c r="X175" s="17">
        <v>0</v>
      </c>
      <c r="Y175" s="17">
        <v>0</v>
      </c>
      <c r="Z175" s="17">
        <v>0</v>
      </c>
      <c r="AA175" s="17">
        <v>0</v>
      </c>
      <c r="AB175" s="17">
        <v>0</v>
      </c>
      <c r="AC175" s="17">
        <v>0</v>
      </c>
      <c r="AD175" s="17">
        <v>0</v>
      </c>
      <c r="AE175" s="17">
        <v>0</v>
      </c>
      <c r="AF175" s="17">
        <v>0</v>
      </c>
      <c r="AG175" s="17">
        <v>0</v>
      </c>
      <c r="AH175" s="17">
        <v>0</v>
      </c>
      <c r="AI175" s="17">
        <v>0</v>
      </c>
      <c r="AJ175" s="17">
        <v>0</v>
      </c>
      <c r="AK175" s="17">
        <v>6</v>
      </c>
      <c r="AL175" s="17">
        <v>10</v>
      </c>
      <c r="AM175" s="17">
        <v>15</v>
      </c>
      <c r="AN175" s="17">
        <v>30</v>
      </c>
      <c r="AO175" s="17">
        <v>41</v>
      </c>
      <c r="AP175" s="17">
        <v>54</v>
      </c>
      <c r="AQ175" s="17">
        <v>76</v>
      </c>
      <c r="AR175" s="17">
        <v>95</v>
      </c>
      <c r="AS175" s="17">
        <v>127</v>
      </c>
      <c r="AT175" s="17">
        <v>176</v>
      </c>
      <c r="AU175" s="17">
        <v>247</v>
      </c>
      <c r="AV175" s="17">
        <v>335</v>
      </c>
      <c r="AW175" s="17">
        <v>448</v>
      </c>
      <c r="AX175" s="17">
        <v>557</v>
      </c>
      <c r="AY175" s="17">
        <v>703</v>
      </c>
      <c r="AZ175" s="17">
        <v>848</v>
      </c>
      <c r="BA175" s="17">
        <v>1029</v>
      </c>
      <c r="BB175" s="17">
        <v>1284</v>
      </c>
      <c r="BC175" s="17">
        <v>1599</v>
      </c>
      <c r="BD175" s="17">
        <v>1964</v>
      </c>
      <c r="BE175" s="17">
        <v>2450</v>
      </c>
      <c r="BF175" s="17">
        <v>2903</v>
      </c>
      <c r="BG175" s="17">
        <v>3366</v>
      </c>
      <c r="BH175" s="17">
        <v>3705</v>
      </c>
      <c r="BI175" s="17">
        <v>4026</v>
      </c>
      <c r="BJ175" s="17">
        <v>4343</v>
      </c>
      <c r="BK175" s="17">
        <v>4685</v>
      </c>
      <c r="BL175" s="17">
        <v>4946</v>
      </c>
      <c r="BM175" s="17">
        <v>5295</v>
      </c>
      <c r="BN175" s="17">
        <v>5694</v>
      </c>
      <c r="BO175" s="17">
        <v>6084</v>
      </c>
      <c r="BP175" s="17">
        <v>6450</v>
      </c>
      <c r="BQ175" s="17">
        <v>6800</v>
      </c>
      <c r="BR175" s="17">
        <v>7172</v>
      </c>
      <c r="BS175" s="17">
        <v>7478</v>
      </c>
      <c r="BT175" s="17">
        <v>7732</v>
      </c>
      <c r="BU175" s="17">
        <v>7960</v>
      </c>
      <c r="BV175" s="17">
        <v>8152</v>
      </c>
      <c r="BW175" s="17">
        <v>8288</v>
      </c>
      <c r="BX175" s="17">
        <v>8417</v>
      </c>
      <c r="BY175" s="17">
        <v>8506</v>
      </c>
      <c r="BZ175" s="17">
        <v>8570</v>
      </c>
      <c r="CA175" s="17">
        <v>8629</v>
      </c>
      <c r="CB175" s="17">
        <v>8667</v>
      </c>
      <c r="CC175" s="17">
        <v>8698</v>
      </c>
      <c r="CD175" s="17">
        <v>8732</v>
      </c>
      <c r="CE175" s="17">
        <v>8745</v>
      </c>
      <c r="CF175" s="17">
        <v>8749</v>
      </c>
      <c r="CG175" s="17">
        <v>8757</v>
      </c>
      <c r="CH175" s="17">
        <v>8760</v>
      </c>
      <c r="CI175" s="17">
        <v>8760</v>
      </c>
      <c r="CJ175" s="17">
        <v>8760</v>
      </c>
      <c r="CK175" s="17">
        <v>8760</v>
      </c>
      <c r="CL175" s="17">
        <v>8760</v>
      </c>
      <c r="CM175" s="17">
        <v>8760</v>
      </c>
      <c r="CN175" s="17">
        <v>8760</v>
      </c>
      <c r="CO175" s="17">
        <v>8760</v>
      </c>
      <c r="CP175" s="17">
        <v>8760</v>
      </c>
      <c r="CQ175" s="17">
        <v>8760</v>
      </c>
      <c r="CR175" s="17">
        <v>8760</v>
      </c>
      <c r="CS175" s="17">
        <v>8760</v>
      </c>
      <c r="CT175" s="17">
        <v>8760</v>
      </c>
      <c r="CU175" s="17">
        <v>8760</v>
      </c>
      <c r="CV175" s="17">
        <v>8760</v>
      </c>
      <c r="CW175" s="17">
        <v>8760</v>
      </c>
      <c r="CX175" s="17">
        <v>8760</v>
      </c>
      <c r="CY175" s="17">
        <v>8760</v>
      </c>
      <c r="CZ175" s="17">
        <v>8760</v>
      </c>
      <c r="DA175" s="17">
        <v>8760</v>
      </c>
      <c r="DB175" s="17">
        <v>8760</v>
      </c>
    </row>
    <row r="176" spans="1:106" s="17" customFormat="1" x14ac:dyDescent="0.25">
      <c r="A176" s="22" t="s">
        <v>194</v>
      </c>
      <c r="B176" s="17" t="s">
        <v>398</v>
      </c>
    </row>
    <row r="177" spans="1:106" s="17" customFormat="1" x14ac:dyDescent="0.25">
      <c r="A177" s="22" t="s">
        <v>195</v>
      </c>
      <c r="B177" s="17" t="s">
        <v>399</v>
      </c>
    </row>
    <row r="178" spans="1:106" s="17" customFormat="1" x14ac:dyDescent="0.25">
      <c r="A178" s="22" t="s">
        <v>196</v>
      </c>
      <c r="B178" s="17" t="s">
        <v>184</v>
      </c>
      <c r="C178" s="17" t="s">
        <v>438</v>
      </c>
      <c r="D178" s="17" t="s">
        <v>396</v>
      </c>
      <c r="E178" s="17" t="s">
        <v>397</v>
      </c>
      <c r="F178" s="17">
        <v>102105</v>
      </c>
      <c r="G178" s="17">
        <v>0</v>
      </c>
      <c r="H178" s="17">
        <v>0</v>
      </c>
      <c r="I178" s="17">
        <v>0</v>
      </c>
      <c r="J178" s="17">
        <v>0</v>
      </c>
      <c r="K178" s="17">
        <v>0</v>
      </c>
      <c r="L178" s="17">
        <v>0</v>
      </c>
      <c r="M178" s="17">
        <v>0</v>
      </c>
      <c r="N178" s="17">
        <v>0</v>
      </c>
      <c r="O178" s="17">
        <v>0</v>
      </c>
      <c r="P178" s="17">
        <v>0</v>
      </c>
      <c r="Q178" s="17">
        <v>0</v>
      </c>
      <c r="R178" s="17">
        <v>0</v>
      </c>
      <c r="S178" s="17">
        <v>0</v>
      </c>
      <c r="T178" s="17">
        <v>0</v>
      </c>
      <c r="U178" s="17">
        <v>0</v>
      </c>
      <c r="V178" s="17">
        <v>0</v>
      </c>
      <c r="W178" s="17">
        <v>0</v>
      </c>
      <c r="X178" s="17">
        <v>0</v>
      </c>
      <c r="Y178" s="17">
        <v>0</v>
      </c>
      <c r="Z178" s="17">
        <v>0</v>
      </c>
      <c r="AA178" s="17">
        <v>0</v>
      </c>
      <c r="AB178" s="17">
        <v>0</v>
      </c>
      <c r="AC178" s="17">
        <v>0</v>
      </c>
      <c r="AD178" s="17">
        <v>0</v>
      </c>
      <c r="AE178" s="17">
        <v>0</v>
      </c>
      <c r="AF178" s="17">
        <v>0</v>
      </c>
      <c r="AG178" s="17">
        <v>0</v>
      </c>
      <c r="AH178" s="17">
        <v>0</v>
      </c>
      <c r="AI178" s="17">
        <v>0</v>
      </c>
      <c r="AJ178" s="17">
        <v>0</v>
      </c>
      <c r="AK178" s="17">
        <v>0</v>
      </c>
      <c r="AL178" s="17">
        <v>0</v>
      </c>
      <c r="AM178" s="17">
        <v>0</v>
      </c>
      <c r="AN178" s="17">
        <v>0</v>
      </c>
      <c r="AO178" s="17">
        <v>0</v>
      </c>
      <c r="AP178" s="17">
        <v>0</v>
      </c>
      <c r="AQ178" s="17">
        <v>0</v>
      </c>
      <c r="AR178" s="17">
        <v>0</v>
      </c>
      <c r="AS178" s="17">
        <v>0</v>
      </c>
      <c r="AT178" s="17">
        <v>0</v>
      </c>
      <c r="AU178" s="17">
        <v>9</v>
      </c>
      <c r="AV178" s="17">
        <v>12</v>
      </c>
      <c r="AW178" s="17">
        <v>24</v>
      </c>
      <c r="AX178" s="17">
        <v>44</v>
      </c>
      <c r="AY178" s="17">
        <v>67</v>
      </c>
      <c r="AZ178" s="17">
        <v>97</v>
      </c>
      <c r="BA178" s="17">
        <v>186</v>
      </c>
      <c r="BB178" s="17">
        <v>301</v>
      </c>
      <c r="BC178" s="17">
        <v>465</v>
      </c>
      <c r="BD178" s="17">
        <v>733</v>
      </c>
      <c r="BE178" s="17">
        <v>1077</v>
      </c>
      <c r="BF178" s="17">
        <v>1492</v>
      </c>
      <c r="BG178" s="17">
        <v>1924</v>
      </c>
      <c r="BH178" s="17">
        <v>2429</v>
      </c>
      <c r="BI178" s="17">
        <v>2949</v>
      </c>
      <c r="BJ178" s="17">
        <v>3445</v>
      </c>
      <c r="BK178" s="17">
        <v>3909</v>
      </c>
      <c r="BL178" s="17">
        <v>4304</v>
      </c>
      <c r="BM178" s="17">
        <v>4597</v>
      </c>
      <c r="BN178" s="17">
        <v>4978</v>
      </c>
      <c r="BO178" s="17">
        <v>5331</v>
      </c>
      <c r="BP178" s="17">
        <v>5695</v>
      </c>
      <c r="BQ178" s="17">
        <v>6052</v>
      </c>
      <c r="BR178" s="17">
        <v>6453</v>
      </c>
      <c r="BS178" s="17">
        <v>6938</v>
      </c>
      <c r="BT178" s="17">
        <v>7366</v>
      </c>
      <c r="BU178" s="17">
        <v>7683</v>
      </c>
      <c r="BV178" s="17">
        <v>7980</v>
      </c>
      <c r="BW178" s="17">
        <v>8222</v>
      </c>
      <c r="BX178" s="17">
        <v>8374</v>
      </c>
      <c r="BY178" s="17">
        <v>8500</v>
      </c>
      <c r="BZ178" s="17">
        <v>8582</v>
      </c>
      <c r="CA178" s="17">
        <v>8641</v>
      </c>
      <c r="CB178" s="17">
        <v>8674</v>
      </c>
      <c r="CC178" s="17">
        <v>8702</v>
      </c>
      <c r="CD178" s="17">
        <v>8724</v>
      </c>
      <c r="CE178" s="17">
        <v>8739</v>
      </c>
      <c r="CF178" s="17">
        <v>8758</v>
      </c>
      <c r="CG178" s="17">
        <v>8760</v>
      </c>
      <c r="CH178" s="17">
        <v>8760</v>
      </c>
      <c r="CI178" s="17">
        <v>8760</v>
      </c>
      <c r="CJ178" s="17">
        <v>8760</v>
      </c>
      <c r="CK178" s="17">
        <v>8760</v>
      </c>
      <c r="CL178" s="17">
        <v>8760</v>
      </c>
      <c r="CM178" s="17">
        <v>8760</v>
      </c>
      <c r="CN178" s="17">
        <v>8760</v>
      </c>
      <c r="CO178" s="17">
        <v>8760</v>
      </c>
      <c r="CP178" s="17">
        <v>8760</v>
      </c>
      <c r="CQ178" s="17">
        <v>8760</v>
      </c>
      <c r="CR178" s="17">
        <v>8760</v>
      </c>
      <c r="CS178" s="17">
        <v>8760</v>
      </c>
      <c r="CT178" s="17">
        <v>8760</v>
      </c>
      <c r="CU178" s="17">
        <v>8760</v>
      </c>
      <c r="CV178" s="17">
        <v>8760</v>
      </c>
      <c r="CW178" s="17">
        <v>8760</v>
      </c>
      <c r="CX178" s="17">
        <v>8760</v>
      </c>
      <c r="CY178" s="17">
        <v>8760</v>
      </c>
      <c r="CZ178" s="17">
        <v>8760</v>
      </c>
      <c r="DA178" s="17">
        <v>8760</v>
      </c>
      <c r="DB178" s="17">
        <v>8760</v>
      </c>
    </row>
    <row r="179" spans="1:106" s="17" customFormat="1" x14ac:dyDescent="0.25">
      <c r="A179" s="22" t="s">
        <v>197</v>
      </c>
      <c r="B179" s="17" t="s">
        <v>185</v>
      </c>
      <c r="C179" s="17" t="s">
        <v>438</v>
      </c>
      <c r="D179" s="17" t="s">
        <v>725</v>
      </c>
      <c r="E179" s="17" t="s">
        <v>726</v>
      </c>
      <c r="F179" s="17">
        <v>102704</v>
      </c>
      <c r="G179" s="17">
        <v>0</v>
      </c>
      <c r="H179" s="17">
        <v>0</v>
      </c>
      <c r="I179" s="17">
        <v>0</v>
      </c>
      <c r="J179" s="17">
        <v>0</v>
      </c>
      <c r="K179" s="17">
        <v>0</v>
      </c>
      <c r="L179" s="17">
        <v>0</v>
      </c>
      <c r="M179" s="17">
        <v>0</v>
      </c>
      <c r="N179" s="17">
        <v>0</v>
      </c>
      <c r="O179" s="17">
        <v>0</v>
      </c>
      <c r="P179" s="17">
        <v>0</v>
      </c>
      <c r="Q179" s="17">
        <v>0</v>
      </c>
      <c r="R179" s="17">
        <v>0</v>
      </c>
      <c r="S179" s="17">
        <v>0</v>
      </c>
      <c r="T179" s="17">
        <v>0</v>
      </c>
      <c r="U179" s="17">
        <v>0</v>
      </c>
      <c r="V179" s="17">
        <v>0</v>
      </c>
      <c r="W179" s="17">
        <v>0</v>
      </c>
      <c r="X179" s="17">
        <v>0</v>
      </c>
      <c r="Y179" s="17">
        <v>0</v>
      </c>
      <c r="Z179" s="17">
        <v>0</v>
      </c>
      <c r="AA179" s="17">
        <v>0</v>
      </c>
      <c r="AB179" s="17">
        <v>0</v>
      </c>
      <c r="AC179" s="17">
        <v>0</v>
      </c>
      <c r="AD179" s="17">
        <v>0</v>
      </c>
      <c r="AE179" s="17">
        <v>2</v>
      </c>
      <c r="AF179" s="17">
        <v>6</v>
      </c>
      <c r="AG179" s="17">
        <v>12</v>
      </c>
      <c r="AH179" s="17">
        <v>17</v>
      </c>
      <c r="AI179" s="17">
        <v>25</v>
      </c>
      <c r="AJ179" s="17">
        <v>33</v>
      </c>
      <c r="AK179" s="17">
        <v>45</v>
      </c>
      <c r="AL179" s="17">
        <v>64</v>
      </c>
      <c r="AM179" s="17">
        <v>79</v>
      </c>
      <c r="AN179" s="17">
        <v>107</v>
      </c>
      <c r="AO179" s="17">
        <v>142</v>
      </c>
      <c r="AP179" s="17">
        <v>200</v>
      </c>
      <c r="AQ179" s="17">
        <v>276</v>
      </c>
      <c r="AR179" s="17">
        <v>363</v>
      </c>
      <c r="AS179" s="17">
        <v>467</v>
      </c>
      <c r="AT179" s="17">
        <v>556</v>
      </c>
      <c r="AU179" s="17">
        <v>667</v>
      </c>
      <c r="AV179" s="17">
        <v>785</v>
      </c>
      <c r="AW179" s="17">
        <v>895</v>
      </c>
      <c r="AX179" s="17">
        <v>1069</v>
      </c>
      <c r="AY179" s="17">
        <v>1306</v>
      </c>
      <c r="AZ179" s="17">
        <v>1589</v>
      </c>
      <c r="BA179" s="17">
        <v>1920</v>
      </c>
      <c r="BB179" s="17">
        <v>2297</v>
      </c>
      <c r="BC179" s="17">
        <v>2636</v>
      </c>
      <c r="BD179" s="17">
        <v>3043</v>
      </c>
      <c r="BE179" s="17">
        <v>3526</v>
      </c>
      <c r="BF179" s="17">
        <v>3934</v>
      </c>
      <c r="BG179" s="17">
        <v>4324</v>
      </c>
      <c r="BH179" s="17">
        <v>4638</v>
      </c>
      <c r="BI179" s="17">
        <v>4961</v>
      </c>
      <c r="BJ179" s="17">
        <v>5228</v>
      </c>
      <c r="BK179" s="17">
        <v>5528</v>
      </c>
      <c r="BL179" s="17">
        <v>5771</v>
      </c>
      <c r="BM179" s="17">
        <v>6036</v>
      </c>
      <c r="BN179" s="17">
        <v>6328</v>
      </c>
      <c r="BO179" s="17">
        <v>6620</v>
      </c>
      <c r="BP179" s="17">
        <v>6909</v>
      </c>
      <c r="BQ179" s="17">
        <v>7192</v>
      </c>
      <c r="BR179" s="17">
        <v>7453</v>
      </c>
      <c r="BS179" s="17">
        <v>7700</v>
      </c>
      <c r="BT179" s="17">
        <v>7900</v>
      </c>
      <c r="BU179" s="17">
        <v>8096</v>
      </c>
      <c r="BV179" s="17">
        <v>8240</v>
      </c>
      <c r="BW179" s="17">
        <v>8349</v>
      </c>
      <c r="BX179" s="17">
        <v>8447</v>
      </c>
      <c r="BY179" s="17">
        <v>8537</v>
      </c>
      <c r="BZ179" s="17">
        <v>8612</v>
      </c>
      <c r="CA179" s="17">
        <v>8654</v>
      </c>
      <c r="CB179" s="17">
        <v>8679</v>
      </c>
      <c r="CC179" s="17">
        <v>8699</v>
      </c>
      <c r="CD179" s="17">
        <v>8711</v>
      </c>
      <c r="CE179" s="17">
        <v>8728</v>
      </c>
      <c r="CF179" s="17">
        <v>8755</v>
      </c>
      <c r="CG179" s="17">
        <v>8760</v>
      </c>
      <c r="CH179" s="17">
        <v>8760</v>
      </c>
      <c r="CI179" s="17">
        <v>8760</v>
      </c>
      <c r="CJ179" s="17">
        <v>8760</v>
      </c>
      <c r="CK179" s="17">
        <v>8760</v>
      </c>
      <c r="CL179" s="17">
        <v>8760</v>
      </c>
      <c r="CM179" s="17">
        <v>8760</v>
      </c>
      <c r="CN179" s="17">
        <v>8760</v>
      </c>
      <c r="CO179" s="17">
        <v>8760</v>
      </c>
      <c r="CP179" s="17">
        <v>8760</v>
      </c>
      <c r="CQ179" s="17">
        <v>8760</v>
      </c>
      <c r="CR179" s="17">
        <v>8760</v>
      </c>
      <c r="CS179" s="17">
        <v>8760</v>
      </c>
      <c r="CT179" s="17">
        <v>8760</v>
      </c>
      <c r="CU179" s="17">
        <v>8760</v>
      </c>
      <c r="CV179" s="17">
        <v>8760</v>
      </c>
      <c r="CW179" s="17">
        <v>8760</v>
      </c>
      <c r="CX179" s="17">
        <v>8760</v>
      </c>
      <c r="CY179" s="17">
        <v>8760</v>
      </c>
      <c r="CZ179" s="17">
        <v>8760</v>
      </c>
      <c r="DA179" s="17">
        <v>8760</v>
      </c>
      <c r="DB179" s="17">
        <v>8760</v>
      </c>
    </row>
    <row r="180" spans="1:106" s="17" customFormat="1" x14ac:dyDescent="0.25">
      <c r="A180" s="22" t="s">
        <v>198</v>
      </c>
      <c r="B180" s="17" t="s">
        <v>400</v>
      </c>
      <c r="C180" s="17" t="s">
        <v>438</v>
      </c>
      <c r="D180" s="17" t="s">
        <v>727</v>
      </c>
      <c r="E180" s="17" t="s">
        <v>728</v>
      </c>
      <c r="F180" s="17">
        <v>102915</v>
      </c>
      <c r="G180" s="17">
        <v>0</v>
      </c>
      <c r="H180" s="17">
        <v>0</v>
      </c>
      <c r="I180" s="17">
        <v>0</v>
      </c>
      <c r="J180" s="17">
        <v>0</v>
      </c>
      <c r="K180" s="17">
        <v>0</v>
      </c>
      <c r="L180" s="17">
        <v>0</v>
      </c>
      <c r="M180" s="17">
        <v>0</v>
      </c>
      <c r="N180" s="17">
        <v>0</v>
      </c>
      <c r="O180" s="17">
        <v>0</v>
      </c>
      <c r="P180" s="17">
        <v>0</v>
      </c>
      <c r="Q180" s="17">
        <v>0</v>
      </c>
      <c r="R180" s="17">
        <v>0</v>
      </c>
      <c r="S180" s="17">
        <v>0</v>
      </c>
      <c r="T180" s="17">
        <v>0</v>
      </c>
      <c r="U180" s="17">
        <v>0</v>
      </c>
      <c r="V180" s="17">
        <v>0</v>
      </c>
      <c r="W180" s="17">
        <v>0</v>
      </c>
      <c r="X180" s="17">
        <v>0</v>
      </c>
      <c r="Y180" s="17">
        <v>0</v>
      </c>
      <c r="Z180" s="17">
        <v>0</v>
      </c>
      <c r="AA180" s="17">
        <v>0</v>
      </c>
      <c r="AB180" s="17">
        <v>0</v>
      </c>
      <c r="AC180" s="17">
        <v>0</v>
      </c>
      <c r="AD180" s="17">
        <v>0</v>
      </c>
      <c r="AE180" s="17">
        <v>13</v>
      </c>
      <c r="AF180" s="17">
        <v>25</v>
      </c>
      <c r="AG180" s="17">
        <v>49</v>
      </c>
      <c r="AH180" s="17">
        <v>77</v>
      </c>
      <c r="AI180" s="17">
        <v>112</v>
      </c>
      <c r="AJ180" s="17">
        <v>164</v>
      </c>
      <c r="AK180" s="17">
        <v>223</v>
      </c>
      <c r="AL180" s="17">
        <v>300</v>
      </c>
      <c r="AM180" s="17">
        <v>369</v>
      </c>
      <c r="AN180" s="17">
        <v>449</v>
      </c>
      <c r="AO180" s="17">
        <v>522</v>
      </c>
      <c r="AP180" s="17">
        <v>634</v>
      </c>
      <c r="AQ180" s="17">
        <v>758</v>
      </c>
      <c r="AR180" s="17">
        <v>883</v>
      </c>
      <c r="AS180" s="17">
        <v>1016</v>
      </c>
      <c r="AT180" s="17">
        <v>1190</v>
      </c>
      <c r="AU180" s="17">
        <v>1390</v>
      </c>
      <c r="AV180" s="17">
        <v>1637</v>
      </c>
      <c r="AW180" s="17">
        <v>1880</v>
      </c>
      <c r="AX180" s="17">
        <v>2171</v>
      </c>
      <c r="AY180" s="17">
        <v>2460</v>
      </c>
      <c r="AZ180" s="17">
        <v>2747</v>
      </c>
      <c r="BA180" s="17">
        <v>3050</v>
      </c>
      <c r="BB180" s="17">
        <v>3330</v>
      </c>
      <c r="BC180" s="17">
        <v>3636</v>
      </c>
      <c r="BD180" s="17">
        <v>3960</v>
      </c>
      <c r="BE180" s="17">
        <v>4257</v>
      </c>
      <c r="BF180" s="17">
        <v>4585</v>
      </c>
      <c r="BG180" s="17">
        <v>4841</v>
      </c>
      <c r="BH180" s="17">
        <v>5081</v>
      </c>
      <c r="BI180" s="17">
        <v>5363</v>
      </c>
      <c r="BJ180" s="17">
        <v>5624</v>
      </c>
      <c r="BK180" s="17">
        <v>5920</v>
      </c>
      <c r="BL180" s="17">
        <v>6236</v>
      </c>
      <c r="BM180" s="17">
        <v>6519</v>
      </c>
      <c r="BN180" s="17">
        <v>6806</v>
      </c>
      <c r="BO180" s="17">
        <v>7076</v>
      </c>
      <c r="BP180" s="17">
        <v>7339</v>
      </c>
      <c r="BQ180" s="17">
        <v>7627</v>
      </c>
      <c r="BR180" s="17">
        <v>7861</v>
      </c>
      <c r="BS180" s="17">
        <v>8069</v>
      </c>
      <c r="BT180" s="17">
        <v>8233</v>
      </c>
      <c r="BU180" s="17">
        <v>8378</v>
      </c>
      <c r="BV180" s="17">
        <v>8469</v>
      </c>
      <c r="BW180" s="17">
        <v>8549</v>
      </c>
      <c r="BX180" s="17">
        <v>8623</v>
      </c>
      <c r="BY180" s="17">
        <v>8682</v>
      </c>
      <c r="BZ180" s="17">
        <v>8723</v>
      </c>
      <c r="CA180" s="17">
        <v>8744</v>
      </c>
      <c r="CB180" s="17">
        <v>8747</v>
      </c>
      <c r="CC180" s="17">
        <v>8750</v>
      </c>
      <c r="CD180" s="17">
        <v>8752</v>
      </c>
      <c r="CE180" s="17">
        <v>8753</v>
      </c>
      <c r="CF180" s="17">
        <v>8754</v>
      </c>
      <c r="CG180" s="17">
        <v>8755</v>
      </c>
      <c r="CH180" s="17">
        <v>8760</v>
      </c>
      <c r="CI180" s="17">
        <v>8760</v>
      </c>
      <c r="CJ180" s="17">
        <v>8760</v>
      </c>
      <c r="CK180" s="17">
        <v>8760</v>
      </c>
      <c r="CL180" s="17">
        <v>8760</v>
      </c>
      <c r="CM180" s="17">
        <v>8760</v>
      </c>
      <c r="CN180" s="17">
        <v>8760</v>
      </c>
      <c r="CO180" s="17">
        <v>8760</v>
      </c>
      <c r="CP180" s="17">
        <v>8760</v>
      </c>
      <c r="CQ180" s="17">
        <v>8760</v>
      </c>
      <c r="CR180" s="17">
        <v>8760</v>
      </c>
      <c r="CS180" s="17">
        <v>8760</v>
      </c>
      <c r="CT180" s="17">
        <v>8760</v>
      </c>
      <c r="CU180" s="17">
        <v>8760</v>
      </c>
      <c r="CV180" s="17">
        <v>8760</v>
      </c>
      <c r="CW180" s="17">
        <v>8760</v>
      </c>
      <c r="CX180" s="17">
        <v>8760</v>
      </c>
      <c r="CY180" s="17">
        <v>8760</v>
      </c>
      <c r="CZ180" s="17">
        <v>8760</v>
      </c>
      <c r="DA180" s="17">
        <v>8760</v>
      </c>
      <c r="DB180" s="17">
        <v>8760</v>
      </c>
    </row>
    <row r="181" spans="1:106" s="17" customFormat="1" x14ac:dyDescent="0.25">
      <c r="A181" s="22" t="s">
        <v>199</v>
      </c>
      <c r="B181" s="17" t="s">
        <v>186</v>
      </c>
      <c r="C181" s="17" t="s">
        <v>438</v>
      </c>
      <c r="D181" s="17" t="s">
        <v>729</v>
      </c>
      <c r="E181" s="17" t="s">
        <v>730</v>
      </c>
      <c r="F181" s="17">
        <v>102219</v>
      </c>
      <c r="G181" s="17">
        <v>0</v>
      </c>
      <c r="H181" s="17">
        <v>0</v>
      </c>
      <c r="I181" s="17">
        <v>0</v>
      </c>
      <c r="J181" s="17">
        <v>0</v>
      </c>
      <c r="K181" s="17">
        <v>0</v>
      </c>
      <c r="L181" s="17">
        <v>0</v>
      </c>
      <c r="M181" s="17">
        <v>0</v>
      </c>
      <c r="N181" s="17">
        <v>0</v>
      </c>
      <c r="O181" s="17">
        <v>0</v>
      </c>
      <c r="P181" s="17">
        <v>0</v>
      </c>
      <c r="Q181" s="17">
        <v>0</v>
      </c>
      <c r="R181" s="17">
        <v>0</v>
      </c>
      <c r="S181" s="17">
        <v>0</v>
      </c>
      <c r="T181" s="17">
        <v>0</v>
      </c>
      <c r="U181" s="17">
        <v>0</v>
      </c>
      <c r="V181" s="17">
        <v>0</v>
      </c>
      <c r="W181" s="17">
        <v>0</v>
      </c>
      <c r="X181" s="17">
        <v>0</v>
      </c>
      <c r="Y181" s="17">
        <v>0</v>
      </c>
      <c r="Z181" s="17">
        <v>0</v>
      </c>
      <c r="AA181" s="17">
        <v>0</v>
      </c>
      <c r="AB181" s="17">
        <v>0</v>
      </c>
      <c r="AC181" s="17">
        <v>0</v>
      </c>
      <c r="AD181" s="17">
        <v>0</v>
      </c>
      <c r="AE181" s="17">
        <v>0</v>
      </c>
      <c r="AF181" s="17">
        <v>0</v>
      </c>
      <c r="AG181" s="17">
        <v>0</v>
      </c>
      <c r="AH181" s="17">
        <v>0</v>
      </c>
      <c r="AI181" s="17">
        <v>0</v>
      </c>
      <c r="AJ181" s="17">
        <v>4</v>
      </c>
      <c r="AK181" s="17">
        <v>10</v>
      </c>
      <c r="AL181" s="17">
        <v>20</v>
      </c>
      <c r="AM181" s="17">
        <v>24</v>
      </c>
      <c r="AN181" s="17">
        <v>27</v>
      </c>
      <c r="AO181" s="17">
        <v>32</v>
      </c>
      <c r="AP181" s="17">
        <v>35</v>
      </c>
      <c r="AQ181" s="17">
        <v>40</v>
      </c>
      <c r="AR181" s="17">
        <v>56</v>
      </c>
      <c r="AS181" s="17">
        <v>78</v>
      </c>
      <c r="AT181" s="17">
        <v>92</v>
      </c>
      <c r="AU181" s="17">
        <v>112</v>
      </c>
      <c r="AV181" s="17">
        <v>137</v>
      </c>
      <c r="AW181" s="17">
        <v>188</v>
      </c>
      <c r="AX181" s="17">
        <v>252</v>
      </c>
      <c r="AY181" s="17">
        <v>338</v>
      </c>
      <c r="AZ181" s="17">
        <v>451</v>
      </c>
      <c r="BA181" s="17">
        <v>583</v>
      </c>
      <c r="BB181" s="17">
        <v>772</v>
      </c>
      <c r="BC181" s="17">
        <v>1070</v>
      </c>
      <c r="BD181" s="17">
        <v>1506</v>
      </c>
      <c r="BE181" s="17">
        <v>1953</v>
      </c>
      <c r="BF181" s="17">
        <v>2486</v>
      </c>
      <c r="BG181" s="17">
        <v>2875</v>
      </c>
      <c r="BH181" s="17">
        <v>3248</v>
      </c>
      <c r="BI181" s="17">
        <v>3572</v>
      </c>
      <c r="BJ181" s="17">
        <v>3955</v>
      </c>
      <c r="BK181" s="17">
        <v>4331</v>
      </c>
      <c r="BL181" s="17">
        <v>4625</v>
      </c>
      <c r="BM181" s="17">
        <v>4971</v>
      </c>
      <c r="BN181" s="17">
        <v>5354</v>
      </c>
      <c r="BO181" s="17">
        <v>5754</v>
      </c>
      <c r="BP181" s="17">
        <v>6152</v>
      </c>
      <c r="BQ181" s="17">
        <v>6590</v>
      </c>
      <c r="BR181" s="17">
        <v>6983</v>
      </c>
      <c r="BS181" s="17">
        <v>7337</v>
      </c>
      <c r="BT181" s="17">
        <v>7646</v>
      </c>
      <c r="BU181" s="17">
        <v>7934</v>
      </c>
      <c r="BV181" s="17">
        <v>8172</v>
      </c>
      <c r="BW181" s="17">
        <v>8337</v>
      </c>
      <c r="BX181" s="17">
        <v>8476</v>
      </c>
      <c r="BY181" s="17">
        <v>8578</v>
      </c>
      <c r="BZ181" s="17">
        <v>8641</v>
      </c>
      <c r="CA181" s="17">
        <v>8672</v>
      </c>
      <c r="CB181" s="17">
        <v>8694</v>
      </c>
      <c r="CC181" s="17">
        <v>8730</v>
      </c>
      <c r="CD181" s="17">
        <v>8751</v>
      </c>
      <c r="CE181" s="17">
        <v>8758</v>
      </c>
      <c r="CF181" s="17">
        <v>8760</v>
      </c>
      <c r="CG181" s="17">
        <v>8760</v>
      </c>
      <c r="CH181" s="17">
        <v>8760</v>
      </c>
      <c r="CI181" s="17">
        <v>8760</v>
      </c>
      <c r="CJ181" s="17">
        <v>8760</v>
      </c>
      <c r="CK181" s="17">
        <v>8760</v>
      </c>
      <c r="CL181" s="17">
        <v>8760</v>
      </c>
      <c r="CM181" s="17">
        <v>8760</v>
      </c>
      <c r="CN181" s="17">
        <v>8760</v>
      </c>
      <c r="CO181" s="17">
        <v>8760</v>
      </c>
      <c r="CP181" s="17">
        <v>8760</v>
      </c>
      <c r="CQ181" s="17">
        <v>8760</v>
      </c>
      <c r="CR181" s="17">
        <v>8760</v>
      </c>
      <c r="CS181" s="17">
        <v>8760</v>
      </c>
      <c r="CT181" s="17">
        <v>8760</v>
      </c>
      <c r="CU181" s="17">
        <v>8760</v>
      </c>
      <c r="CV181" s="17">
        <v>8760</v>
      </c>
      <c r="CW181" s="17">
        <v>8760</v>
      </c>
      <c r="CX181" s="17">
        <v>8760</v>
      </c>
      <c r="CY181" s="17">
        <v>8760</v>
      </c>
      <c r="CZ181" s="17">
        <v>8760</v>
      </c>
      <c r="DA181" s="17">
        <v>8760</v>
      </c>
      <c r="DB181" s="17">
        <v>8760</v>
      </c>
    </row>
    <row r="182" spans="1:106" s="17" customFormat="1" x14ac:dyDescent="0.25">
      <c r="A182" s="22" t="s">
        <v>200</v>
      </c>
      <c r="B182" s="17" t="s">
        <v>401</v>
      </c>
    </row>
    <row r="183" spans="1:106" s="17" customFormat="1" x14ac:dyDescent="0.25">
      <c r="A183" s="22" t="s">
        <v>201</v>
      </c>
      <c r="B183" s="17" t="s">
        <v>187</v>
      </c>
      <c r="C183" s="17" t="s">
        <v>438</v>
      </c>
      <c r="D183" s="17" t="s">
        <v>731</v>
      </c>
      <c r="E183" s="17" t="s">
        <v>732</v>
      </c>
      <c r="F183" s="17">
        <v>102303</v>
      </c>
      <c r="G183" s="17">
        <v>0</v>
      </c>
      <c r="H183" s="17">
        <v>0</v>
      </c>
      <c r="I183" s="17">
        <v>0</v>
      </c>
      <c r="J183" s="17">
        <v>0</v>
      </c>
      <c r="K183" s="17">
        <v>0</v>
      </c>
      <c r="L183" s="17">
        <v>0</v>
      </c>
      <c r="M183" s="17">
        <v>0</v>
      </c>
      <c r="N183" s="17">
        <v>0</v>
      </c>
      <c r="O183" s="17">
        <v>0</v>
      </c>
      <c r="P183" s="17">
        <v>0</v>
      </c>
      <c r="Q183" s="17">
        <v>0</v>
      </c>
      <c r="R183" s="17">
        <v>0</v>
      </c>
      <c r="S183" s="17">
        <v>0</v>
      </c>
      <c r="T183" s="17">
        <v>0</v>
      </c>
      <c r="U183" s="17">
        <v>0</v>
      </c>
      <c r="V183" s="17">
        <v>0</v>
      </c>
      <c r="W183" s="17">
        <v>0</v>
      </c>
      <c r="X183" s="17">
        <v>0</v>
      </c>
      <c r="Y183" s="17">
        <v>0</v>
      </c>
      <c r="Z183" s="17">
        <v>0</v>
      </c>
      <c r="AA183" s="17">
        <v>0</v>
      </c>
      <c r="AB183" s="17">
        <v>0</v>
      </c>
      <c r="AC183" s="17">
        <v>0</v>
      </c>
      <c r="AD183" s="17">
        <v>0</v>
      </c>
      <c r="AE183" s="17">
        <v>0</v>
      </c>
      <c r="AF183" s="17">
        <v>0</v>
      </c>
      <c r="AG183" s="17">
        <v>0</v>
      </c>
      <c r="AH183" s="17">
        <v>0</v>
      </c>
      <c r="AI183" s="17">
        <v>0</v>
      </c>
      <c r="AJ183" s="17">
        <v>0</v>
      </c>
      <c r="AK183" s="17">
        <v>0</v>
      </c>
      <c r="AL183" s="17">
        <v>0</v>
      </c>
      <c r="AM183" s="17">
        <v>2</v>
      </c>
      <c r="AN183" s="17">
        <v>5</v>
      </c>
      <c r="AO183" s="17">
        <v>7</v>
      </c>
      <c r="AP183" s="17">
        <v>10</v>
      </c>
      <c r="AQ183" s="17">
        <v>17</v>
      </c>
      <c r="AR183" s="17">
        <v>31</v>
      </c>
      <c r="AS183" s="17">
        <v>47</v>
      </c>
      <c r="AT183" s="17">
        <v>75</v>
      </c>
      <c r="AU183" s="17">
        <v>107</v>
      </c>
      <c r="AV183" s="17">
        <v>156</v>
      </c>
      <c r="AW183" s="17">
        <v>218</v>
      </c>
      <c r="AX183" s="17">
        <v>272</v>
      </c>
      <c r="AY183" s="17">
        <v>346</v>
      </c>
      <c r="AZ183" s="17">
        <v>458</v>
      </c>
      <c r="BA183" s="17">
        <v>609</v>
      </c>
      <c r="BB183" s="17">
        <v>798</v>
      </c>
      <c r="BC183" s="17">
        <v>1004</v>
      </c>
      <c r="BD183" s="17">
        <v>1329</v>
      </c>
      <c r="BE183" s="17">
        <v>1844</v>
      </c>
      <c r="BF183" s="17">
        <v>2287</v>
      </c>
      <c r="BG183" s="17">
        <v>2730</v>
      </c>
      <c r="BH183" s="17">
        <v>3204</v>
      </c>
      <c r="BI183" s="17">
        <v>3627</v>
      </c>
      <c r="BJ183" s="17">
        <v>4041</v>
      </c>
      <c r="BK183" s="17">
        <v>4392</v>
      </c>
      <c r="BL183" s="17">
        <v>4692</v>
      </c>
      <c r="BM183" s="17">
        <v>4982</v>
      </c>
      <c r="BN183" s="17">
        <v>5315</v>
      </c>
      <c r="BO183" s="17">
        <v>5698</v>
      </c>
      <c r="BP183" s="17">
        <v>6139</v>
      </c>
      <c r="BQ183" s="17">
        <v>6530</v>
      </c>
      <c r="BR183" s="17">
        <v>6887</v>
      </c>
      <c r="BS183" s="17">
        <v>7233</v>
      </c>
      <c r="BT183" s="17">
        <v>7556</v>
      </c>
      <c r="BU183" s="17">
        <v>7819</v>
      </c>
      <c r="BV183" s="17">
        <v>8057</v>
      </c>
      <c r="BW183" s="17">
        <v>8225</v>
      </c>
      <c r="BX183" s="17">
        <v>8355</v>
      </c>
      <c r="BY183" s="17">
        <v>8452</v>
      </c>
      <c r="BZ183" s="17">
        <v>8541</v>
      </c>
      <c r="CA183" s="17">
        <v>8598</v>
      </c>
      <c r="CB183" s="17">
        <v>8655</v>
      </c>
      <c r="CC183" s="17">
        <v>8692</v>
      </c>
      <c r="CD183" s="17">
        <v>8709</v>
      </c>
      <c r="CE183" s="17">
        <v>8724</v>
      </c>
      <c r="CF183" s="17">
        <v>8735</v>
      </c>
      <c r="CG183" s="17">
        <v>8747</v>
      </c>
      <c r="CH183" s="17">
        <v>8755</v>
      </c>
      <c r="CI183" s="17">
        <v>8759</v>
      </c>
      <c r="CJ183" s="17">
        <v>8760</v>
      </c>
      <c r="CK183" s="17">
        <v>8760</v>
      </c>
      <c r="CL183" s="17">
        <v>8760</v>
      </c>
      <c r="CM183" s="17">
        <v>8760</v>
      </c>
      <c r="CN183" s="17">
        <v>8760</v>
      </c>
      <c r="CO183" s="17">
        <v>8760</v>
      </c>
      <c r="CP183" s="17">
        <v>8760</v>
      </c>
      <c r="CQ183" s="17">
        <v>8760</v>
      </c>
      <c r="CR183" s="17">
        <v>8760</v>
      </c>
      <c r="CS183" s="17">
        <v>8760</v>
      </c>
      <c r="CT183" s="17">
        <v>8760</v>
      </c>
      <c r="CU183" s="17">
        <v>8760</v>
      </c>
      <c r="CV183" s="17">
        <v>8760</v>
      </c>
      <c r="CW183" s="17">
        <v>8760</v>
      </c>
      <c r="CX183" s="17">
        <v>8760</v>
      </c>
      <c r="CY183" s="17">
        <v>8760</v>
      </c>
      <c r="CZ183" s="17">
        <v>8760</v>
      </c>
      <c r="DA183" s="17">
        <v>8760</v>
      </c>
      <c r="DB183" s="17">
        <v>8760</v>
      </c>
    </row>
    <row r="184" spans="1:106" s="17" customFormat="1" x14ac:dyDescent="0.25">
      <c r="A184" s="22" t="s">
        <v>202</v>
      </c>
      <c r="B184" s="17" t="s">
        <v>189</v>
      </c>
      <c r="C184" s="17" t="s">
        <v>438</v>
      </c>
      <c r="D184" s="17" t="s">
        <v>733</v>
      </c>
      <c r="E184" s="17" t="s">
        <v>734</v>
      </c>
      <c r="F184" s="17">
        <v>102220</v>
      </c>
      <c r="G184" s="17">
        <v>0</v>
      </c>
      <c r="H184" s="17">
        <v>0</v>
      </c>
      <c r="I184" s="17">
        <v>0</v>
      </c>
      <c r="J184" s="17">
        <v>0</v>
      </c>
      <c r="K184" s="17">
        <v>0</v>
      </c>
      <c r="L184" s="17">
        <v>0</v>
      </c>
      <c r="M184" s="17">
        <v>0</v>
      </c>
      <c r="N184" s="17">
        <v>0</v>
      </c>
      <c r="O184" s="17">
        <v>0</v>
      </c>
      <c r="P184" s="17">
        <v>0</v>
      </c>
      <c r="Q184" s="17">
        <v>0</v>
      </c>
      <c r="R184" s="17">
        <v>0</v>
      </c>
      <c r="S184" s="17">
        <v>0</v>
      </c>
      <c r="T184" s="17">
        <v>0</v>
      </c>
      <c r="U184" s="17">
        <v>0</v>
      </c>
      <c r="V184" s="17">
        <v>0</v>
      </c>
      <c r="W184" s="17">
        <v>0</v>
      </c>
      <c r="X184" s="17">
        <v>0</v>
      </c>
      <c r="Y184" s="17">
        <v>0</v>
      </c>
      <c r="Z184" s="17">
        <v>0</v>
      </c>
      <c r="AA184" s="17">
        <v>0</v>
      </c>
      <c r="AB184" s="17">
        <v>0</v>
      </c>
      <c r="AC184" s="17">
        <v>0</v>
      </c>
      <c r="AD184" s="17">
        <v>0</v>
      </c>
      <c r="AE184" s="17">
        <v>0</v>
      </c>
      <c r="AF184" s="17">
        <v>0</v>
      </c>
      <c r="AG184" s="17">
        <v>0</v>
      </c>
      <c r="AH184" s="17">
        <v>0</v>
      </c>
      <c r="AI184" s="17">
        <v>0</v>
      </c>
      <c r="AJ184" s="17">
        <v>0</v>
      </c>
      <c r="AK184" s="17">
        <v>0</v>
      </c>
      <c r="AL184" s="17">
        <v>0</v>
      </c>
      <c r="AM184" s="17">
        <v>0</v>
      </c>
      <c r="AN184" s="17">
        <v>1</v>
      </c>
      <c r="AO184" s="17">
        <v>5</v>
      </c>
      <c r="AP184" s="17">
        <v>8</v>
      </c>
      <c r="AQ184" s="17">
        <v>12</v>
      </c>
      <c r="AR184" s="17">
        <v>17</v>
      </c>
      <c r="AS184" s="17">
        <v>23</v>
      </c>
      <c r="AT184" s="17">
        <v>36</v>
      </c>
      <c r="AU184" s="17">
        <v>59</v>
      </c>
      <c r="AV184" s="17">
        <v>89</v>
      </c>
      <c r="AW184" s="17">
        <v>145</v>
      </c>
      <c r="AX184" s="17">
        <v>237</v>
      </c>
      <c r="AY184" s="17">
        <v>357</v>
      </c>
      <c r="AZ184" s="17">
        <v>523</v>
      </c>
      <c r="BA184" s="17">
        <v>712</v>
      </c>
      <c r="BB184" s="17">
        <v>962</v>
      </c>
      <c r="BC184" s="17">
        <v>1249</v>
      </c>
      <c r="BD184" s="17">
        <v>1562</v>
      </c>
      <c r="BE184" s="17">
        <v>1977</v>
      </c>
      <c r="BF184" s="17">
        <v>2439</v>
      </c>
      <c r="BG184" s="17">
        <v>2826</v>
      </c>
      <c r="BH184" s="17">
        <v>3253</v>
      </c>
      <c r="BI184" s="17">
        <v>3649</v>
      </c>
      <c r="BJ184" s="17">
        <v>4011</v>
      </c>
      <c r="BK184" s="17">
        <v>4403</v>
      </c>
      <c r="BL184" s="17">
        <v>4734</v>
      </c>
      <c r="BM184" s="17">
        <v>5127</v>
      </c>
      <c r="BN184" s="17">
        <v>5567</v>
      </c>
      <c r="BO184" s="17">
        <v>6004</v>
      </c>
      <c r="BP184" s="17">
        <v>6393</v>
      </c>
      <c r="BQ184" s="17">
        <v>6778</v>
      </c>
      <c r="BR184" s="17">
        <v>7124</v>
      </c>
      <c r="BS184" s="17">
        <v>7440</v>
      </c>
      <c r="BT184" s="17">
        <v>7733</v>
      </c>
      <c r="BU184" s="17">
        <v>7946</v>
      </c>
      <c r="BV184" s="17">
        <v>8127</v>
      </c>
      <c r="BW184" s="17">
        <v>8282</v>
      </c>
      <c r="BX184" s="17">
        <v>8429</v>
      </c>
      <c r="BY184" s="17">
        <v>8547</v>
      </c>
      <c r="BZ184" s="17">
        <v>8614</v>
      </c>
      <c r="CA184" s="17">
        <v>8665</v>
      </c>
      <c r="CB184" s="17">
        <v>8705</v>
      </c>
      <c r="CC184" s="17">
        <v>8732</v>
      </c>
      <c r="CD184" s="17">
        <v>8748</v>
      </c>
      <c r="CE184" s="17">
        <v>8758</v>
      </c>
      <c r="CF184" s="17">
        <v>8760</v>
      </c>
      <c r="CG184" s="17">
        <v>8760</v>
      </c>
      <c r="CH184" s="17">
        <v>8760</v>
      </c>
      <c r="CI184" s="17">
        <v>8760</v>
      </c>
      <c r="CJ184" s="17">
        <v>8760</v>
      </c>
      <c r="CK184" s="17">
        <v>8760</v>
      </c>
      <c r="CL184" s="17">
        <v>8760</v>
      </c>
      <c r="CM184" s="17">
        <v>8760</v>
      </c>
      <c r="CN184" s="17">
        <v>8760</v>
      </c>
      <c r="CO184" s="17">
        <v>8760</v>
      </c>
      <c r="CP184" s="17">
        <v>8760</v>
      </c>
      <c r="CQ184" s="17">
        <v>8760</v>
      </c>
      <c r="CR184" s="17">
        <v>8760</v>
      </c>
      <c r="CS184" s="17">
        <v>8760</v>
      </c>
      <c r="CT184" s="17">
        <v>8760</v>
      </c>
      <c r="CU184" s="17">
        <v>8760</v>
      </c>
      <c r="CV184" s="17">
        <v>8760</v>
      </c>
      <c r="CW184" s="17">
        <v>8760</v>
      </c>
      <c r="CX184" s="17">
        <v>8760</v>
      </c>
      <c r="CY184" s="17">
        <v>8760</v>
      </c>
      <c r="CZ184" s="17">
        <v>8760</v>
      </c>
      <c r="DA184" s="17">
        <v>8760</v>
      </c>
      <c r="DB184" s="17">
        <v>8760</v>
      </c>
    </row>
    <row r="185" spans="1:106" s="17" customFormat="1" x14ac:dyDescent="0.25">
      <c r="A185" s="22" t="s">
        <v>203</v>
      </c>
      <c r="B185" s="17" t="s">
        <v>190</v>
      </c>
      <c r="C185" s="17" t="s">
        <v>438</v>
      </c>
      <c r="D185" s="17" t="s">
        <v>735</v>
      </c>
      <c r="E185" s="17" t="s">
        <v>736</v>
      </c>
      <c r="F185" s="17">
        <v>102402</v>
      </c>
      <c r="G185" s="17">
        <v>0</v>
      </c>
      <c r="H185" s="17">
        <v>0</v>
      </c>
      <c r="I185" s="17">
        <v>0</v>
      </c>
      <c r="J185" s="17">
        <v>0</v>
      </c>
      <c r="K185" s="17">
        <v>0</v>
      </c>
      <c r="L185" s="17">
        <v>0</v>
      </c>
      <c r="M185" s="17">
        <v>0</v>
      </c>
      <c r="N185" s="17">
        <v>0</v>
      </c>
      <c r="O185" s="17">
        <v>0</v>
      </c>
      <c r="P185" s="17">
        <v>0</v>
      </c>
      <c r="Q185" s="17">
        <v>0</v>
      </c>
      <c r="R185" s="17">
        <v>0</v>
      </c>
      <c r="S185" s="17">
        <v>0</v>
      </c>
      <c r="T185" s="17">
        <v>0</v>
      </c>
      <c r="U185" s="17">
        <v>0</v>
      </c>
      <c r="V185" s="17">
        <v>0</v>
      </c>
      <c r="W185" s="17">
        <v>0</v>
      </c>
      <c r="X185" s="17">
        <v>0</v>
      </c>
      <c r="Y185" s="17">
        <v>0</v>
      </c>
      <c r="Z185" s="17">
        <v>0</v>
      </c>
      <c r="AA185" s="17">
        <v>0</v>
      </c>
      <c r="AB185" s="17">
        <v>0</v>
      </c>
      <c r="AC185" s="17">
        <v>0</v>
      </c>
      <c r="AD185" s="17">
        <v>0</v>
      </c>
      <c r="AE185" s="17">
        <v>0</v>
      </c>
      <c r="AF185" s="17">
        <v>0</v>
      </c>
      <c r="AG185" s="17">
        <v>0</v>
      </c>
      <c r="AH185" s="17">
        <v>0</v>
      </c>
      <c r="AI185" s="17">
        <v>0</v>
      </c>
      <c r="AJ185" s="17">
        <v>0</v>
      </c>
      <c r="AK185" s="17">
        <v>0</v>
      </c>
      <c r="AL185" s="17">
        <v>0</v>
      </c>
      <c r="AM185" s="17">
        <v>0</v>
      </c>
      <c r="AN185" s="17">
        <v>7</v>
      </c>
      <c r="AO185" s="17">
        <v>16</v>
      </c>
      <c r="AP185" s="17">
        <v>22</v>
      </c>
      <c r="AQ185" s="17">
        <v>31</v>
      </c>
      <c r="AR185" s="17">
        <v>82</v>
      </c>
      <c r="AS185" s="17">
        <v>133</v>
      </c>
      <c r="AT185" s="17">
        <v>181</v>
      </c>
      <c r="AU185" s="17">
        <v>250</v>
      </c>
      <c r="AV185" s="17">
        <v>316</v>
      </c>
      <c r="AW185" s="17">
        <v>386</v>
      </c>
      <c r="AX185" s="17">
        <v>481</v>
      </c>
      <c r="AY185" s="17">
        <v>616</v>
      </c>
      <c r="AZ185" s="17">
        <v>830</v>
      </c>
      <c r="BA185" s="17">
        <v>1081</v>
      </c>
      <c r="BB185" s="17">
        <v>1343</v>
      </c>
      <c r="BC185" s="17">
        <v>1642</v>
      </c>
      <c r="BD185" s="17">
        <v>1927</v>
      </c>
      <c r="BE185" s="17">
        <v>2348</v>
      </c>
      <c r="BF185" s="17">
        <v>2729</v>
      </c>
      <c r="BG185" s="17">
        <v>3042</v>
      </c>
      <c r="BH185" s="17">
        <v>3354</v>
      </c>
      <c r="BI185" s="17">
        <v>3699</v>
      </c>
      <c r="BJ185" s="17">
        <v>4122</v>
      </c>
      <c r="BK185" s="17">
        <v>4482</v>
      </c>
      <c r="BL185" s="17">
        <v>4836</v>
      </c>
      <c r="BM185" s="17">
        <v>5204</v>
      </c>
      <c r="BN185" s="17">
        <v>5539</v>
      </c>
      <c r="BO185" s="17">
        <v>5888</v>
      </c>
      <c r="BP185" s="17">
        <v>6252</v>
      </c>
      <c r="BQ185" s="17">
        <v>6616</v>
      </c>
      <c r="BR185" s="17">
        <v>6969</v>
      </c>
      <c r="BS185" s="17">
        <v>7284</v>
      </c>
      <c r="BT185" s="17">
        <v>7593</v>
      </c>
      <c r="BU185" s="17">
        <v>7834</v>
      </c>
      <c r="BV185" s="17">
        <v>8091</v>
      </c>
      <c r="BW185" s="17">
        <v>8266</v>
      </c>
      <c r="BX185" s="17">
        <v>8387</v>
      </c>
      <c r="BY185" s="17">
        <v>8512</v>
      </c>
      <c r="BZ185" s="17">
        <v>8589</v>
      </c>
      <c r="CA185" s="17">
        <v>8636</v>
      </c>
      <c r="CB185" s="17">
        <v>8674</v>
      </c>
      <c r="CC185" s="17">
        <v>8702</v>
      </c>
      <c r="CD185" s="17">
        <v>8730</v>
      </c>
      <c r="CE185" s="17">
        <v>8744</v>
      </c>
      <c r="CF185" s="17">
        <v>8752</v>
      </c>
      <c r="CG185" s="17">
        <v>8756</v>
      </c>
      <c r="CH185" s="17">
        <v>8760</v>
      </c>
      <c r="CI185" s="17">
        <v>8760</v>
      </c>
      <c r="CJ185" s="17">
        <v>8760</v>
      </c>
      <c r="CK185" s="17">
        <v>8760</v>
      </c>
      <c r="CL185" s="17">
        <v>8760</v>
      </c>
      <c r="CM185" s="17">
        <v>8760</v>
      </c>
      <c r="CN185" s="17">
        <v>8760</v>
      </c>
      <c r="CO185" s="17">
        <v>8760</v>
      </c>
      <c r="CP185" s="17">
        <v>8760</v>
      </c>
      <c r="CQ185" s="17">
        <v>8760</v>
      </c>
      <c r="CR185" s="17">
        <v>8760</v>
      </c>
      <c r="CS185" s="17">
        <v>8760</v>
      </c>
      <c r="CT185" s="17">
        <v>8760</v>
      </c>
      <c r="CU185" s="17">
        <v>8760</v>
      </c>
      <c r="CV185" s="17">
        <v>8760</v>
      </c>
      <c r="CW185" s="17">
        <v>8760</v>
      </c>
      <c r="CX185" s="17">
        <v>8760</v>
      </c>
      <c r="CY185" s="17">
        <v>8760</v>
      </c>
      <c r="CZ185" s="17">
        <v>8760</v>
      </c>
      <c r="DA185" s="17">
        <v>8760</v>
      </c>
      <c r="DB185" s="17">
        <v>8760</v>
      </c>
    </row>
    <row r="186" spans="1:106" s="17" customFormat="1" x14ac:dyDescent="0.25">
      <c r="A186" s="22" t="s">
        <v>204</v>
      </c>
      <c r="B186" s="17" t="s">
        <v>193</v>
      </c>
      <c r="C186" s="17" t="s">
        <v>438</v>
      </c>
      <c r="D186" s="17" t="s">
        <v>737</v>
      </c>
      <c r="E186" s="17" t="s">
        <v>738</v>
      </c>
      <c r="F186" s="17">
        <v>102716</v>
      </c>
      <c r="G186" s="17">
        <v>0</v>
      </c>
      <c r="H186" s="17">
        <v>0</v>
      </c>
      <c r="I186" s="17">
        <v>0</v>
      </c>
      <c r="J186" s="17">
        <v>0</v>
      </c>
      <c r="K186" s="17">
        <v>0</v>
      </c>
      <c r="L186" s="17">
        <v>0</v>
      </c>
      <c r="M186" s="17">
        <v>0</v>
      </c>
      <c r="N186" s="17">
        <v>0</v>
      </c>
      <c r="O186" s="17">
        <v>0</v>
      </c>
      <c r="P186" s="17">
        <v>0</v>
      </c>
      <c r="Q186" s="17">
        <v>0</v>
      </c>
      <c r="R186" s="17">
        <v>0</v>
      </c>
      <c r="S186" s="17">
        <v>0</v>
      </c>
      <c r="T186" s="17">
        <v>0</v>
      </c>
      <c r="U186" s="17">
        <v>0</v>
      </c>
      <c r="V186" s="17">
        <v>0</v>
      </c>
      <c r="W186" s="17">
        <v>0</v>
      </c>
      <c r="X186" s="17">
        <v>0</v>
      </c>
      <c r="Y186" s="17">
        <v>0</v>
      </c>
      <c r="Z186" s="17">
        <v>0</v>
      </c>
      <c r="AA186" s="17">
        <v>0</v>
      </c>
      <c r="AB186" s="17">
        <v>0</v>
      </c>
      <c r="AC186" s="17">
        <v>1</v>
      </c>
      <c r="AD186" s="17">
        <v>4</v>
      </c>
      <c r="AE186" s="17">
        <v>12</v>
      </c>
      <c r="AF186" s="17">
        <v>19</v>
      </c>
      <c r="AG186" s="17">
        <v>32</v>
      </c>
      <c r="AH186" s="17">
        <v>43</v>
      </c>
      <c r="AI186" s="17">
        <v>60</v>
      </c>
      <c r="AJ186" s="17">
        <v>91</v>
      </c>
      <c r="AK186" s="17">
        <v>117</v>
      </c>
      <c r="AL186" s="17">
        <v>149</v>
      </c>
      <c r="AM186" s="17">
        <v>187</v>
      </c>
      <c r="AN186" s="17">
        <v>214</v>
      </c>
      <c r="AO186" s="17">
        <v>266</v>
      </c>
      <c r="AP186" s="17">
        <v>334</v>
      </c>
      <c r="AQ186" s="17">
        <v>434</v>
      </c>
      <c r="AR186" s="17">
        <v>551</v>
      </c>
      <c r="AS186" s="17">
        <v>639</v>
      </c>
      <c r="AT186" s="17">
        <v>725</v>
      </c>
      <c r="AU186" s="17">
        <v>816</v>
      </c>
      <c r="AV186" s="17">
        <v>937</v>
      </c>
      <c r="AW186" s="17">
        <v>1051</v>
      </c>
      <c r="AX186" s="17">
        <v>1190</v>
      </c>
      <c r="AY186" s="17">
        <v>1347</v>
      </c>
      <c r="AZ186" s="17">
        <v>1611</v>
      </c>
      <c r="BA186" s="17">
        <v>1865</v>
      </c>
      <c r="BB186" s="17">
        <v>2145</v>
      </c>
      <c r="BC186" s="17">
        <v>2451</v>
      </c>
      <c r="BD186" s="17">
        <v>2784</v>
      </c>
      <c r="BE186" s="17">
        <v>3187</v>
      </c>
      <c r="BF186" s="17">
        <v>3541</v>
      </c>
      <c r="BG186" s="17">
        <v>3853</v>
      </c>
      <c r="BH186" s="17">
        <v>4239</v>
      </c>
      <c r="BI186" s="17">
        <v>4555</v>
      </c>
      <c r="BJ186" s="17">
        <v>4852</v>
      </c>
      <c r="BK186" s="17">
        <v>5127</v>
      </c>
      <c r="BL186" s="17">
        <v>5449</v>
      </c>
      <c r="BM186" s="17">
        <v>5759</v>
      </c>
      <c r="BN186" s="17">
        <v>6088</v>
      </c>
      <c r="BO186" s="17">
        <v>6427</v>
      </c>
      <c r="BP186" s="17">
        <v>6767</v>
      </c>
      <c r="BQ186" s="17">
        <v>7055</v>
      </c>
      <c r="BR186" s="17">
        <v>7352</v>
      </c>
      <c r="BS186" s="17">
        <v>7610</v>
      </c>
      <c r="BT186" s="17">
        <v>7866</v>
      </c>
      <c r="BU186" s="17">
        <v>8078</v>
      </c>
      <c r="BV186" s="17">
        <v>8229</v>
      </c>
      <c r="BW186" s="17">
        <v>8373</v>
      </c>
      <c r="BX186" s="17">
        <v>8501</v>
      </c>
      <c r="BY186" s="17">
        <v>8561</v>
      </c>
      <c r="BZ186" s="17">
        <v>8609</v>
      </c>
      <c r="CA186" s="17">
        <v>8663</v>
      </c>
      <c r="CB186" s="17">
        <v>8701</v>
      </c>
      <c r="CC186" s="17">
        <v>8725</v>
      </c>
      <c r="CD186" s="17">
        <v>8749</v>
      </c>
      <c r="CE186" s="17">
        <v>8760</v>
      </c>
      <c r="CF186" s="17">
        <v>8760</v>
      </c>
      <c r="CG186" s="17">
        <v>8760</v>
      </c>
      <c r="CH186" s="17">
        <v>8760</v>
      </c>
      <c r="CI186" s="17">
        <v>8760</v>
      </c>
      <c r="CJ186" s="17">
        <v>8760</v>
      </c>
      <c r="CK186" s="17">
        <v>8760</v>
      </c>
      <c r="CL186" s="17">
        <v>8760</v>
      </c>
      <c r="CM186" s="17">
        <v>8760</v>
      </c>
      <c r="CN186" s="17">
        <v>8760</v>
      </c>
      <c r="CO186" s="17">
        <v>8760</v>
      </c>
      <c r="CP186" s="17">
        <v>8760</v>
      </c>
      <c r="CQ186" s="17">
        <v>8760</v>
      </c>
      <c r="CR186" s="17">
        <v>8760</v>
      </c>
      <c r="CS186" s="17">
        <v>8760</v>
      </c>
      <c r="CT186" s="17">
        <v>8760</v>
      </c>
      <c r="CU186" s="17">
        <v>8760</v>
      </c>
      <c r="CV186" s="17">
        <v>8760</v>
      </c>
      <c r="CW186" s="17">
        <v>8760</v>
      </c>
      <c r="CX186" s="17">
        <v>8760</v>
      </c>
      <c r="CY186" s="17">
        <v>8760</v>
      </c>
      <c r="CZ186" s="17">
        <v>8760</v>
      </c>
      <c r="DA186" s="17">
        <v>8760</v>
      </c>
      <c r="DB186" s="17">
        <v>8760</v>
      </c>
    </row>
    <row r="187" spans="1:106" s="17" customFormat="1" x14ac:dyDescent="0.25">
      <c r="A187" s="22" t="s">
        <v>205</v>
      </c>
      <c r="B187" s="17" t="s">
        <v>195</v>
      </c>
      <c r="C187" s="17" t="s">
        <v>438</v>
      </c>
      <c r="D187" s="17" t="s">
        <v>739</v>
      </c>
      <c r="E187" s="17" t="s">
        <v>740</v>
      </c>
      <c r="F187" s="17">
        <v>102407</v>
      </c>
      <c r="G187" s="17">
        <v>0</v>
      </c>
      <c r="H187" s="17">
        <v>0</v>
      </c>
      <c r="I187" s="17">
        <v>0</v>
      </c>
      <c r="J187" s="17">
        <v>0</v>
      </c>
      <c r="K187" s="17">
        <v>0</v>
      </c>
      <c r="L187" s="17">
        <v>0</v>
      </c>
      <c r="M187" s="17">
        <v>0</v>
      </c>
      <c r="N187" s="17">
        <v>0</v>
      </c>
      <c r="O187" s="17">
        <v>0</v>
      </c>
      <c r="P187" s="17">
        <v>0</v>
      </c>
      <c r="Q187" s="17">
        <v>0</v>
      </c>
      <c r="R187" s="17">
        <v>0</v>
      </c>
      <c r="S187" s="17">
        <v>0</v>
      </c>
      <c r="T187" s="17">
        <v>0</v>
      </c>
      <c r="U187" s="17">
        <v>0</v>
      </c>
      <c r="V187" s="17">
        <v>0</v>
      </c>
      <c r="W187" s="17">
        <v>0</v>
      </c>
      <c r="X187" s="17">
        <v>0</v>
      </c>
      <c r="Y187" s="17">
        <v>0</v>
      </c>
      <c r="Z187" s="17">
        <v>0</v>
      </c>
      <c r="AA187" s="17">
        <v>0</v>
      </c>
      <c r="AB187" s="17">
        <v>0</v>
      </c>
      <c r="AC187" s="17">
        <v>0</v>
      </c>
      <c r="AD187" s="17">
        <v>0</v>
      </c>
      <c r="AE187" s="17">
        <v>0</v>
      </c>
      <c r="AF187" s="17">
        <v>0</v>
      </c>
      <c r="AG187" s="17">
        <v>0</v>
      </c>
      <c r="AH187" s="17">
        <v>0</v>
      </c>
      <c r="AI187" s="17">
        <v>0</v>
      </c>
      <c r="AJ187" s="17">
        <v>0</v>
      </c>
      <c r="AK187" s="17">
        <v>0</v>
      </c>
      <c r="AL187" s="17">
        <v>0</v>
      </c>
      <c r="AM187" s="17">
        <v>0</v>
      </c>
      <c r="AN187" s="17">
        <v>0</v>
      </c>
      <c r="AO187" s="17">
        <v>0</v>
      </c>
      <c r="AP187" s="17">
        <v>0</v>
      </c>
      <c r="AQ187" s="17">
        <v>0</v>
      </c>
      <c r="AR187" s="17">
        <v>3</v>
      </c>
      <c r="AS187" s="17">
        <v>13</v>
      </c>
      <c r="AT187" s="17">
        <v>23</v>
      </c>
      <c r="AU187" s="17">
        <v>57</v>
      </c>
      <c r="AV187" s="17">
        <v>87</v>
      </c>
      <c r="AW187" s="17">
        <v>138</v>
      </c>
      <c r="AX187" s="17">
        <v>231</v>
      </c>
      <c r="AY187" s="17">
        <v>361</v>
      </c>
      <c r="AZ187" s="17">
        <v>537</v>
      </c>
      <c r="BA187" s="17">
        <v>763</v>
      </c>
      <c r="BB187" s="17">
        <v>1004</v>
      </c>
      <c r="BC187" s="17">
        <v>1251</v>
      </c>
      <c r="BD187" s="17">
        <v>1584</v>
      </c>
      <c r="BE187" s="17">
        <v>2041</v>
      </c>
      <c r="BF187" s="17">
        <v>2513</v>
      </c>
      <c r="BG187" s="17">
        <v>2949</v>
      </c>
      <c r="BH187" s="17">
        <v>3375</v>
      </c>
      <c r="BI187" s="17">
        <v>3843</v>
      </c>
      <c r="BJ187" s="17">
        <v>4177</v>
      </c>
      <c r="BK187" s="17">
        <v>4574</v>
      </c>
      <c r="BL187" s="17">
        <v>4925</v>
      </c>
      <c r="BM187" s="17">
        <v>5213</v>
      </c>
      <c r="BN187" s="17">
        <v>5549</v>
      </c>
      <c r="BO187" s="17">
        <v>5942</v>
      </c>
      <c r="BP187" s="17">
        <v>6317</v>
      </c>
      <c r="BQ187" s="17">
        <v>6730</v>
      </c>
      <c r="BR187" s="17">
        <v>7073</v>
      </c>
      <c r="BS187" s="17">
        <v>7390</v>
      </c>
      <c r="BT187" s="17">
        <v>7673</v>
      </c>
      <c r="BU187" s="17">
        <v>7928</v>
      </c>
      <c r="BV187" s="17">
        <v>8127</v>
      </c>
      <c r="BW187" s="17">
        <v>8296</v>
      </c>
      <c r="BX187" s="17">
        <v>8441</v>
      </c>
      <c r="BY187" s="17">
        <v>8536</v>
      </c>
      <c r="BZ187" s="17">
        <v>8611</v>
      </c>
      <c r="CA187" s="17">
        <v>8667</v>
      </c>
      <c r="CB187" s="17">
        <v>8702</v>
      </c>
      <c r="CC187" s="17">
        <v>8729</v>
      </c>
      <c r="CD187" s="17">
        <v>8744</v>
      </c>
      <c r="CE187" s="17">
        <v>8752</v>
      </c>
      <c r="CF187" s="17">
        <v>8754</v>
      </c>
      <c r="CG187" s="17">
        <v>8758</v>
      </c>
      <c r="CH187" s="17">
        <v>8760</v>
      </c>
      <c r="CI187" s="17">
        <v>8760</v>
      </c>
      <c r="CJ187" s="17">
        <v>8760</v>
      </c>
      <c r="CK187" s="17">
        <v>8760</v>
      </c>
      <c r="CL187" s="17">
        <v>8760</v>
      </c>
      <c r="CM187" s="17">
        <v>8760</v>
      </c>
      <c r="CN187" s="17">
        <v>8760</v>
      </c>
      <c r="CO187" s="17">
        <v>8760</v>
      </c>
      <c r="CP187" s="17">
        <v>8760</v>
      </c>
      <c r="CQ187" s="17">
        <v>8760</v>
      </c>
      <c r="CR187" s="17">
        <v>8760</v>
      </c>
      <c r="CS187" s="17">
        <v>8760</v>
      </c>
      <c r="CT187" s="17">
        <v>8760</v>
      </c>
      <c r="CU187" s="17">
        <v>8760</v>
      </c>
      <c r="CV187" s="17">
        <v>8760</v>
      </c>
      <c r="CW187" s="17">
        <v>8760</v>
      </c>
      <c r="CX187" s="17">
        <v>8760</v>
      </c>
      <c r="CY187" s="17">
        <v>8760</v>
      </c>
      <c r="CZ187" s="17">
        <v>8760</v>
      </c>
      <c r="DA187" s="17">
        <v>8760</v>
      </c>
      <c r="DB187" s="17">
        <v>8760</v>
      </c>
    </row>
    <row r="188" spans="1:106" s="17" customFormat="1" x14ac:dyDescent="0.25">
      <c r="A188" s="22" t="s">
        <v>206</v>
      </c>
      <c r="B188" s="17" t="s">
        <v>402</v>
      </c>
      <c r="C188" s="17" t="s">
        <v>438</v>
      </c>
      <c r="D188" s="17" t="s">
        <v>741</v>
      </c>
      <c r="E188" s="17" t="s">
        <v>742</v>
      </c>
      <c r="F188" s="17">
        <v>102342</v>
      </c>
      <c r="G188" s="17">
        <v>0</v>
      </c>
      <c r="H188" s="17">
        <v>0</v>
      </c>
      <c r="I188" s="17">
        <v>0</v>
      </c>
      <c r="J188" s="17">
        <v>0</v>
      </c>
      <c r="K188" s="17">
        <v>0</v>
      </c>
      <c r="L188" s="17">
        <v>0</v>
      </c>
      <c r="M188" s="17">
        <v>0</v>
      </c>
      <c r="N188" s="17">
        <v>0</v>
      </c>
      <c r="O188" s="17">
        <v>0</v>
      </c>
      <c r="P188" s="17">
        <v>0</v>
      </c>
      <c r="Q188" s="17">
        <v>0</v>
      </c>
      <c r="R188" s="17">
        <v>0</v>
      </c>
      <c r="S188" s="17">
        <v>0</v>
      </c>
      <c r="T188" s="17">
        <v>0</v>
      </c>
      <c r="U188" s="17">
        <v>0</v>
      </c>
      <c r="V188" s="17">
        <v>0</v>
      </c>
      <c r="W188" s="17">
        <v>0</v>
      </c>
      <c r="X188" s="17">
        <v>0</v>
      </c>
      <c r="Y188" s="17">
        <v>0</v>
      </c>
      <c r="Z188" s="17">
        <v>0</v>
      </c>
      <c r="AA188" s="17">
        <v>0</v>
      </c>
      <c r="AB188" s="17">
        <v>0</v>
      </c>
      <c r="AC188" s="17">
        <v>0</v>
      </c>
      <c r="AD188" s="17">
        <v>0</v>
      </c>
      <c r="AE188" s="17">
        <v>0</v>
      </c>
      <c r="AF188" s="17">
        <v>0</v>
      </c>
      <c r="AG188" s="17">
        <v>0</v>
      </c>
      <c r="AH188" s="17">
        <v>0</v>
      </c>
      <c r="AI188" s="17">
        <v>0</v>
      </c>
      <c r="AJ188" s="17">
        <v>0</v>
      </c>
      <c r="AK188" s="17">
        <v>0</v>
      </c>
      <c r="AL188" s="17">
        <v>0</v>
      </c>
      <c r="AM188" s="17">
        <v>0</v>
      </c>
      <c r="AN188" s="17">
        <v>5</v>
      </c>
      <c r="AO188" s="17">
        <v>14</v>
      </c>
      <c r="AP188" s="17">
        <v>27</v>
      </c>
      <c r="AQ188" s="17">
        <v>46</v>
      </c>
      <c r="AR188" s="17">
        <v>60</v>
      </c>
      <c r="AS188" s="17">
        <v>69</v>
      </c>
      <c r="AT188" s="17">
        <v>93</v>
      </c>
      <c r="AU188" s="17">
        <v>127</v>
      </c>
      <c r="AV188" s="17">
        <v>195</v>
      </c>
      <c r="AW188" s="17">
        <v>307</v>
      </c>
      <c r="AX188" s="17">
        <v>425</v>
      </c>
      <c r="AY188" s="17">
        <v>581</v>
      </c>
      <c r="AZ188" s="17">
        <v>776</v>
      </c>
      <c r="BA188" s="17">
        <v>963</v>
      </c>
      <c r="BB188" s="17">
        <v>1205</v>
      </c>
      <c r="BC188" s="17">
        <v>1551</v>
      </c>
      <c r="BD188" s="17">
        <v>1960</v>
      </c>
      <c r="BE188" s="17">
        <v>2397</v>
      </c>
      <c r="BF188" s="17">
        <v>2869</v>
      </c>
      <c r="BG188" s="17">
        <v>3362</v>
      </c>
      <c r="BH188" s="17">
        <v>3798</v>
      </c>
      <c r="BI188" s="17">
        <v>4241</v>
      </c>
      <c r="BJ188" s="17">
        <v>4616</v>
      </c>
      <c r="BK188" s="17">
        <v>4897</v>
      </c>
      <c r="BL188" s="17">
        <v>5179</v>
      </c>
      <c r="BM188" s="17">
        <v>5498</v>
      </c>
      <c r="BN188" s="17">
        <v>5884</v>
      </c>
      <c r="BO188" s="17">
        <v>6228</v>
      </c>
      <c r="BP188" s="17">
        <v>6587</v>
      </c>
      <c r="BQ188" s="17">
        <v>6944</v>
      </c>
      <c r="BR188" s="17">
        <v>7277</v>
      </c>
      <c r="BS188" s="17">
        <v>7579</v>
      </c>
      <c r="BT188" s="17">
        <v>7828</v>
      </c>
      <c r="BU188" s="17">
        <v>8066</v>
      </c>
      <c r="BV188" s="17">
        <v>8259</v>
      </c>
      <c r="BW188" s="17">
        <v>8415</v>
      </c>
      <c r="BX188" s="17">
        <v>8507</v>
      </c>
      <c r="BY188" s="17">
        <v>8588</v>
      </c>
      <c r="BZ188" s="17">
        <v>8638</v>
      </c>
      <c r="CA188" s="17">
        <v>8678</v>
      </c>
      <c r="CB188" s="17">
        <v>8716</v>
      </c>
      <c r="CC188" s="17">
        <v>8740</v>
      </c>
      <c r="CD188" s="17">
        <v>8752</v>
      </c>
      <c r="CE188" s="17">
        <v>8758</v>
      </c>
      <c r="CF188" s="17">
        <v>8760</v>
      </c>
      <c r="CG188" s="17">
        <v>8760</v>
      </c>
      <c r="CH188" s="17">
        <v>8760</v>
      </c>
      <c r="CI188" s="17">
        <v>8760</v>
      </c>
      <c r="CJ188" s="17">
        <v>8760</v>
      </c>
      <c r="CK188" s="17">
        <v>8760</v>
      </c>
      <c r="CL188" s="17">
        <v>8760</v>
      </c>
      <c r="CM188" s="17">
        <v>8760</v>
      </c>
      <c r="CN188" s="17">
        <v>8760</v>
      </c>
      <c r="CO188" s="17">
        <v>8760</v>
      </c>
      <c r="CP188" s="17">
        <v>8760</v>
      </c>
      <c r="CQ188" s="17">
        <v>8760</v>
      </c>
      <c r="CR188" s="17">
        <v>8760</v>
      </c>
      <c r="CS188" s="17">
        <v>8760</v>
      </c>
      <c r="CT188" s="17">
        <v>8760</v>
      </c>
      <c r="CU188" s="17">
        <v>8760</v>
      </c>
      <c r="CV188" s="17">
        <v>8760</v>
      </c>
      <c r="CW188" s="17">
        <v>8760</v>
      </c>
      <c r="CX188" s="17">
        <v>8760</v>
      </c>
      <c r="CY188" s="17">
        <v>8760</v>
      </c>
      <c r="CZ188" s="17">
        <v>8760</v>
      </c>
      <c r="DA188" s="17">
        <v>8760</v>
      </c>
      <c r="DB188" s="17">
        <v>8760</v>
      </c>
    </row>
    <row r="189" spans="1:106" s="17" customFormat="1" x14ac:dyDescent="0.25">
      <c r="A189" s="22" t="s">
        <v>207</v>
      </c>
      <c r="B189" s="17" t="s">
        <v>196</v>
      </c>
      <c r="C189" s="17" t="s">
        <v>438</v>
      </c>
      <c r="D189" s="17" t="s">
        <v>743</v>
      </c>
      <c r="E189" s="17" t="s">
        <v>744</v>
      </c>
      <c r="F189" s="17">
        <v>102234</v>
      </c>
      <c r="G189" s="17">
        <v>0</v>
      </c>
      <c r="H189" s="17">
        <v>0</v>
      </c>
      <c r="I189" s="17">
        <v>0</v>
      </c>
      <c r="J189" s="17">
        <v>0</v>
      </c>
      <c r="K189" s="17">
        <v>0</v>
      </c>
      <c r="L189" s="17">
        <v>0</v>
      </c>
      <c r="M189" s="17">
        <v>0</v>
      </c>
      <c r="N189" s="17">
        <v>0</v>
      </c>
      <c r="O189" s="17">
        <v>0</v>
      </c>
      <c r="P189" s="17">
        <v>0</v>
      </c>
      <c r="Q189" s="17">
        <v>0</v>
      </c>
      <c r="R189" s="17">
        <v>0</v>
      </c>
      <c r="S189" s="17">
        <v>0</v>
      </c>
      <c r="T189" s="17">
        <v>0</v>
      </c>
      <c r="U189" s="17">
        <v>0</v>
      </c>
      <c r="V189" s="17">
        <v>0</v>
      </c>
      <c r="W189" s="17">
        <v>0</v>
      </c>
      <c r="X189" s="17">
        <v>0</v>
      </c>
      <c r="Y189" s="17">
        <v>0</v>
      </c>
      <c r="Z189" s="17">
        <v>0</v>
      </c>
      <c r="AA189" s="17">
        <v>0</v>
      </c>
      <c r="AB189" s="17">
        <v>0</v>
      </c>
      <c r="AC189" s="17">
        <v>0</v>
      </c>
      <c r="AD189" s="17">
        <v>0</v>
      </c>
      <c r="AE189" s="17">
        <v>0</v>
      </c>
      <c r="AF189" s="17">
        <v>0</v>
      </c>
      <c r="AG189" s="17">
        <v>0</v>
      </c>
      <c r="AH189" s="17">
        <v>0</v>
      </c>
      <c r="AI189" s="17">
        <v>0</v>
      </c>
      <c r="AJ189" s="17">
        <v>0</v>
      </c>
      <c r="AK189" s="17">
        <v>0</v>
      </c>
      <c r="AL189" s="17">
        <v>0</v>
      </c>
      <c r="AM189" s="17">
        <v>0</v>
      </c>
      <c r="AN189" s="17">
        <v>0</v>
      </c>
      <c r="AO189" s="17">
        <v>0</v>
      </c>
      <c r="AP189" s="17">
        <v>7</v>
      </c>
      <c r="AQ189" s="17">
        <v>15</v>
      </c>
      <c r="AR189" s="17">
        <v>22</v>
      </c>
      <c r="AS189" s="17">
        <v>39</v>
      </c>
      <c r="AT189" s="17">
        <v>71</v>
      </c>
      <c r="AU189" s="17">
        <v>98</v>
      </c>
      <c r="AV189" s="17">
        <v>141</v>
      </c>
      <c r="AW189" s="17">
        <v>188</v>
      </c>
      <c r="AX189" s="17">
        <v>241</v>
      </c>
      <c r="AY189" s="17">
        <v>320</v>
      </c>
      <c r="AZ189" s="17">
        <v>436</v>
      </c>
      <c r="BA189" s="17">
        <v>599</v>
      </c>
      <c r="BB189" s="17">
        <v>817</v>
      </c>
      <c r="BC189" s="17">
        <v>1119</v>
      </c>
      <c r="BD189" s="17">
        <v>1416</v>
      </c>
      <c r="BE189" s="17">
        <v>1737</v>
      </c>
      <c r="BF189" s="17">
        <v>2148</v>
      </c>
      <c r="BG189" s="17">
        <v>2523</v>
      </c>
      <c r="BH189" s="17">
        <v>2878</v>
      </c>
      <c r="BI189" s="17">
        <v>3385</v>
      </c>
      <c r="BJ189" s="17">
        <v>3864</v>
      </c>
      <c r="BK189" s="17">
        <v>4216</v>
      </c>
      <c r="BL189" s="17">
        <v>4560</v>
      </c>
      <c r="BM189" s="17">
        <v>4977</v>
      </c>
      <c r="BN189" s="17">
        <v>5357</v>
      </c>
      <c r="BO189" s="17">
        <v>5723</v>
      </c>
      <c r="BP189" s="17">
        <v>6103</v>
      </c>
      <c r="BQ189" s="17">
        <v>6495</v>
      </c>
      <c r="BR189" s="17">
        <v>6859</v>
      </c>
      <c r="BS189" s="17">
        <v>7208</v>
      </c>
      <c r="BT189" s="17">
        <v>7590</v>
      </c>
      <c r="BU189" s="17">
        <v>7938</v>
      </c>
      <c r="BV189" s="17">
        <v>8196</v>
      </c>
      <c r="BW189" s="17">
        <v>8350</v>
      </c>
      <c r="BX189" s="17">
        <v>8466</v>
      </c>
      <c r="BY189" s="17">
        <v>8547</v>
      </c>
      <c r="BZ189" s="17">
        <v>8641</v>
      </c>
      <c r="CA189" s="17">
        <v>8664</v>
      </c>
      <c r="CB189" s="17">
        <v>8689</v>
      </c>
      <c r="CC189" s="17">
        <v>8709</v>
      </c>
      <c r="CD189" s="17">
        <v>8727</v>
      </c>
      <c r="CE189" s="17">
        <v>8744</v>
      </c>
      <c r="CF189" s="17">
        <v>8753</v>
      </c>
      <c r="CG189" s="17">
        <v>8760</v>
      </c>
      <c r="CH189" s="17">
        <v>8760</v>
      </c>
      <c r="CI189" s="17">
        <v>8760</v>
      </c>
      <c r="CJ189" s="17">
        <v>8760</v>
      </c>
      <c r="CK189" s="17">
        <v>8760</v>
      </c>
      <c r="CL189" s="17">
        <v>8760</v>
      </c>
      <c r="CM189" s="17">
        <v>8760</v>
      </c>
      <c r="CN189" s="17">
        <v>8760</v>
      </c>
      <c r="CO189" s="17">
        <v>8760</v>
      </c>
      <c r="CP189" s="17">
        <v>8760</v>
      </c>
      <c r="CQ189" s="17">
        <v>8760</v>
      </c>
      <c r="CR189" s="17">
        <v>8760</v>
      </c>
      <c r="CS189" s="17">
        <v>8760</v>
      </c>
      <c r="CT189" s="17">
        <v>8760</v>
      </c>
      <c r="CU189" s="17">
        <v>8760</v>
      </c>
      <c r="CV189" s="17">
        <v>8760</v>
      </c>
      <c r="CW189" s="17">
        <v>8760</v>
      </c>
      <c r="CX189" s="17">
        <v>8760</v>
      </c>
      <c r="CY189" s="17">
        <v>8760</v>
      </c>
      <c r="CZ189" s="17">
        <v>8760</v>
      </c>
      <c r="DA189" s="17">
        <v>8760</v>
      </c>
      <c r="DB189" s="17">
        <v>8760</v>
      </c>
    </row>
    <row r="190" spans="1:106" s="17" customFormat="1" x14ac:dyDescent="0.25">
      <c r="A190" s="22" t="s">
        <v>208</v>
      </c>
      <c r="B190" s="17" t="s">
        <v>197</v>
      </c>
      <c r="C190" s="17" t="s">
        <v>438</v>
      </c>
      <c r="D190" s="17" t="s">
        <v>745</v>
      </c>
      <c r="E190" s="17" t="s">
        <v>746</v>
      </c>
      <c r="F190" s="17">
        <v>102527</v>
      </c>
      <c r="G190" s="17">
        <v>0</v>
      </c>
      <c r="H190" s="17">
        <v>0</v>
      </c>
      <c r="I190" s="17">
        <v>0</v>
      </c>
      <c r="J190" s="17">
        <v>0</v>
      </c>
      <c r="K190" s="17">
        <v>0</v>
      </c>
      <c r="L190" s="17">
        <v>0</v>
      </c>
      <c r="M190" s="17">
        <v>0</v>
      </c>
      <c r="N190" s="17">
        <v>0</v>
      </c>
      <c r="O190" s="17">
        <v>0</v>
      </c>
      <c r="P190" s="17">
        <v>0</v>
      </c>
      <c r="Q190" s="17">
        <v>0</v>
      </c>
      <c r="R190" s="17">
        <v>0</v>
      </c>
      <c r="S190" s="17">
        <v>0</v>
      </c>
      <c r="T190" s="17">
        <v>0</v>
      </c>
      <c r="U190" s="17">
        <v>0</v>
      </c>
      <c r="V190" s="17">
        <v>0</v>
      </c>
      <c r="W190" s="17">
        <v>0</v>
      </c>
      <c r="X190" s="17">
        <v>0</v>
      </c>
      <c r="Y190" s="17">
        <v>0</v>
      </c>
      <c r="Z190" s="17">
        <v>0</v>
      </c>
      <c r="AA190" s="17">
        <v>0</v>
      </c>
      <c r="AB190" s="17">
        <v>0</v>
      </c>
      <c r="AC190" s="17">
        <v>0</v>
      </c>
      <c r="AD190" s="17">
        <v>0</v>
      </c>
      <c r="AE190" s="17">
        <v>0</v>
      </c>
      <c r="AF190" s="17">
        <v>0</v>
      </c>
      <c r="AG190" s="17">
        <v>1</v>
      </c>
      <c r="AH190" s="17">
        <v>8</v>
      </c>
      <c r="AI190" s="17">
        <v>16</v>
      </c>
      <c r="AJ190" s="17">
        <v>24</v>
      </c>
      <c r="AK190" s="17">
        <v>33</v>
      </c>
      <c r="AL190" s="17">
        <v>40</v>
      </c>
      <c r="AM190" s="17">
        <v>49</v>
      </c>
      <c r="AN190" s="17">
        <v>89</v>
      </c>
      <c r="AO190" s="17">
        <v>113</v>
      </c>
      <c r="AP190" s="17">
        <v>136</v>
      </c>
      <c r="AQ190" s="17">
        <v>157</v>
      </c>
      <c r="AR190" s="17">
        <v>180</v>
      </c>
      <c r="AS190" s="17">
        <v>218</v>
      </c>
      <c r="AT190" s="17">
        <v>283</v>
      </c>
      <c r="AU190" s="17">
        <v>349</v>
      </c>
      <c r="AV190" s="17">
        <v>440</v>
      </c>
      <c r="AW190" s="17">
        <v>561</v>
      </c>
      <c r="AX190" s="17">
        <v>685</v>
      </c>
      <c r="AY190" s="17">
        <v>862</v>
      </c>
      <c r="AZ190" s="17">
        <v>1032</v>
      </c>
      <c r="BA190" s="17">
        <v>1280</v>
      </c>
      <c r="BB190" s="17">
        <v>1564</v>
      </c>
      <c r="BC190" s="17">
        <v>1948</v>
      </c>
      <c r="BD190" s="17">
        <v>2338</v>
      </c>
      <c r="BE190" s="17">
        <v>2783</v>
      </c>
      <c r="BF190" s="17">
        <v>3222</v>
      </c>
      <c r="BG190" s="17">
        <v>3560</v>
      </c>
      <c r="BH190" s="17">
        <v>3932</v>
      </c>
      <c r="BI190" s="17">
        <v>4291</v>
      </c>
      <c r="BJ190" s="17">
        <v>4623</v>
      </c>
      <c r="BK190" s="17">
        <v>4990</v>
      </c>
      <c r="BL190" s="17">
        <v>5320</v>
      </c>
      <c r="BM190" s="17">
        <v>5625</v>
      </c>
      <c r="BN190" s="17">
        <v>5930</v>
      </c>
      <c r="BO190" s="17">
        <v>6205</v>
      </c>
      <c r="BP190" s="17">
        <v>6526</v>
      </c>
      <c r="BQ190" s="17">
        <v>6832</v>
      </c>
      <c r="BR190" s="17">
        <v>7131</v>
      </c>
      <c r="BS190" s="17">
        <v>7417</v>
      </c>
      <c r="BT190" s="17">
        <v>7676</v>
      </c>
      <c r="BU190" s="17">
        <v>7895</v>
      </c>
      <c r="BV190" s="17">
        <v>8086</v>
      </c>
      <c r="BW190" s="17">
        <v>8247</v>
      </c>
      <c r="BX190" s="17">
        <v>8364</v>
      </c>
      <c r="BY190" s="17">
        <v>8452</v>
      </c>
      <c r="BZ190" s="17">
        <v>8535</v>
      </c>
      <c r="CA190" s="17">
        <v>8588</v>
      </c>
      <c r="CB190" s="17">
        <v>8631</v>
      </c>
      <c r="CC190" s="17">
        <v>8667</v>
      </c>
      <c r="CD190" s="17">
        <v>8705</v>
      </c>
      <c r="CE190" s="17">
        <v>8736</v>
      </c>
      <c r="CF190" s="17">
        <v>8754</v>
      </c>
      <c r="CG190" s="17">
        <v>8760</v>
      </c>
      <c r="CH190" s="17">
        <v>8760</v>
      </c>
      <c r="CI190" s="17">
        <v>8760</v>
      </c>
      <c r="CJ190" s="17">
        <v>8760</v>
      </c>
      <c r="CK190" s="17">
        <v>8760</v>
      </c>
      <c r="CL190" s="17">
        <v>8760</v>
      </c>
      <c r="CM190" s="17">
        <v>8760</v>
      </c>
      <c r="CN190" s="17">
        <v>8760</v>
      </c>
      <c r="CO190" s="17">
        <v>8760</v>
      </c>
      <c r="CP190" s="17">
        <v>8760</v>
      </c>
      <c r="CQ190" s="17">
        <v>8760</v>
      </c>
      <c r="CR190" s="17">
        <v>8760</v>
      </c>
      <c r="CS190" s="17">
        <v>8760</v>
      </c>
      <c r="CT190" s="17">
        <v>8760</v>
      </c>
      <c r="CU190" s="17">
        <v>8760</v>
      </c>
      <c r="CV190" s="17">
        <v>8760</v>
      </c>
      <c r="CW190" s="17">
        <v>8760</v>
      </c>
      <c r="CX190" s="17">
        <v>8760</v>
      </c>
      <c r="CY190" s="17">
        <v>8760</v>
      </c>
      <c r="CZ190" s="17">
        <v>8760</v>
      </c>
      <c r="DA190" s="17">
        <v>8760</v>
      </c>
      <c r="DB190" s="17">
        <v>8760</v>
      </c>
    </row>
    <row r="191" spans="1:106" s="17" customFormat="1" x14ac:dyDescent="0.25">
      <c r="A191" s="22" t="s">
        <v>209</v>
      </c>
      <c r="B191" s="17" t="s">
        <v>188</v>
      </c>
      <c r="C191" s="17" t="s">
        <v>438</v>
      </c>
      <c r="D191" s="17" t="s">
        <v>747</v>
      </c>
      <c r="E191" s="17" t="s">
        <v>748</v>
      </c>
      <c r="F191" s="17">
        <v>102615</v>
      </c>
      <c r="G191" s="17">
        <v>0</v>
      </c>
      <c r="H191" s="17">
        <v>0</v>
      </c>
      <c r="I191" s="17">
        <v>0</v>
      </c>
      <c r="J191" s="17">
        <v>0</v>
      </c>
      <c r="K191" s="17">
        <v>0</v>
      </c>
      <c r="L191" s="17">
        <v>0</v>
      </c>
      <c r="M191" s="17">
        <v>0</v>
      </c>
      <c r="N191" s="17">
        <v>0</v>
      </c>
      <c r="O191" s="17">
        <v>0</v>
      </c>
      <c r="P191" s="17">
        <v>0</v>
      </c>
      <c r="Q191" s="17">
        <v>0</v>
      </c>
      <c r="R191" s="17">
        <v>0</v>
      </c>
      <c r="S191" s="17">
        <v>0</v>
      </c>
      <c r="T191" s="17">
        <v>0</v>
      </c>
      <c r="U191" s="17">
        <v>0</v>
      </c>
      <c r="V191" s="17">
        <v>0</v>
      </c>
      <c r="W191" s="17">
        <v>0</v>
      </c>
      <c r="X191" s="17">
        <v>0</v>
      </c>
      <c r="Y191" s="17">
        <v>0</v>
      </c>
      <c r="Z191" s="17">
        <v>0</v>
      </c>
      <c r="AA191" s="17">
        <v>0</v>
      </c>
      <c r="AB191" s="17">
        <v>0</v>
      </c>
      <c r="AC191" s="17">
        <v>0</v>
      </c>
      <c r="AD191" s="17">
        <v>0</v>
      </c>
      <c r="AE191" s="17">
        <v>1</v>
      </c>
      <c r="AF191" s="17">
        <v>4</v>
      </c>
      <c r="AG191" s="17">
        <v>8</v>
      </c>
      <c r="AH191" s="17">
        <v>12</v>
      </c>
      <c r="AI191" s="17">
        <v>18</v>
      </c>
      <c r="AJ191" s="17">
        <v>27</v>
      </c>
      <c r="AK191" s="17">
        <v>29</v>
      </c>
      <c r="AL191" s="17">
        <v>33</v>
      </c>
      <c r="AM191" s="17">
        <v>46</v>
      </c>
      <c r="AN191" s="17">
        <v>59</v>
      </c>
      <c r="AO191" s="17">
        <v>67</v>
      </c>
      <c r="AP191" s="17">
        <v>74</v>
      </c>
      <c r="AQ191" s="17">
        <v>82</v>
      </c>
      <c r="AR191" s="17">
        <v>96</v>
      </c>
      <c r="AS191" s="17">
        <v>112</v>
      </c>
      <c r="AT191" s="17">
        <v>146</v>
      </c>
      <c r="AU191" s="17">
        <v>210</v>
      </c>
      <c r="AV191" s="17">
        <v>287</v>
      </c>
      <c r="AW191" s="17">
        <v>403</v>
      </c>
      <c r="AX191" s="17">
        <v>513</v>
      </c>
      <c r="AY191" s="17">
        <v>684</v>
      </c>
      <c r="AZ191" s="17">
        <v>862</v>
      </c>
      <c r="BA191" s="17">
        <v>1171</v>
      </c>
      <c r="BB191" s="17">
        <v>1482</v>
      </c>
      <c r="BC191" s="17">
        <v>1813</v>
      </c>
      <c r="BD191" s="17">
        <v>2182</v>
      </c>
      <c r="BE191" s="17">
        <v>2633</v>
      </c>
      <c r="BF191" s="17">
        <v>3061</v>
      </c>
      <c r="BG191" s="17">
        <v>3471</v>
      </c>
      <c r="BH191" s="17">
        <v>3850</v>
      </c>
      <c r="BI191" s="17">
        <v>4140</v>
      </c>
      <c r="BJ191" s="17">
        <v>4452</v>
      </c>
      <c r="BK191" s="17">
        <v>4717</v>
      </c>
      <c r="BL191" s="17">
        <v>4998</v>
      </c>
      <c r="BM191" s="17">
        <v>5256</v>
      </c>
      <c r="BN191" s="17">
        <v>5550</v>
      </c>
      <c r="BO191" s="17">
        <v>5888</v>
      </c>
      <c r="BP191" s="17">
        <v>6278</v>
      </c>
      <c r="BQ191" s="17">
        <v>6593</v>
      </c>
      <c r="BR191" s="17">
        <v>6958</v>
      </c>
      <c r="BS191" s="17">
        <v>7237</v>
      </c>
      <c r="BT191" s="17">
        <v>7519</v>
      </c>
      <c r="BU191" s="17">
        <v>7749</v>
      </c>
      <c r="BV191" s="17">
        <v>8000</v>
      </c>
      <c r="BW191" s="17">
        <v>8191</v>
      </c>
      <c r="BX191" s="17">
        <v>8360</v>
      </c>
      <c r="BY191" s="17">
        <v>8490</v>
      </c>
      <c r="BZ191" s="17">
        <v>8579</v>
      </c>
      <c r="CA191" s="17">
        <v>8643</v>
      </c>
      <c r="CB191" s="17">
        <v>8684</v>
      </c>
      <c r="CC191" s="17">
        <v>8714</v>
      </c>
      <c r="CD191" s="17">
        <v>8740</v>
      </c>
      <c r="CE191" s="17">
        <v>8752</v>
      </c>
      <c r="CF191" s="17">
        <v>8756</v>
      </c>
      <c r="CG191" s="17">
        <v>8760</v>
      </c>
      <c r="CH191" s="17">
        <v>8760</v>
      </c>
      <c r="CI191" s="17">
        <v>8760</v>
      </c>
      <c r="CJ191" s="17">
        <v>8760</v>
      </c>
      <c r="CK191" s="17">
        <v>8760</v>
      </c>
      <c r="CL191" s="17">
        <v>8760</v>
      </c>
      <c r="CM191" s="17">
        <v>8760</v>
      </c>
      <c r="CN191" s="17">
        <v>8760</v>
      </c>
      <c r="CO191" s="17">
        <v>8760</v>
      </c>
      <c r="CP191" s="17">
        <v>8760</v>
      </c>
      <c r="CQ191" s="17">
        <v>8760</v>
      </c>
      <c r="CR191" s="17">
        <v>8760</v>
      </c>
      <c r="CS191" s="17">
        <v>8760</v>
      </c>
      <c r="CT191" s="17">
        <v>8760</v>
      </c>
      <c r="CU191" s="17">
        <v>8760</v>
      </c>
      <c r="CV191" s="17">
        <v>8760</v>
      </c>
      <c r="CW191" s="17">
        <v>8760</v>
      </c>
      <c r="CX191" s="17">
        <v>8760</v>
      </c>
      <c r="CY191" s="17">
        <v>8760</v>
      </c>
      <c r="CZ191" s="17">
        <v>8760</v>
      </c>
      <c r="DA191" s="17">
        <v>8760</v>
      </c>
      <c r="DB191" s="17">
        <v>8760</v>
      </c>
    </row>
    <row r="192" spans="1:106" s="17" customFormat="1" x14ac:dyDescent="0.25">
      <c r="A192" s="22" t="s">
        <v>210</v>
      </c>
      <c r="B192" s="17" t="s">
        <v>191</v>
      </c>
      <c r="C192" s="17" t="s">
        <v>438</v>
      </c>
      <c r="D192" s="17" t="s">
        <v>749</v>
      </c>
      <c r="E192" s="17" t="s">
        <v>750</v>
      </c>
      <c r="F192" s="17">
        <v>102242</v>
      </c>
      <c r="G192" s="17">
        <v>0</v>
      </c>
      <c r="H192" s="17">
        <v>0</v>
      </c>
      <c r="I192" s="17">
        <v>0</v>
      </c>
      <c r="J192" s="17">
        <v>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0</v>
      </c>
      <c r="AC192" s="17">
        <v>0</v>
      </c>
      <c r="AD192" s="17">
        <v>0</v>
      </c>
      <c r="AE192" s="17">
        <v>0</v>
      </c>
      <c r="AF192" s="17">
        <v>0</v>
      </c>
      <c r="AG192" s="17">
        <v>0</v>
      </c>
      <c r="AH192" s="17">
        <v>0</v>
      </c>
      <c r="AI192" s="17">
        <v>0</v>
      </c>
      <c r="AJ192" s="17">
        <v>0</v>
      </c>
      <c r="AK192" s="17">
        <v>0</v>
      </c>
      <c r="AL192" s="17">
        <v>0</v>
      </c>
      <c r="AM192" s="17">
        <v>0</v>
      </c>
      <c r="AN192" s="17">
        <v>0</v>
      </c>
      <c r="AO192" s="17">
        <v>7</v>
      </c>
      <c r="AP192" s="17">
        <v>7</v>
      </c>
      <c r="AQ192" s="17">
        <v>15</v>
      </c>
      <c r="AR192" s="17">
        <v>20</v>
      </c>
      <c r="AS192" s="17">
        <v>25</v>
      </c>
      <c r="AT192" s="17">
        <v>34</v>
      </c>
      <c r="AU192" s="17">
        <v>64</v>
      </c>
      <c r="AV192" s="17">
        <v>96</v>
      </c>
      <c r="AW192" s="17">
        <v>137</v>
      </c>
      <c r="AX192" s="17">
        <v>173</v>
      </c>
      <c r="AY192" s="17">
        <v>219</v>
      </c>
      <c r="AZ192" s="17">
        <v>270</v>
      </c>
      <c r="BA192" s="17">
        <v>380</v>
      </c>
      <c r="BB192" s="17">
        <v>565</v>
      </c>
      <c r="BC192" s="17">
        <v>818</v>
      </c>
      <c r="BD192" s="17">
        <v>1099</v>
      </c>
      <c r="BE192" s="17">
        <v>1526</v>
      </c>
      <c r="BF192" s="17">
        <v>2040</v>
      </c>
      <c r="BG192" s="17">
        <v>2527</v>
      </c>
      <c r="BH192" s="17">
        <v>2988</v>
      </c>
      <c r="BI192" s="17">
        <v>3409</v>
      </c>
      <c r="BJ192" s="17">
        <v>3755</v>
      </c>
      <c r="BK192" s="17">
        <v>4074</v>
      </c>
      <c r="BL192" s="17">
        <v>4405</v>
      </c>
      <c r="BM192" s="17">
        <v>4721</v>
      </c>
      <c r="BN192" s="17">
        <v>5036</v>
      </c>
      <c r="BO192" s="17">
        <v>5383</v>
      </c>
      <c r="BP192" s="17">
        <v>5762</v>
      </c>
      <c r="BQ192" s="17">
        <v>6179</v>
      </c>
      <c r="BR192" s="17">
        <v>6611</v>
      </c>
      <c r="BS192" s="17">
        <v>7067</v>
      </c>
      <c r="BT192" s="17">
        <v>7441</v>
      </c>
      <c r="BU192" s="17">
        <v>7724</v>
      </c>
      <c r="BV192" s="17">
        <v>7954</v>
      </c>
      <c r="BW192" s="17">
        <v>8138</v>
      </c>
      <c r="BX192" s="17">
        <v>8271</v>
      </c>
      <c r="BY192" s="17">
        <v>8382</v>
      </c>
      <c r="BZ192" s="17">
        <v>8492</v>
      </c>
      <c r="CA192" s="17">
        <v>8569</v>
      </c>
      <c r="CB192" s="17">
        <v>8650</v>
      </c>
      <c r="CC192" s="17">
        <v>8691</v>
      </c>
      <c r="CD192" s="17">
        <v>8717</v>
      </c>
      <c r="CE192" s="17">
        <v>8734</v>
      </c>
      <c r="CF192" s="17">
        <v>8748</v>
      </c>
      <c r="CG192" s="17">
        <v>8754</v>
      </c>
      <c r="CH192" s="17">
        <v>8758</v>
      </c>
      <c r="CI192" s="17">
        <v>8760</v>
      </c>
      <c r="CJ192" s="17">
        <v>8760</v>
      </c>
      <c r="CK192" s="17">
        <v>8760</v>
      </c>
      <c r="CL192" s="17">
        <v>8760</v>
      </c>
      <c r="CM192" s="17">
        <v>8760</v>
      </c>
      <c r="CN192" s="17">
        <v>8760</v>
      </c>
      <c r="CO192" s="17">
        <v>8760</v>
      </c>
      <c r="CP192" s="17">
        <v>8760</v>
      </c>
      <c r="CQ192" s="17">
        <v>8760</v>
      </c>
      <c r="CR192" s="17">
        <v>8760</v>
      </c>
      <c r="CS192" s="17">
        <v>8760</v>
      </c>
      <c r="CT192" s="17">
        <v>8760</v>
      </c>
      <c r="CU192" s="17">
        <v>8760</v>
      </c>
      <c r="CV192" s="17">
        <v>8760</v>
      </c>
      <c r="CW192" s="17">
        <v>8760</v>
      </c>
      <c r="CX192" s="17">
        <v>8760</v>
      </c>
      <c r="CY192" s="17">
        <v>8760</v>
      </c>
      <c r="CZ192" s="17">
        <v>8760</v>
      </c>
      <c r="DA192" s="17">
        <v>8760</v>
      </c>
      <c r="DB192" s="17">
        <v>8760</v>
      </c>
    </row>
    <row r="193" spans="1:106" s="17" customFormat="1" x14ac:dyDescent="0.25">
      <c r="A193" s="22" t="s">
        <v>211</v>
      </c>
      <c r="B193" s="17" t="s">
        <v>192</v>
      </c>
      <c r="C193" s="17" t="s">
        <v>438</v>
      </c>
      <c r="D193" s="17" t="s">
        <v>751</v>
      </c>
      <c r="E193" s="17" t="s">
        <v>752</v>
      </c>
      <c r="F193" s="17">
        <v>102333</v>
      </c>
      <c r="G193" s="17">
        <v>0</v>
      </c>
      <c r="H193" s="17">
        <v>0</v>
      </c>
      <c r="I193" s="17">
        <v>0</v>
      </c>
      <c r="J193" s="17">
        <v>0</v>
      </c>
      <c r="K193" s="17">
        <v>0</v>
      </c>
      <c r="L193" s="17">
        <v>0</v>
      </c>
      <c r="M193" s="17">
        <v>0</v>
      </c>
      <c r="N193" s="17">
        <v>0</v>
      </c>
      <c r="O193" s="17">
        <v>0</v>
      </c>
      <c r="P193" s="17">
        <v>0</v>
      </c>
      <c r="Q193" s="17">
        <v>0</v>
      </c>
      <c r="R193" s="17">
        <v>0</v>
      </c>
      <c r="S193" s="17">
        <v>0</v>
      </c>
      <c r="T193" s="17">
        <v>0</v>
      </c>
      <c r="U193" s="17">
        <v>0</v>
      </c>
      <c r="V193" s="17">
        <v>0</v>
      </c>
      <c r="W193" s="17">
        <v>0</v>
      </c>
      <c r="X193" s="17">
        <v>0</v>
      </c>
      <c r="Y193" s="17">
        <v>0</v>
      </c>
      <c r="Z193" s="17">
        <v>0</v>
      </c>
      <c r="AA193" s="17">
        <v>0</v>
      </c>
      <c r="AB193" s="17">
        <v>0</v>
      </c>
      <c r="AC193" s="17">
        <v>0</v>
      </c>
      <c r="AD193" s="17">
        <v>0</v>
      </c>
      <c r="AE193" s="17">
        <v>0</v>
      </c>
      <c r="AF193" s="17">
        <v>0</v>
      </c>
      <c r="AG193" s="17">
        <v>0</v>
      </c>
      <c r="AH193" s="17">
        <v>0</v>
      </c>
      <c r="AI193" s="17">
        <v>0</v>
      </c>
      <c r="AJ193" s="17">
        <v>0</v>
      </c>
      <c r="AK193" s="17">
        <v>0</v>
      </c>
      <c r="AL193" s="17">
        <v>0</v>
      </c>
      <c r="AM193" s="17">
        <v>0</v>
      </c>
      <c r="AN193" s="17">
        <v>8</v>
      </c>
      <c r="AO193" s="17">
        <v>11</v>
      </c>
      <c r="AP193" s="17">
        <v>14</v>
      </c>
      <c r="AQ193" s="17">
        <v>23</v>
      </c>
      <c r="AR193" s="17">
        <v>32</v>
      </c>
      <c r="AS193" s="17">
        <v>70</v>
      </c>
      <c r="AT193" s="17">
        <v>105</v>
      </c>
      <c r="AU193" s="17">
        <v>149</v>
      </c>
      <c r="AV193" s="17">
        <v>204</v>
      </c>
      <c r="AW193" s="17">
        <v>248</v>
      </c>
      <c r="AX193" s="17">
        <v>306</v>
      </c>
      <c r="AY193" s="17">
        <v>414</v>
      </c>
      <c r="AZ193" s="17">
        <v>547</v>
      </c>
      <c r="BA193" s="17">
        <v>696</v>
      </c>
      <c r="BB193" s="17">
        <v>880</v>
      </c>
      <c r="BC193" s="17">
        <v>1134</v>
      </c>
      <c r="BD193" s="17">
        <v>1434</v>
      </c>
      <c r="BE193" s="17">
        <v>1785</v>
      </c>
      <c r="BF193" s="17">
        <v>2174</v>
      </c>
      <c r="BG193" s="17">
        <v>2577</v>
      </c>
      <c r="BH193" s="17">
        <v>3035</v>
      </c>
      <c r="BI193" s="17">
        <v>3453</v>
      </c>
      <c r="BJ193" s="17">
        <v>3922</v>
      </c>
      <c r="BK193" s="17">
        <v>4272</v>
      </c>
      <c r="BL193" s="17">
        <v>4641</v>
      </c>
      <c r="BM193" s="17">
        <v>5036</v>
      </c>
      <c r="BN193" s="17">
        <v>5386</v>
      </c>
      <c r="BO193" s="17">
        <v>5728</v>
      </c>
      <c r="BP193" s="17">
        <v>6065</v>
      </c>
      <c r="BQ193" s="17">
        <v>6360</v>
      </c>
      <c r="BR193" s="17">
        <v>6742</v>
      </c>
      <c r="BS193" s="17">
        <v>7096</v>
      </c>
      <c r="BT193" s="17">
        <v>7358</v>
      </c>
      <c r="BU193" s="17">
        <v>7610</v>
      </c>
      <c r="BV193" s="17">
        <v>7822</v>
      </c>
      <c r="BW193" s="17">
        <v>8004</v>
      </c>
      <c r="BX193" s="17">
        <v>8153</v>
      </c>
      <c r="BY193" s="17">
        <v>8286</v>
      </c>
      <c r="BZ193" s="17">
        <v>8398</v>
      </c>
      <c r="CA193" s="17">
        <v>8491</v>
      </c>
      <c r="CB193" s="17">
        <v>8581</v>
      </c>
      <c r="CC193" s="17">
        <v>8640</v>
      </c>
      <c r="CD193" s="17">
        <v>8691</v>
      </c>
      <c r="CE193" s="17">
        <v>8728</v>
      </c>
      <c r="CF193" s="17">
        <v>8753</v>
      </c>
      <c r="CG193" s="17">
        <v>8757</v>
      </c>
      <c r="CH193" s="17">
        <v>8760</v>
      </c>
      <c r="CI193" s="17">
        <v>8760</v>
      </c>
      <c r="CJ193" s="17">
        <v>8760</v>
      </c>
      <c r="CK193" s="17">
        <v>8760</v>
      </c>
      <c r="CL193" s="17">
        <v>8760</v>
      </c>
      <c r="CM193" s="17">
        <v>8760</v>
      </c>
      <c r="CN193" s="17">
        <v>8760</v>
      </c>
      <c r="CO193" s="17">
        <v>8760</v>
      </c>
      <c r="CP193" s="17">
        <v>8760</v>
      </c>
      <c r="CQ193" s="17">
        <v>8760</v>
      </c>
      <c r="CR193" s="17">
        <v>8760</v>
      </c>
      <c r="CS193" s="17">
        <v>8760</v>
      </c>
      <c r="CT193" s="17">
        <v>8760</v>
      </c>
      <c r="CU193" s="17">
        <v>8760</v>
      </c>
      <c r="CV193" s="17">
        <v>8760</v>
      </c>
      <c r="CW193" s="17">
        <v>8760</v>
      </c>
      <c r="CX193" s="17">
        <v>8760</v>
      </c>
      <c r="CY193" s="17">
        <v>8760</v>
      </c>
      <c r="CZ193" s="17">
        <v>8760</v>
      </c>
      <c r="DA193" s="17">
        <v>8760</v>
      </c>
      <c r="DB193" s="17">
        <v>8760</v>
      </c>
    </row>
    <row r="194" spans="1:106" s="17" customFormat="1" x14ac:dyDescent="0.25">
      <c r="A194" s="22" t="s">
        <v>212</v>
      </c>
      <c r="B194" s="17" t="s">
        <v>194</v>
      </c>
      <c r="C194" s="17" t="s">
        <v>438</v>
      </c>
      <c r="D194" s="17" t="s">
        <v>753</v>
      </c>
      <c r="E194" s="17" t="s">
        <v>754</v>
      </c>
      <c r="F194" s="17">
        <v>102339</v>
      </c>
      <c r="G194" s="17">
        <v>0</v>
      </c>
      <c r="H194" s="17">
        <v>0</v>
      </c>
      <c r="I194" s="17">
        <v>0</v>
      </c>
      <c r="J194" s="17">
        <v>0</v>
      </c>
      <c r="K194" s="17">
        <v>0</v>
      </c>
      <c r="L194" s="17">
        <v>0</v>
      </c>
      <c r="M194" s="17">
        <v>0</v>
      </c>
      <c r="N194" s="17">
        <v>0</v>
      </c>
      <c r="O194" s="17">
        <v>0</v>
      </c>
      <c r="P194" s="17">
        <v>0</v>
      </c>
      <c r="Q194" s="17">
        <v>0</v>
      </c>
      <c r="R194" s="17">
        <v>0</v>
      </c>
      <c r="S194" s="17">
        <v>0</v>
      </c>
      <c r="T194" s="17">
        <v>0</v>
      </c>
      <c r="U194" s="17">
        <v>0</v>
      </c>
      <c r="V194" s="17">
        <v>0</v>
      </c>
      <c r="W194" s="17">
        <v>0</v>
      </c>
      <c r="X194" s="17">
        <v>0</v>
      </c>
      <c r="Y194" s="17">
        <v>0</v>
      </c>
      <c r="Z194" s="17">
        <v>0</v>
      </c>
      <c r="AA194" s="17">
        <v>0</v>
      </c>
      <c r="AB194" s="17">
        <v>0</v>
      </c>
      <c r="AC194" s="17">
        <v>0</v>
      </c>
      <c r="AD194" s="17">
        <v>0</v>
      </c>
      <c r="AE194" s="17">
        <v>0</v>
      </c>
      <c r="AF194" s="17">
        <v>0</v>
      </c>
      <c r="AG194" s="17">
        <v>0</v>
      </c>
      <c r="AH194" s="17">
        <v>0</v>
      </c>
      <c r="AI194" s="17">
        <v>0</v>
      </c>
      <c r="AJ194" s="17">
        <v>0</v>
      </c>
      <c r="AK194" s="17">
        <v>0</v>
      </c>
      <c r="AL194" s="17">
        <v>0</v>
      </c>
      <c r="AM194" s="17">
        <v>0</v>
      </c>
      <c r="AN194" s="17">
        <v>0</v>
      </c>
      <c r="AO194" s="17">
        <v>0</v>
      </c>
      <c r="AP194" s="17">
        <v>0</v>
      </c>
      <c r="AQ194" s="17">
        <v>0</v>
      </c>
      <c r="AR194" s="17">
        <v>0</v>
      </c>
      <c r="AS194" s="17">
        <v>4</v>
      </c>
      <c r="AT194" s="17">
        <v>27</v>
      </c>
      <c r="AU194" s="17">
        <v>69</v>
      </c>
      <c r="AV194" s="17">
        <v>100</v>
      </c>
      <c r="AW194" s="17">
        <v>145</v>
      </c>
      <c r="AX194" s="17">
        <v>199</v>
      </c>
      <c r="AY194" s="17">
        <v>285</v>
      </c>
      <c r="AZ194" s="17">
        <v>392</v>
      </c>
      <c r="BA194" s="17">
        <v>506</v>
      </c>
      <c r="BB194" s="17">
        <v>685</v>
      </c>
      <c r="BC194" s="17">
        <v>971</v>
      </c>
      <c r="BD194" s="17">
        <v>1299</v>
      </c>
      <c r="BE194" s="17">
        <v>1687</v>
      </c>
      <c r="BF194" s="17">
        <v>2130</v>
      </c>
      <c r="BG194" s="17">
        <v>2573</v>
      </c>
      <c r="BH194" s="17">
        <v>3031</v>
      </c>
      <c r="BI194" s="17">
        <v>3465</v>
      </c>
      <c r="BJ194" s="17">
        <v>3904</v>
      </c>
      <c r="BK194" s="17">
        <v>4273</v>
      </c>
      <c r="BL194" s="17">
        <v>4656</v>
      </c>
      <c r="BM194" s="17">
        <v>4986</v>
      </c>
      <c r="BN194" s="17">
        <v>5320</v>
      </c>
      <c r="BO194" s="17">
        <v>5658</v>
      </c>
      <c r="BP194" s="17">
        <v>5979</v>
      </c>
      <c r="BQ194" s="17">
        <v>6379</v>
      </c>
      <c r="BR194" s="17">
        <v>6748</v>
      </c>
      <c r="BS194" s="17">
        <v>7112</v>
      </c>
      <c r="BT194" s="17">
        <v>7438</v>
      </c>
      <c r="BU194" s="17">
        <v>7767</v>
      </c>
      <c r="BV194" s="17">
        <v>8020</v>
      </c>
      <c r="BW194" s="17">
        <v>8224</v>
      </c>
      <c r="BX194" s="17">
        <v>8362</v>
      </c>
      <c r="BY194" s="17">
        <v>8472</v>
      </c>
      <c r="BZ194" s="17">
        <v>8551</v>
      </c>
      <c r="CA194" s="17">
        <v>8623</v>
      </c>
      <c r="CB194" s="17">
        <v>8681</v>
      </c>
      <c r="CC194" s="17">
        <v>8721</v>
      </c>
      <c r="CD194" s="17">
        <v>8742</v>
      </c>
      <c r="CE194" s="17">
        <v>8754</v>
      </c>
      <c r="CF194" s="17">
        <v>8757</v>
      </c>
      <c r="CG194" s="17">
        <v>8760</v>
      </c>
      <c r="CH194" s="17">
        <v>8760</v>
      </c>
      <c r="CI194" s="17">
        <v>8760</v>
      </c>
      <c r="CJ194" s="17">
        <v>8760</v>
      </c>
      <c r="CK194" s="17">
        <v>8760</v>
      </c>
      <c r="CL194" s="17">
        <v>8760</v>
      </c>
      <c r="CM194" s="17">
        <v>8760</v>
      </c>
      <c r="CN194" s="17">
        <v>8760</v>
      </c>
      <c r="CO194" s="17">
        <v>8760</v>
      </c>
      <c r="CP194" s="17">
        <v>8760</v>
      </c>
      <c r="CQ194" s="17">
        <v>8760</v>
      </c>
      <c r="CR194" s="17">
        <v>8760</v>
      </c>
      <c r="CS194" s="17">
        <v>8760</v>
      </c>
      <c r="CT194" s="17">
        <v>8760</v>
      </c>
      <c r="CU194" s="17">
        <v>8760</v>
      </c>
      <c r="CV194" s="17">
        <v>8760</v>
      </c>
      <c r="CW194" s="17">
        <v>8760</v>
      </c>
      <c r="CX194" s="17">
        <v>8760</v>
      </c>
      <c r="CY194" s="17">
        <v>8760</v>
      </c>
      <c r="CZ194" s="17">
        <v>8760</v>
      </c>
      <c r="DA194" s="17">
        <v>8760</v>
      </c>
      <c r="DB194" s="17">
        <v>8760</v>
      </c>
    </row>
    <row r="195" spans="1:106" s="17" customFormat="1" x14ac:dyDescent="0.25">
      <c r="A195" s="22" t="s">
        <v>213</v>
      </c>
      <c r="B195" s="17" t="s">
        <v>403</v>
      </c>
    </row>
    <row r="196" spans="1:106" s="17" customFormat="1" x14ac:dyDescent="0.25">
      <c r="A196" s="22" t="s">
        <v>214</v>
      </c>
      <c r="B196" s="17" t="s">
        <v>198</v>
      </c>
      <c r="C196" s="17" t="s">
        <v>438</v>
      </c>
      <c r="D196" s="17" t="s">
        <v>755</v>
      </c>
      <c r="E196" s="17" t="s">
        <v>756</v>
      </c>
      <c r="F196" s="17">
        <v>102648</v>
      </c>
      <c r="G196" s="17">
        <v>0</v>
      </c>
      <c r="H196" s="17">
        <v>0</v>
      </c>
      <c r="I196" s="17">
        <v>0</v>
      </c>
      <c r="J196" s="17">
        <v>0</v>
      </c>
      <c r="K196" s="17">
        <v>0</v>
      </c>
      <c r="L196" s="17">
        <v>0</v>
      </c>
      <c r="M196" s="17">
        <v>0</v>
      </c>
      <c r="N196" s="17">
        <v>0</v>
      </c>
      <c r="O196" s="17">
        <v>0</v>
      </c>
      <c r="P196" s="17">
        <v>0</v>
      </c>
      <c r="Q196" s="17">
        <v>0</v>
      </c>
      <c r="R196" s="17">
        <v>0</v>
      </c>
      <c r="S196" s="17">
        <v>0</v>
      </c>
      <c r="T196" s="17">
        <v>0</v>
      </c>
      <c r="U196" s="17">
        <v>0</v>
      </c>
      <c r="V196" s="17">
        <v>0</v>
      </c>
      <c r="W196" s="17">
        <v>0</v>
      </c>
      <c r="X196" s="17">
        <v>0</v>
      </c>
      <c r="Y196" s="17">
        <v>0</v>
      </c>
      <c r="Z196" s="17">
        <v>0</v>
      </c>
      <c r="AA196" s="17">
        <v>0</v>
      </c>
      <c r="AB196" s="17">
        <v>0</v>
      </c>
      <c r="AC196" s="17">
        <v>0</v>
      </c>
      <c r="AD196" s="17">
        <v>0</v>
      </c>
      <c r="AE196" s="17">
        <v>0</v>
      </c>
      <c r="AF196" s="17">
        <v>0</v>
      </c>
      <c r="AG196" s="17">
        <v>0</v>
      </c>
      <c r="AH196" s="17">
        <v>0</v>
      </c>
      <c r="AI196" s="17">
        <v>0</v>
      </c>
      <c r="AJ196" s="17">
        <v>0</v>
      </c>
      <c r="AK196" s="17">
        <v>0</v>
      </c>
      <c r="AL196" s="17">
        <v>0</v>
      </c>
      <c r="AM196" s="17">
        <v>0</v>
      </c>
      <c r="AN196" s="17">
        <v>0</v>
      </c>
      <c r="AO196" s="17">
        <v>6</v>
      </c>
      <c r="AP196" s="17">
        <v>12</v>
      </c>
      <c r="AQ196" s="17">
        <v>16</v>
      </c>
      <c r="AR196" s="17">
        <v>32</v>
      </c>
      <c r="AS196" s="17">
        <v>52</v>
      </c>
      <c r="AT196" s="17">
        <v>80</v>
      </c>
      <c r="AU196" s="17">
        <v>102</v>
      </c>
      <c r="AV196" s="17">
        <v>141</v>
      </c>
      <c r="AW196" s="17">
        <v>191</v>
      </c>
      <c r="AX196" s="17">
        <v>288</v>
      </c>
      <c r="AY196" s="17">
        <v>424</v>
      </c>
      <c r="AZ196" s="17">
        <v>606</v>
      </c>
      <c r="BA196" s="17">
        <v>783</v>
      </c>
      <c r="BB196" s="17">
        <v>1050</v>
      </c>
      <c r="BC196" s="17">
        <v>1379</v>
      </c>
      <c r="BD196" s="17">
        <v>1738</v>
      </c>
      <c r="BE196" s="17">
        <v>2207</v>
      </c>
      <c r="BF196" s="17">
        <v>2672</v>
      </c>
      <c r="BG196" s="17">
        <v>3188</v>
      </c>
      <c r="BH196" s="17">
        <v>3603</v>
      </c>
      <c r="BI196" s="17">
        <v>3995</v>
      </c>
      <c r="BJ196" s="17">
        <v>4311</v>
      </c>
      <c r="BK196" s="17">
        <v>4617</v>
      </c>
      <c r="BL196" s="17">
        <v>4892</v>
      </c>
      <c r="BM196" s="17">
        <v>5208</v>
      </c>
      <c r="BN196" s="17">
        <v>5545</v>
      </c>
      <c r="BO196" s="17">
        <v>5864</v>
      </c>
      <c r="BP196" s="17">
        <v>6218</v>
      </c>
      <c r="BQ196" s="17">
        <v>6551</v>
      </c>
      <c r="BR196" s="17">
        <v>6925</v>
      </c>
      <c r="BS196" s="17">
        <v>7270</v>
      </c>
      <c r="BT196" s="17">
        <v>7559</v>
      </c>
      <c r="BU196" s="17">
        <v>7836</v>
      </c>
      <c r="BV196" s="17">
        <v>8067</v>
      </c>
      <c r="BW196" s="17">
        <v>8244</v>
      </c>
      <c r="BX196" s="17">
        <v>8384</v>
      </c>
      <c r="BY196" s="17">
        <v>8516</v>
      </c>
      <c r="BZ196" s="17">
        <v>8601</v>
      </c>
      <c r="CA196" s="17">
        <v>8668</v>
      </c>
      <c r="CB196" s="17">
        <v>8712</v>
      </c>
      <c r="CC196" s="17">
        <v>8739</v>
      </c>
      <c r="CD196" s="17">
        <v>8748</v>
      </c>
      <c r="CE196" s="17">
        <v>8755</v>
      </c>
      <c r="CF196" s="17">
        <v>8760</v>
      </c>
      <c r="CG196" s="17">
        <v>8760</v>
      </c>
      <c r="CH196" s="17">
        <v>8760</v>
      </c>
      <c r="CI196" s="17">
        <v>8760</v>
      </c>
      <c r="CJ196" s="17">
        <v>8760</v>
      </c>
      <c r="CK196" s="17">
        <v>8760</v>
      </c>
      <c r="CL196" s="17">
        <v>8760</v>
      </c>
      <c r="CM196" s="17">
        <v>8760</v>
      </c>
      <c r="CN196" s="17">
        <v>8760</v>
      </c>
      <c r="CO196" s="17">
        <v>8760</v>
      </c>
      <c r="CP196" s="17">
        <v>8760</v>
      </c>
      <c r="CQ196" s="17">
        <v>8760</v>
      </c>
      <c r="CR196" s="17">
        <v>8760</v>
      </c>
      <c r="CS196" s="17">
        <v>8760</v>
      </c>
      <c r="CT196" s="17">
        <v>8760</v>
      </c>
      <c r="CU196" s="17">
        <v>8760</v>
      </c>
      <c r="CV196" s="17">
        <v>8760</v>
      </c>
      <c r="CW196" s="17">
        <v>8760</v>
      </c>
      <c r="CX196" s="17">
        <v>8760</v>
      </c>
      <c r="CY196" s="17">
        <v>8760</v>
      </c>
      <c r="CZ196" s="17">
        <v>8760</v>
      </c>
      <c r="DA196" s="17">
        <v>8760</v>
      </c>
      <c r="DB196" s="17">
        <v>8760</v>
      </c>
    </row>
    <row r="197" spans="1:106" s="17" customFormat="1" x14ac:dyDescent="0.25">
      <c r="A197" s="22" t="s">
        <v>215</v>
      </c>
      <c r="B197" s="17" t="s">
        <v>200</v>
      </c>
      <c r="C197" s="17" t="s">
        <v>438</v>
      </c>
      <c r="D197" s="17" t="s">
        <v>757</v>
      </c>
      <c r="E197" s="17" t="s">
        <v>758</v>
      </c>
      <c r="F197" s="17">
        <v>102533</v>
      </c>
      <c r="G197" s="17">
        <v>0</v>
      </c>
      <c r="H197" s="17">
        <v>0</v>
      </c>
      <c r="I197" s="17">
        <v>0</v>
      </c>
      <c r="J197" s="17">
        <v>0</v>
      </c>
      <c r="K197" s="17">
        <v>0</v>
      </c>
      <c r="L197" s="17">
        <v>0</v>
      </c>
      <c r="M197" s="17">
        <v>0</v>
      </c>
      <c r="N197" s="17">
        <v>0</v>
      </c>
      <c r="O197" s="17">
        <v>0</v>
      </c>
      <c r="P197" s="17">
        <v>0</v>
      </c>
      <c r="Q197" s="17">
        <v>0</v>
      </c>
      <c r="R197" s="17">
        <v>0</v>
      </c>
      <c r="S197" s="17">
        <v>0</v>
      </c>
      <c r="T197" s="17">
        <v>0</v>
      </c>
      <c r="U197" s="17">
        <v>0</v>
      </c>
      <c r="V197" s="17">
        <v>0</v>
      </c>
      <c r="W197" s="17">
        <v>0</v>
      </c>
      <c r="X197" s="17">
        <v>0</v>
      </c>
      <c r="Y197" s="17">
        <v>0</v>
      </c>
      <c r="Z197" s="17">
        <v>0</v>
      </c>
      <c r="AA197" s="17">
        <v>0</v>
      </c>
      <c r="AB197" s="17">
        <v>0</v>
      </c>
      <c r="AC197" s="17">
        <v>0</v>
      </c>
      <c r="AD197" s="17">
        <v>0</v>
      </c>
      <c r="AE197" s="17">
        <v>0</v>
      </c>
      <c r="AF197" s="17">
        <v>0</v>
      </c>
      <c r="AG197" s="17">
        <v>0</v>
      </c>
      <c r="AH197" s="17">
        <v>0</v>
      </c>
      <c r="AI197" s="17">
        <v>0</v>
      </c>
      <c r="AJ197" s="17">
        <v>4</v>
      </c>
      <c r="AK197" s="17">
        <v>10</v>
      </c>
      <c r="AL197" s="17">
        <v>21</v>
      </c>
      <c r="AM197" s="17">
        <v>35</v>
      </c>
      <c r="AN197" s="17">
        <v>53</v>
      </c>
      <c r="AO197" s="17">
        <v>82</v>
      </c>
      <c r="AP197" s="17">
        <v>118</v>
      </c>
      <c r="AQ197" s="17">
        <v>147</v>
      </c>
      <c r="AR197" s="17">
        <v>171</v>
      </c>
      <c r="AS197" s="17">
        <v>210</v>
      </c>
      <c r="AT197" s="17">
        <v>283</v>
      </c>
      <c r="AU197" s="17">
        <v>346</v>
      </c>
      <c r="AV197" s="17">
        <v>437</v>
      </c>
      <c r="AW197" s="17">
        <v>557</v>
      </c>
      <c r="AX197" s="17">
        <v>689</v>
      </c>
      <c r="AY197" s="17">
        <v>851</v>
      </c>
      <c r="AZ197" s="17">
        <v>1078</v>
      </c>
      <c r="BA197" s="17">
        <v>1348</v>
      </c>
      <c r="BB197" s="17">
        <v>1636</v>
      </c>
      <c r="BC197" s="17">
        <v>1897</v>
      </c>
      <c r="BD197" s="17">
        <v>2288</v>
      </c>
      <c r="BE197" s="17">
        <v>2740</v>
      </c>
      <c r="BF197" s="17">
        <v>3122</v>
      </c>
      <c r="BG197" s="17">
        <v>3548</v>
      </c>
      <c r="BH197" s="17">
        <v>3912</v>
      </c>
      <c r="BI197" s="17">
        <v>4236</v>
      </c>
      <c r="BJ197" s="17">
        <v>4523</v>
      </c>
      <c r="BK197" s="17">
        <v>4812</v>
      </c>
      <c r="BL197" s="17">
        <v>5084</v>
      </c>
      <c r="BM197" s="17">
        <v>5364</v>
      </c>
      <c r="BN197" s="17">
        <v>5653</v>
      </c>
      <c r="BO197" s="17">
        <v>5987</v>
      </c>
      <c r="BP197" s="17">
        <v>6327</v>
      </c>
      <c r="BQ197" s="17">
        <v>6667</v>
      </c>
      <c r="BR197" s="17">
        <v>6976</v>
      </c>
      <c r="BS197" s="17">
        <v>7296</v>
      </c>
      <c r="BT197" s="17">
        <v>7541</v>
      </c>
      <c r="BU197" s="17">
        <v>7776</v>
      </c>
      <c r="BV197" s="17">
        <v>8002</v>
      </c>
      <c r="BW197" s="17">
        <v>8180</v>
      </c>
      <c r="BX197" s="17">
        <v>8312</v>
      </c>
      <c r="BY197" s="17">
        <v>8412</v>
      </c>
      <c r="BZ197" s="17">
        <v>8493</v>
      </c>
      <c r="CA197" s="17">
        <v>8568</v>
      </c>
      <c r="CB197" s="17">
        <v>8637</v>
      </c>
      <c r="CC197" s="17">
        <v>8685</v>
      </c>
      <c r="CD197" s="17">
        <v>8725</v>
      </c>
      <c r="CE197" s="17">
        <v>8749</v>
      </c>
      <c r="CF197" s="17">
        <v>8756</v>
      </c>
      <c r="CG197" s="17">
        <v>8760</v>
      </c>
      <c r="CH197" s="17">
        <v>8760</v>
      </c>
      <c r="CI197" s="17">
        <v>8760</v>
      </c>
      <c r="CJ197" s="17">
        <v>8760</v>
      </c>
      <c r="CK197" s="17">
        <v>8760</v>
      </c>
      <c r="CL197" s="17">
        <v>8760</v>
      </c>
      <c r="CM197" s="17">
        <v>8760</v>
      </c>
      <c r="CN197" s="17">
        <v>8760</v>
      </c>
      <c r="CO197" s="17">
        <v>8760</v>
      </c>
      <c r="CP197" s="17">
        <v>8760</v>
      </c>
      <c r="CQ197" s="17">
        <v>8760</v>
      </c>
      <c r="CR197" s="17">
        <v>8760</v>
      </c>
      <c r="CS197" s="17">
        <v>8760</v>
      </c>
      <c r="CT197" s="17">
        <v>8760</v>
      </c>
      <c r="CU197" s="17">
        <v>8760</v>
      </c>
      <c r="CV197" s="17">
        <v>8760</v>
      </c>
      <c r="CW197" s="17">
        <v>8760</v>
      </c>
      <c r="CX197" s="17">
        <v>8760</v>
      </c>
      <c r="CY197" s="17">
        <v>8760</v>
      </c>
      <c r="CZ197" s="17">
        <v>8760</v>
      </c>
      <c r="DA197" s="17">
        <v>8760</v>
      </c>
      <c r="DB197" s="17">
        <v>8760</v>
      </c>
    </row>
    <row r="198" spans="1:106" s="17" customFormat="1" x14ac:dyDescent="0.25">
      <c r="A198" s="22" t="s">
        <v>216</v>
      </c>
      <c r="B198" s="17" t="s">
        <v>201</v>
      </c>
      <c r="C198" s="17" t="s">
        <v>438</v>
      </c>
      <c r="D198" s="17" t="s">
        <v>759</v>
      </c>
      <c r="E198" s="17" t="s">
        <v>760</v>
      </c>
      <c r="F198" s="17">
        <v>102632</v>
      </c>
      <c r="G198" s="17">
        <v>0</v>
      </c>
      <c r="H198" s="17">
        <v>0</v>
      </c>
      <c r="I198" s="17">
        <v>0</v>
      </c>
      <c r="J198" s="17">
        <v>0</v>
      </c>
      <c r="K198" s="17">
        <v>0</v>
      </c>
      <c r="L198" s="17">
        <v>0</v>
      </c>
      <c r="M198" s="17">
        <v>0</v>
      </c>
      <c r="N198" s="17">
        <v>0</v>
      </c>
      <c r="O198" s="17">
        <v>0</v>
      </c>
      <c r="P198" s="17">
        <v>0</v>
      </c>
      <c r="Q198" s="17">
        <v>0</v>
      </c>
      <c r="R198" s="17">
        <v>0</v>
      </c>
      <c r="S198" s="17">
        <v>0</v>
      </c>
      <c r="T198" s="17">
        <v>0</v>
      </c>
      <c r="U198" s="17">
        <v>0</v>
      </c>
      <c r="V198" s="17">
        <v>0</v>
      </c>
      <c r="W198" s="17">
        <v>0</v>
      </c>
      <c r="X198" s="17">
        <v>0</v>
      </c>
      <c r="Y198" s="17">
        <v>0</v>
      </c>
      <c r="Z198" s="17">
        <v>0</v>
      </c>
      <c r="AA198" s="17">
        <v>0</v>
      </c>
      <c r="AB198" s="17">
        <v>0</v>
      </c>
      <c r="AC198" s="17">
        <v>0</v>
      </c>
      <c r="AD198" s="17">
        <v>0</v>
      </c>
      <c r="AE198" s="17">
        <v>0</v>
      </c>
      <c r="AF198" s="17">
        <v>0</v>
      </c>
      <c r="AG198" s="17">
        <v>0</v>
      </c>
      <c r="AH198" s="17">
        <v>0</v>
      </c>
      <c r="AI198" s="17">
        <v>0</v>
      </c>
      <c r="AJ198" s="17">
        <v>2</v>
      </c>
      <c r="AK198" s="17">
        <v>7</v>
      </c>
      <c r="AL198" s="17">
        <v>14</v>
      </c>
      <c r="AM198" s="17">
        <v>28</v>
      </c>
      <c r="AN198" s="17">
        <v>53</v>
      </c>
      <c r="AO198" s="17">
        <v>80</v>
      </c>
      <c r="AP198" s="17">
        <v>115</v>
      </c>
      <c r="AQ198" s="17">
        <v>143</v>
      </c>
      <c r="AR198" s="17">
        <v>173</v>
      </c>
      <c r="AS198" s="17">
        <v>229</v>
      </c>
      <c r="AT198" s="17">
        <v>305</v>
      </c>
      <c r="AU198" s="17">
        <v>415</v>
      </c>
      <c r="AV198" s="17">
        <v>549</v>
      </c>
      <c r="AW198" s="17">
        <v>652</v>
      </c>
      <c r="AX198" s="17">
        <v>776</v>
      </c>
      <c r="AY198" s="17">
        <v>939</v>
      </c>
      <c r="AZ198" s="17">
        <v>1106</v>
      </c>
      <c r="BA198" s="17">
        <v>1328</v>
      </c>
      <c r="BB198" s="17">
        <v>1653</v>
      </c>
      <c r="BC198" s="17">
        <v>2076</v>
      </c>
      <c r="BD198" s="17">
        <v>2623</v>
      </c>
      <c r="BE198" s="17">
        <v>3138</v>
      </c>
      <c r="BF198" s="17">
        <v>3575</v>
      </c>
      <c r="BG198" s="17">
        <v>3911</v>
      </c>
      <c r="BH198" s="17">
        <v>4289</v>
      </c>
      <c r="BI198" s="17">
        <v>4568</v>
      </c>
      <c r="BJ198" s="17">
        <v>4810</v>
      </c>
      <c r="BK198" s="17">
        <v>5062</v>
      </c>
      <c r="BL198" s="17">
        <v>5316</v>
      </c>
      <c r="BM198" s="17">
        <v>5613</v>
      </c>
      <c r="BN198" s="17">
        <v>5977</v>
      </c>
      <c r="BO198" s="17">
        <v>6347</v>
      </c>
      <c r="BP198" s="17">
        <v>6692</v>
      </c>
      <c r="BQ198" s="17">
        <v>7005</v>
      </c>
      <c r="BR198" s="17">
        <v>7323</v>
      </c>
      <c r="BS198" s="17">
        <v>7582</v>
      </c>
      <c r="BT198" s="17">
        <v>7811</v>
      </c>
      <c r="BU198" s="17">
        <v>7994</v>
      </c>
      <c r="BV198" s="17">
        <v>8194</v>
      </c>
      <c r="BW198" s="17">
        <v>8335</v>
      </c>
      <c r="BX198" s="17">
        <v>8472</v>
      </c>
      <c r="BY198" s="17">
        <v>8564</v>
      </c>
      <c r="BZ198" s="17">
        <v>8615</v>
      </c>
      <c r="CA198" s="17">
        <v>8655</v>
      </c>
      <c r="CB198" s="17">
        <v>8686</v>
      </c>
      <c r="CC198" s="17">
        <v>8700</v>
      </c>
      <c r="CD198" s="17">
        <v>8726</v>
      </c>
      <c r="CE198" s="17">
        <v>8739</v>
      </c>
      <c r="CF198" s="17">
        <v>8753</v>
      </c>
      <c r="CG198" s="17">
        <v>8760</v>
      </c>
      <c r="CH198" s="17">
        <v>8760</v>
      </c>
      <c r="CI198" s="17">
        <v>8760</v>
      </c>
      <c r="CJ198" s="17">
        <v>8760</v>
      </c>
      <c r="CK198" s="17">
        <v>8760</v>
      </c>
      <c r="CL198" s="17">
        <v>8760</v>
      </c>
      <c r="CM198" s="17">
        <v>8760</v>
      </c>
      <c r="CN198" s="17">
        <v>8760</v>
      </c>
      <c r="CO198" s="17">
        <v>8760</v>
      </c>
      <c r="CP198" s="17">
        <v>8760</v>
      </c>
      <c r="CQ198" s="17">
        <v>8760</v>
      </c>
      <c r="CR198" s="17">
        <v>8760</v>
      </c>
      <c r="CS198" s="17">
        <v>8760</v>
      </c>
      <c r="CT198" s="17">
        <v>8760</v>
      </c>
      <c r="CU198" s="17">
        <v>8760</v>
      </c>
      <c r="CV198" s="17">
        <v>8760</v>
      </c>
      <c r="CW198" s="17">
        <v>8760</v>
      </c>
      <c r="CX198" s="17">
        <v>8760</v>
      </c>
      <c r="CY198" s="17">
        <v>8760</v>
      </c>
      <c r="CZ198" s="17">
        <v>8760</v>
      </c>
      <c r="DA198" s="17">
        <v>8760</v>
      </c>
      <c r="DB198" s="17">
        <v>8760</v>
      </c>
    </row>
    <row r="199" spans="1:106" s="17" customFormat="1" x14ac:dyDescent="0.25">
      <c r="A199" s="22" t="s">
        <v>217</v>
      </c>
      <c r="B199" s="17" t="s">
        <v>202</v>
      </c>
      <c r="C199" s="17" t="s">
        <v>438</v>
      </c>
      <c r="D199" s="17" t="s">
        <v>761</v>
      </c>
      <c r="E199" s="17" t="s">
        <v>762</v>
      </c>
      <c r="F199" s="17">
        <v>102728</v>
      </c>
      <c r="G199" s="17">
        <v>0</v>
      </c>
      <c r="H199" s="17">
        <v>0</v>
      </c>
      <c r="I199" s="17">
        <v>0</v>
      </c>
      <c r="J199" s="17">
        <v>0</v>
      </c>
      <c r="K199" s="17">
        <v>0</v>
      </c>
      <c r="L199" s="17">
        <v>0</v>
      </c>
      <c r="M199" s="17">
        <v>0</v>
      </c>
      <c r="N199" s="17">
        <v>0</v>
      </c>
      <c r="O199" s="17">
        <v>0</v>
      </c>
      <c r="P199" s="17">
        <v>0</v>
      </c>
      <c r="Q199" s="17">
        <v>0</v>
      </c>
      <c r="R199" s="17">
        <v>0</v>
      </c>
      <c r="S199" s="17">
        <v>0</v>
      </c>
      <c r="T199" s="17">
        <v>0</v>
      </c>
      <c r="U199" s="17">
        <v>0</v>
      </c>
      <c r="V199" s="17">
        <v>0</v>
      </c>
      <c r="W199" s="17">
        <v>0</v>
      </c>
      <c r="X199" s="17">
        <v>0</v>
      </c>
      <c r="Y199" s="17">
        <v>0</v>
      </c>
      <c r="Z199" s="17">
        <v>0</v>
      </c>
      <c r="AA199" s="17">
        <v>0</v>
      </c>
      <c r="AB199" s="17">
        <v>0</v>
      </c>
      <c r="AC199" s="17">
        <v>0</v>
      </c>
      <c r="AD199" s="17">
        <v>0</v>
      </c>
      <c r="AE199" s="17">
        <v>1</v>
      </c>
      <c r="AF199" s="17">
        <v>3</v>
      </c>
      <c r="AG199" s="17">
        <v>5</v>
      </c>
      <c r="AH199" s="17">
        <v>11</v>
      </c>
      <c r="AI199" s="17">
        <v>17</v>
      </c>
      <c r="AJ199" s="17">
        <v>24</v>
      </c>
      <c r="AK199" s="17">
        <v>28</v>
      </c>
      <c r="AL199" s="17">
        <v>40</v>
      </c>
      <c r="AM199" s="17">
        <v>56</v>
      </c>
      <c r="AN199" s="17">
        <v>90</v>
      </c>
      <c r="AO199" s="17">
        <v>133</v>
      </c>
      <c r="AP199" s="17">
        <v>159</v>
      </c>
      <c r="AQ199" s="17">
        <v>203</v>
      </c>
      <c r="AR199" s="17">
        <v>271</v>
      </c>
      <c r="AS199" s="17">
        <v>346</v>
      </c>
      <c r="AT199" s="17">
        <v>448</v>
      </c>
      <c r="AU199" s="17">
        <v>566</v>
      </c>
      <c r="AV199" s="17">
        <v>676</v>
      </c>
      <c r="AW199" s="17">
        <v>865</v>
      </c>
      <c r="AX199" s="17">
        <v>1091</v>
      </c>
      <c r="AY199" s="17">
        <v>1324</v>
      </c>
      <c r="AZ199" s="17">
        <v>1562</v>
      </c>
      <c r="BA199" s="17">
        <v>1810</v>
      </c>
      <c r="BB199" s="17">
        <v>2151</v>
      </c>
      <c r="BC199" s="17">
        <v>2507</v>
      </c>
      <c r="BD199" s="17">
        <v>2915</v>
      </c>
      <c r="BE199" s="17">
        <v>3360</v>
      </c>
      <c r="BF199" s="17">
        <v>3749</v>
      </c>
      <c r="BG199" s="17">
        <v>4086</v>
      </c>
      <c r="BH199" s="17">
        <v>4381</v>
      </c>
      <c r="BI199" s="17">
        <v>4652</v>
      </c>
      <c r="BJ199" s="17">
        <v>4943</v>
      </c>
      <c r="BK199" s="17">
        <v>5222</v>
      </c>
      <c r="BL199" s="17">
        <v>5510</v>
      </c>
      <c r="BM199" s="17">
        <v>5809</v>
      </c>
      <c r="BN199" s="17">
        <v>6114</v>
      </c>
      <c r="BO199" s="17">
        <v>6401</v>
      </c>
      <c r="BP199" s="17">
        <v>6736</v>
      </c>
      <c r="BQ199" s="17">
        <v>7050</v>
      </c>
      <c r="BR199" s="17">
        <v>7331</v>
      </c>
      <c r="BS199" s="17">
        <v>7570</v>
      </c>
      <c r="BT199" s="17">
        <v>7811</v>
      </c>
      <c r="BU199" s="17">
        <v>8013</v>
      </c>
      <c r="BV199" s="17">
        <v>8197</v>
      </c>
      <c r="BW199" s="17">
        <v>8350</v>
      </c>
      <c r="BX199" s="17">
        <v>8487</v>
      </c>
      <c r="BY199" s="17">
        <v>8587</v>
      </c>
      <c r="BZ199" s="17">
        <v>8666</v>
      </c>
      <c r="CA199" s="17">
        <v>8710</v>
      </c>
      <c r="CB199" s="17">
        <v>8733</v>
      </c>
      <c r="CC199" s="17">
        <v>8753</v>
      </c>
      <c r="CD199" s="17">
        <v>8760</v>
      </c>
      <c r="CE199" s="17">
        <v>8760</v>
      </c>
      <c r="CF199" s="17">
        <v>8760</v>
      </c>
      <c r="CG199" s="17">
        <v>8760</v>
      </c>
      <c r="CH199" s="17">
        <v>8760</v>
      </c>
      <c r="CI199" s="17">
        <v>8760</v>
      </c>
      <c r="CJ199" s="17">
        <v>8760</v>
      </c>
      <c r="CK199" s="17">
        <v>8760</v>
      </c>
      <c r="CL199" s="17">
        <v>8760</v>
      </c>
      <c r="CM199" s="17">
        <v>8760</v>
      </c>
      <c r="CN199" s="17">
        <v>8760</v>
      </c>
      <c r="CO199" s="17">
        <v>8760</v>
      </c>
      <c r="CP199" s="17">
        <v>8760</v>
      </c>
      <c r="CQ199" s="17">
        <v>8760</v>
      </c>
      <c r="CR199" s="17">
        <v>8760</v>
      </c>
      <c r="CS199" s="17">
        <v>8760</v>
      </c>
      <c r="CT199" s="17">
        <v>8760</v>
      </c>
      <c r="CU199" s="17">
        <v>8760</v>
      </c>
      <c r="CV199" s="17">
        <v>8760</v>
      </c>
      <c r="CW199" s="17">
        <v>8760</v>
      </c>
      <c r="CX199" s="17">
        <v>8760</v>
      </c>
      <c r="CY199" s="17">
        <v>8760</v>
      </c>
      <c r="CZ199" s="17">
        <v>8760</v>
      </c>
      <c r="DA199" s="17">
        <v>8760</v>
      </c>
      <c r="DB199" s="17">
        <v>8760</v>
      </c>
    </row>
    <row r="200" spans="1:106" s="17" customFormat="1" x14ac:dyDescent="0.25">
      <c r="A200" s="22" t="s">
        <v>218</v>
      </c>
      <c r="B200" s="17" t="s">
        <v>203</v>
      </c>
      <c r="C200" s="17" t="s">
        <v>438</v>
      </c>
      <c r="D200" s="17" t="s">
        <v>763</v>
      </c>
      <c r="E200" s="17" t="s">
        <v>764</v>
      </c>
      <c r="F200" s="17">
        <v>102916</v>
      </c>
      <c r="G200" s="17">
        <v>0</v>
      </c>
      <c r="H200" s="17">
        <v>0</v>
      </c>
      <c r="I200" s="17">
        <v>0</v>
      </c>
      <c r="J200" s="17">
        <v>0</v>
      </c>
      <c r="K200" s="17">
        <v>0</v>
      </c>
      <c r="L200" s="17">
        <v>0</v>
      </c>
      <c r="M200" s="17">
        <v>0</v>
      </c>
      <c r="N200" s="17">
        <v>0</v>
      </c>
      <c r="O200" s="17">
        <v>0</v>
      </c>
      <c r="P200" s="17">
        <v>0</v>
      </c>
      <c r="Q200" s="17">
        <v>0</v>
      </c>
      <c r="R200" s="17">
        <v>0</v>
      </c>
      <c r="S200" s="17">
        <v>0</v>
      </c>
      <c r="T200" s="17">
        <v>0</v>
      </c>
      <c r="U200" s="17">
        <v>0</v>
      </c>
      <c r="V200" s="17">
        <v>0</v>
      </c>
      <c r="W200" s="17">
        <v>0</v>
      </c>
      <c r="X200" s="17">
        <v>0</v>
      </c>
      <c r="Y200" s="17">
        <v>0</v>
      </c>
      <c r="Z200" s="17">
        <v>0</v>
      </c>
      <c r="AA200" s="17">
        <v>0</v>
      </c>
      <c r="AB200" s="17">
        <v>0</v>
      </c>
      <c r="AC200" s="17">
        <v>0</v>
      </c>
      <c r="AD200" s="17">
        <v>0</v>
      </c>
      <c r="AE200" s="17">
        <v>0</v>
      </c>
      <c r="AF200" s="17">
        <v>0</v>
      </c>
      <c r="AG200" s="17">
        <v>0</v>
      </c>
      <c r="AH200" s="17">
        <v>1</v>
      </c>
      <c r="AI200" s="17">
        <v>4</v>
      </c>
      <c r="AJ200" s="17">
        <v>11</v>
      </c>
      <c r="AK200" s="17">
        <v>17</v>
      </c>
      <c r="AL200" s="17">
        <v>28</v>
      </c>
      <c r="AM200" s="17">
        <v>67</v>
      </c>
      <c r="AN200" s="17">
        <v>108</v>
      </c>
      <c r="AO200" s="17">
        <v>158</v>
      </c>
      <c r="AP200" s="17">
        <v>199</v>
      </c>
      <c r="AQ200" s="17">
        <v>268</v>
      </c>
      <c r="AR200" s="17">
        <v>335</v>
      </c>
      <c r="AS200" s="17">
        <v>399</v>
      </c>
      <c r="AT200" s="17">
        <v>475</v>
      </c>
      <c r="AU200" s="17">
        <v>566</v>
      </c>
      <c r="AV200" s="17">
        <v>674</v>
      </c>
      <c r="AW200" s="17">
        <v>822</v>
      </c>
      <c r="AX200" s="17">
        <v>987</v>
      </c>
      <c r="AY200" s="17">
        <v>1157</v>
      </c>
      <c r="AZ200" s="17">
        <v>1370</v>
      </c>
      <c r="BA200" s="17">
        <v>1623</v>
      </c>
      <c r="BB200" s="17">
        <v>2029</v>
      </c>
      <c r="BC200" s="17">
        <v>2415</v>
      </c>
      <c r="BD200" s="17">
        <v>2887</v>
      </c>
      <c r="BE200" s="17">
        <v>3458</v>
      </c>
      <c r="BF200" s="17">
        <v>3885</v>
      </c>
      <c r="BG200" s="17">
        <v>4257</v>
      </c>
      <c r="BH200" s="17">
        <v>4580</v>
      </c>
      <c r="BI200" s="17">
        <v>4835</v>
      </c>
      <c r="BJ200" s="17">
        <v>5143</v>
      </c>
      <c r="BK200" s="17">
        <v>5368</v>
      </c>
      <c r="BL200" s="17">
        <v>5654</v>
      </c>
      <c r="BM200" s="17">
        <v>5964</v>
      </c>
      <c r="BN200" s="17">
        <v>6228</v>
      </c>
      <c r="BO200" s="17">
        <v>6505</v>
      </c>
      <c r="BP200" s="17">
        <v>6819</v>
      </c>
      <c r="BQ200" s="17">
        <v>7141</v>
      </c>
      <c r="BR200" s="17">
        <v>7480</v>
      </c>
      <c r="BS200" s="17">
        <v>7753</v>
      </c>
      <c r="BT200" s="17">
        <v>7988</v>
      </c>
      <c r="BU200" s="17">
        <v>8199</v>
      </c>
      <c r="BV200" s="17">
        <v>8351</v>
      </c>
      <c r="BW200" s="17">
        <v>8459</v>
      </c>
      <c r="BX200" s="17">
        <v>8554</v>
      </c>
      <c r="BY200" s="17">
        <v>8632</v>
      </c>
      <c r="BZ200" s="17">
        <v>8685</v>
      </c>
      <c r="CA200" s="17">
        <v>8725</v>
      </c>
      <c r="CB200" s="17">
        <v>8746</v>
      </c>
      <c r="CC200" s="17">
        <v>8759</v>
      </c>
      <c r="CD200" s="17">
        <v>8760</v>
      </c>
      <c r="CE200" s="17">
        <v>8760</v>
      </c>
      <c r="CF200" s="17">
        <v>8760</v>
      </c>
      <c r="CG200" s="17">
        <v>8760</v>
      </c>
      <c r="CH200" s="17">
        <v>8760</v>
      </c>
      <c r="CI200" s="17">
        <v>8760</v>
      </c>
      <c r="CJ200" s="17">
        <v>8760</v>
      </c>
      <c r="CK200" s="17">
        <v>8760</v>
      </c>
      <c r="CL200" s="17">
        <v>8760</v>
      </c>
      <c r="CM200" s="17">
        <v>8760</v>
      </c>
      <c r="CN200" s="17">
        <v>8760</v>
      </c>
      <c r="CO200" s="17">
        <v>8760</v>
      </c>
      <c r="CP200" s="17">
        <v>8760</v>
      </c>
      <c r="CQ200" s="17">
        <v>8760</v>
      </c>
      <c r="CR200" s="17">
        <v>8760</v>
      </c>
      <c r="CS200" s="17">
        <v>8760</v>
      </c>
      <c r="CT200" s="17">
        <v>8760</v>
      </c>
      <c r="CU200" s="17">
        <v>8760</v>
      </c>
      <c r="CV200" s="17">
        <v>8760</v>
      </c>
      <c r="CW200" s="17">
        <v>8760</v>
      </c>
      <c r="CX200" s="17">
        <v>8760</v>
      </c>
      <c r="CY200" s="17">
        <v>8760</v>
      </c>
      <c r="CZ200" s="17">
        <v>8760</v>
      </c>
      <c r="DA200" s="17">
        <v>8760</v>
      </c>
      <c r="DB200" s="17">
        <v>8760</v>
      </c>
    </row>
    <row r="201" spans="1:106" s="17" customFormat="1" x14ac:dyDescent="0.25">
      <c r="A201" s="22" t="s">
        <v>219</v>
      </c>
      <c r="B201" s="17" t="s">
        <v>204</v>
      </c>
      <c r="C201" s="17" t="s">
        <v>438</v>
      </c>
      <c r="D201" s="17" t="s">
        <v>765</v>
      </c>
      <c r="E201" s="17" t="s">
        <v>766</v>
      </c>
      <c r="F201" s="17">
        <v>102409</v>
      </c>
      <c r="G201" s="17">
        <v>0</v>
      </c>
      <c r="H201" s="17">
        <v>0</v>
      </c>
      <c r="I201" s="17">
        <v>0</v>
      </c>
      <c r="J201" s="17">
        <v>0</v>
      </c>
      <c r="K201" s="17">
        <v>0</v>
      </c>
      <c r="L201" s="17">
        <v>0</v>
      </c>
      <c r="M201" s="17">
        <v>0</v>
      </c>
      <c r="N201" s="17">
        <v>0</v>
      </c>
      <c r="O201" s="17">
        <v>0</v>
      </c>
      <c r="P201" s="17">
        <v>0</v>
      </c>
      <c r="Q201" s="17">
        <v>0</v>
      </c>
      <c r="R201" s="17">
        <v>0</v>
      </c>
      <c r="S201" s="17">
        <v>0</v>
      </c>
      <c r="T201" s="17">
        <v>0</v>
      </c>
      <c r="U201" s="17">
        <v>0</v>
      </c>
      <c r="V201" s="17">
        <v>0</v>
      </c>
      <c r="W201" s="17">
        <v>0</v>
      </c>
      <c r="X201" s="17">
        <v>0</v>
      </c>
      <c r="Y201" s="17">
        <v>0</v>
      </c>
      <c r="Z201" s="17">
        <v>0</v>
      </c>
      <c r="AA201" s="17">
        <v>0</v>
      </c>
      <c r="AB201" s="17">
        <v>0</v>
      </c>
      <c r="AC201" s="17">
        <v>0</v>
      </c>
      <c r="AD201" s="17">
        <v>0</v>
      </c>
      <c r="AE201" s="17">
        <v>0</v>
      </c>
      <c r="AF201" s="17">
        <v>0</v>
      </c>
      <c r="AG201" s="17">
        <v>0</v>
      </c>
      <c r="AH201" s="17">
        <v>0</v>
      </c>
      <c r="AI201" s="17">
        <v>0</v>
      </c>
      <c r="AJ201" s="17">
        <v>0</v>
      </c>
      <c r="AK201" s="17">
        <v>0</v>
      </c>
      <c r="AL201" s="17">
        <v>0</v>
      </c>
      <c r="AM201" s="17">
        <v>0</v>
      </c>
      <c r="AN201" s="17">
        <v>1</v>
      </c>
      <c r="AO201" s="17">
        <v>5</v>
      </c>
      <c r="AP201" s="17">
        <v>8</v>
      </c>
      <c r="AQ201" s="17">
        <v>11</v>
      </c>
      <c r="AR201" s="17">
        <v>25</v>
      </c>
      <c r="AS201" s="17">
        <v>39</v>
      </c>
      <c r="AT201" s="17">
        <v>58</v>
      </c>
      <c r="AU201" s="17">
        <v>108</v>
      </c>
      <c r="AV201" s="17">
        <v>180</v>
      </c>
      <c r="AW201" s="17">
        <v>266</v>
      </c>
      <c r="AX201" s="17">
        <v>359</v>
      </c>
      <c r="AY201" s="17">
        <v>486</v>
      </c>
      <c r="AZ201" s="17">
        <v>668</v>
      </c>
      <c r="BA201" s="17">
        <v>879</v>
      </c>
      <c r="BB201" s="17">
        <v>1085</v>
      </c>
      <c r="BC201" s="17">
        <v>1379</v>
      </c>
      <c r="BD201" s="17">
        <v>1759</v>
      </c>
      <c r="BE201" s="17">
        <v>2217</v>
      </c>
      <c r="BF201" s="17">
        <v>2654</v>
      </c>
      <c r="BG201" s="17">
        <v>3087</v>
      </c>
      <c r="BH201" s="17">
        <v>3468</v>
      </c>
      <c r="BI201" s="17">
        <v>3844</v>
      </c>
      <c r="BJ201" s="17">
        <v>4161</v>
      </c>
      <c r="BK201" s="17">
        <v>4462</v>
      </c>
      <c r="BL201" s="17">
        <v>4752</v>
      </c>
      <c r="BM201" s="17">
        <v>5036</v>
      </c>
      <c r="BN201" s="17">
        <v>5332</v>
      </c>
      <c r="BO201" s="17">
        <v>5668</v>
      </c>
      <c r="BP201" s="17">
        <v>6019</v>
      </c>
      <c r="BQ201" s="17">
        <v>6403</v>
      </c>
      <c r="BR201" s="17">
        <v>6725</v>
      </c>
      <c r="BS201" s="17">
        <v>7049</v>
      </c>
      <c r="BT201" s="17">
        <v>7378</v>
      </c>
      <c r="BU201" s="17">
        <v>7669</v>
      </c>
      <c r="BV201" s="17">
        <v>7904</v>
      </c>
      <c r="BW201" s="17">
        <v>8103</v>
      </c>
      <c r="BX201" s="17">
        <v>8313</v>
      </c>
      <c r="BY201" s="17">
        <v>8466</v>
      </c>
      <c r="BZ201" s="17">
        <v>8564</v>
      </c>
      <c r="CA201" s="17">
        <v>8621</v>
      </c>
      <c r="CB201" s="17">
        <v>8650</v>
      </c>
      <c r="CC201" s="17">
        <v>8673</v>
      </c>
      <c r="CD201" s="17">
        <v>8698</v>
      </c>
      <c r="CE201" s="17">
        <v>8725</v>
      </c>
      <c r="CF201" s="17">
        <v>8742</v>
      </c>
      <c r="CG201" s="17">
        <v>8749</v>
      </c>
      <c r="CH201" s="17">
        <v>8756</v>
      </c>
      <c r="CI201" s="17">
        <v>8760</v>
      </c>
      <c r="CJ201" s="17">
        <v>8760</v>
      </c>
      <c r="CK201" s="17">
        <v>8760</v>
      </c>
      <c r="CL201" s="17">
        <v>8760</v>
      </c>
      <c r="CM201" s="17">
        <v>8760</v>
      </c>
      <c r="CN201" s="17">
        <v>8760</v>
      </c>
      <c r="CO201" s="17">
        <v>8760</v>
      </c>
      <c r="CP201" s="17">
        <v>8760</v>
      </c>
      <c r="CQ201" s="17">
        <v>8760</v>
      </c>
      <c r="CR201" s="17">
        <v>8760</v>
      </c>
      <c r="CS201" s="17">
        <v>8760</v>
      </c>
      <c r="CT201" s="17">
        <v>8760</v>
      </c>
      <c r="CU201" s="17">
        <v>8760</v>
      </c>
      <c r="CV201" s="17">
        <v>8760</v>
      </c>
      <c r="CW201" s="17">
        <v>8760</v>
      </c>
      <c r="CX201" s="17">
        <v>8760</v>
      </c>
      <c r="CY201" s="17">
        <v>8760</v>
      </c>
      <c r="CZ201" s="17">
        <v>8760</v>
      </c>
      <c r="DA201" s="17">
        <v>8760</v>
      </c>
      <c r="DB201" s="17">
        <v>8760</v>
      </c>
    </row>
    <row r="202" spans="1:106" s="17" customFormat="1" x14ac:dyDescent="0.25">
      <c r="A202" s="22" t="s">
        <v>220</v>
      </c>
      <c r="B202" s="17" t="s">
        <v>205</v>
      </c>
      <c r="C202" s="17" t="s">
        <v>438</v>
      </c>
      <c r="D202" s="17" t="s">
        <v>767</v>
      </c>
      <c r="E202" s="17" t="s">
        <v>768</v>
      </c>
      <c r="F202" s="17">
        <v>102616</v>
      </c>
      <c r="G202" s="17">
        <v>0</v>
      </c>
      <c r="H202" s="17">
        <v>0</v>
      </c>
      <c r="I202" s="17">
        <v>0</v>
      </c>
      <c r="J202" s="17">
        <v>0</v>
      </c>
      <c r="K202" s="17">
        <v>0</v>
      </c>
      <c r="L202" s="17">
        <v>0</v>
      </c>
      <c r="M202" s="17">
        <v>0</v>
      </c>
      <c r="N202" s="17">
        <v>0</v>
      </c>
      <c r="O202" s="17">
        <v>0</v>
      </c>
      <c r="P202" s="17">
        <v>0</v>
      </c>
      <c r="Q202" s="17">
        <v>0</v>
      </c>
      <c r="R202" s="17">
        <v>0</v>
      </c>
      <c r="S202" s="17">
        <v>0</v>
      </c>
      <c r="T202" s="17">
        <v>0</v>
      </c>
      <c r="U202" s="17">
        <v>0</v>
      </c>
      <c r="V202" s="17">
        <v>0</v>
      </c>
      <c r="W202" s="17">
        <v>0</v>
      </c>
      <c r="X202" s="17">
        <v>0</v>
      </c>
      <c r="Y202" s="17">
        <v>0</v>
      </c>
      <c r="Z202" s="17">
        <v>0</v>
      </c>
      <c r="AA202" s="17">
        <v>0</v>
      </c>
      <c r="AB202" s="17">
        <v>0</v>
      </c>
      <c r="AC202" s="17">
        <v>0</v>
      </c>
      <c r="AD202" s="17">
        <v>0</v>
      </c>
      <c r="AE202" s="17">
        <v>0</v>
      </c>
      <c r="AF202" s="17">
        <v>0</v>
      </c>
      <c r="AG202" s="17">
        <v>0</v>
      </c>
      <c r="AH202" s="17">
        <v>0</v>
      </c>
      <c r="AI202" s="17">
        <v>0</v>
      </c>
      <c r="AJ202" s="17">
        <v>0</v>
      </c>
      <c r="AK202" s="17">
        <v>0</v>
      </c>
      <c r="AL202" s="17">
        <v>0</v>
      </c>
      <c r="AM202" s="17">
        <v>0</v>
      </c>
      <c r="AN202" s="17">
        <v>2</v>
      </c>
      <c r="AO202" s="17">
        <v>5</v>
      </c>
      <c r="AP202" s="17">
        <v>11</v>
      </c>
      <c r="AQ202" s="17">
        <v>26</v>
      </c>
      <c r="AR202" s="17">
        <v>62</v>
      </c>
      <c r="AS202" s="17">
        <v>101</v>
      </c>
      <c r="AT202" s="17">
        <v>136</v>
      </c>
      <c r="AU202" s="17">
        <v>182</v>
      </c>
      <c r="AV202" s="17">
        <v>242</v>
      </c>
      <c r="AW202" s="17">
        <v>302</v>
      </c>
      <c r="AX202" s="17">
        <v>389</v>
      </c>
      <c r="AY202" s="17">
        <v>499</v>
      </c>
      <c r="AZ202" s="17">
        <v>641</v>
      </c>
      <c r="BA202" s="17">
        <v>881</v>
      </c>
      <c r="BB202" s="17">
        <v>1208</v>
      </c>
      <c r="BC202" s="17">
        <v>1536</v>
      </c>
      <c r="BD202" s="17">
        <v>1992</v>
      </c>
      <c r="BE202" s="17">
        <v>2478</v>
      </c>
      <c r="BF202" s="17">
        <v>2929</v>
      </c>
      <c r="BG202" s="17">
        <v>3350</v>
      </c>
      <c r="BH202" s="17">
        <v>3720</v>
      </c>
      <c r="BI202" s="17">
        <v>4025</v>
      </c>
      <c r="BJ202" s="17">
        <v>4282</v>
      </c>
      <c r="BK202" s="17">
        <v>4598</v>
      </c>
      <c r="BL202" s="17">
        <v>4942</v>
      </c>
      <c r="BM202" s="17">
        <v>5258</v>
      </c>
      <c r="BN202" s="17">
        <v>5619</v>
      </c>
      <c r="BO202" s="17">
        <v>5938</v>
      </c>
      <c r="BP202" s="17">
        <v>6302</v>
      </c>
      <c r="BQ202" s="17">
        <v>6680</v>
      </c>
      <c r="BR202" s="17">
        <v>7073</v>
      </c>
      <c r="BS202" s="17">
        <v>7412</v>
      </c>
      <c r="BT202" s="17">
        <v>7726</v>
      </c>
      <c r="BU202" s="17">
        <v>7981</v>
      </c>
      <c r="BV202" s="17">
        <v>8206</v>
      </c>
      <c r="BW202" s="17">
        <v>8383</v>
      </c>
      <c r="BX202" s="17">
        <v>8516</v>
      </c>
      <c r="BY202" s="17">
        <v>8622</v>
      </c>
      <c r="BZ202" s="17">
        <v>8680</v>
      </c>
      <c r="CA202" s="17">
        <v>8733</v>
      </c>
      <c r="CB202" s="17">
        <v>8755</v>
      </c>
      <c r="CC202" s="17">
        <v>8760</v>
      </c>
      <c r="CD202" s="17">
        <v>8760</v>
      </c>
      <c r="CE202" s="17">
        <v>8760</v>
      </c>
      <c r="CF202" s="17">
        <v>8760</v>
      </c>
      <c r="CG202" s="17">
        <v>8760</v>
      </c>
      <c r="CH202" s="17">
        <v>8760</v>
      </c>
      <c r="CI202" s="17">
        <v>8760</v>
      </c>
      <c r="CJ202" s="17">
        <v>8760</v>
      </c>
      <c r="CK202" s="17">
        <v>8760</v>
      </c>
      <c r="CL202" s="17">
        <v>8760</v>
      </c>
      <c r="CM202" s="17">
        <v>8760</v>
      </c>
      <c r="CN202" s="17">
        <v>8760</v>
      </c>
      <c r="CO202" s="17">
        <v>8760</v>
      </c>
      <c r="CP202" s="17">
        <v>8760</v>
      </c>
      <c r="CQ202" s="17">
        <v>8760</v>
      </c>
      <c r="CR202" s="17">
        <v>8760</v>
      </c>
      <c r="CS202" s="17">
        <v>8760</v>
      </c>
      <c r="CT202" s="17">
        <v>8760</v>
      </c>
      <c r="CU202" s="17">
        <v>8760</v>
      </c>
      <c r="CV202" s="17">
        <v>8760</v>
      </c>
      <c r="CW202" s="17">
        <v>8760</v>
      </c>
      <c r="CX202" s="17">
        <v>8760</v>
      </c>
      <c r="CY202" s="17">
        <v>8760</v>
      </c>
      <c r="CZ202" s="17">
        <v>8760</v>
      </c>
      <c r="DA202" s="17">
        <v>8760</v>
      </c>
      <c r="DB202" s="17">
        <v>8760</v>
      </c>
    </row>
    <row r="203" spans="1:106" s="17" customFormat="1" x14ac:dyDescent="0.25">
      <c r="A203" s="22" t="s">
        <v>221</v>
      </c>
      <c r="B203" s="17" t="s">
        <v>404</v>
      </c>
      <c r="C203" s="17" t="s">
        <v>438</v>
      </c>
      <c r="D203" s="17" t="s">
        <v>769</v>
      </c>
      <c r="E203" s="17" t="s">
        <v>770</v>
      </c>
      <c r="F203" s="17">
        <v>102914</v>
      </c>
      <c r="G203" s="17">
        <v>0</v>
      </c>
      <c r="H203" s="17">
        <v>0</v>
      </c>
      <c r="I203" s="17">
        <v>0</v>
      </c>
      <c r="J203" s="17">
        <v>0</v>
      </c>
      <c r="K203" s="17">
        <v>0</v>
      </c>
      <c r="L203" s="17">
        <v>0</v>
      </c>
      <c r="M203" s="17">
        <v>0</v>
      </c>
      <c r="N203" s="17">
        <v>0</v>
      </c>
      <c r="O203" s="17">
        <v>0</v>
      </c>
      <c r="P203" s="17">
        <v>0</v>
      </c>
      <c r="Q203" s="17">
        <v>0</v>
      </c>
      <c r="R203" s="17">
        <v>0</v>
      </c>
      <c r="S203" s="17">
        <v>0</v>
      </c>
      <c r="T203" s="17">
        <v>0</v>
      </c>
      <c r="U203" s="17">
        <v>0</v>
      </c>
      <c r="V203" s="17">
        <v>0</v>
      </c>
      <c r="W203" s="17">
        <v>0</v>
      </c>
      <c r="X203" s="17">
        <v>0</v>
      </c>
      <c r="Y203" s="17">
        <v>0</v>
      </c>
      <c r="Z203" s="17">
        <v>0</v>
      </c>
      <c r="AA203" s="17">
        <v>0</v>
      </c>
      <c r="AB203" s="17">
        <v>0</v>
      </c>
      <c r="AC203" s="17">
        <v>0</v>
      </c>
      <c r="AD203" s="17">
        <v>0</v>
      </c>
      <c r="AE203" s="17">
        <v>11</v>
      </c>
      <c r="AF203" s="17">
        <v>33</v>
      </c>
      <c r="AG203" s="17">
        <v>51</v>
      </c>
      <c r="AH203" s="17">
        <v>72</v>
      </c>
      <c r="AI203" s="17">
        <v>107</v>
      </c>
      <c r="AJ203" s="17">
        <v>144</v>
      </c>
      <c r="AK203" s="17">
        <v>198</v>
      </c>
      <c r="AL203" s="17">
        <v>272</v>
      </c>
      <c r="AM203" s="17">
        <v>347</v>
      </c>
      <c r="AN203" s="17">
        <v>426</v>
      </c>
      <c r="AO203" s="17">
        <v>502</v>
      </c>
      <c r="AP203" s="17">
        <v>597</v>
      </c>
      <c r="AQ203" s="17">
        <v>677</v>
      </c>
      <c r="AR203" s="17">
        <v>773</v>
      </c>
      <c r="AS203" s="17">
        <v>915</v>
      </c>
      <c r="AT203" s="17">
        <v>1064</v>
      </c>
      <c r="AU203" s="17">
        <v>1235</v>
      </c>
      <c r="AV203" s="17">
        <v>1462</v>
      </c>
      <c r="AW203" s="17">
        <v>1707</v>
      </c>
      <c r="AX203" s="17">
        <v>1971</v>
      </c>
      <c r="AY203" s="17">
        <v>2302</v>
      </c>
      <c r="AZ203" s="17">
        <v>2586</v>
      </c>
      <c r="BA203" s="17">
        <v>2872</v>
      </c>
      <c r="BB203" s="17">
        <v>3183</v>
      </c>
      <c r="BC203" s="17">
        <v>3518</v>
      </c>
      <c r="BD203" s="17">
        <v>3860</v>
      </c>
      <c r="BE203" s="17">
        <v>4214</v>
      </c>
      <c r="BF203" s="17">
        <v>4535</v>
      </c>
      <c r="BG203" s="17">
        <v>4773</v>
      </c>
      <c r="BH203" s="17">
        <v>5004</v>
      </c>
      <c r="BI203" s="17">
        <v>5282</v>
      </c>
      <c r="BJ203" s="17">
        <v>5561</v>
      </c>
      <c r="BK203" s="17">
        <v>5860</v>
      </c>
      <c r="BL203" s="17">
        <v>6166</v>
      </c>
      <c r="BM203" s="17">
        <v>6449</v>
      </c>
      <c r="BN203" s="17">
        <v>6748</v>
      </c>
      <c r="BO203" s="17">
        <v>7037</v>
      </c>
      <c r="BP203" s="17">
        <v>7279</v>
      </c>
      <c r="BQ203" s="17">
        <v>7545</v>
      </c>
      <c r="BR203" s="17">
        <v>7800</v>
      </c>
      <c r="BS203" s="17">
        <v>8034</v>
      </c>
      <c r="BT203" s="17">
        <v>8215</v>
      </c>
      <c r="BU203" s="17">
        <v>8348</v>
      </c>
      <c r="BV203" s="17">
        <v>8442</v>
      </c>
      <c r="BW203" s="17">
        <v>8521</v>
      </c>
      <c r="BX203" s="17">
        <v>8597</v>
      </c>
      <c r="BY203" s="17">
        <v>8655</v>
      </c>
      <c r="BZ203" s="17">
        <v>8710</v>
      </c>
      <c r="CA203" s="17">
        <v>8738</v>
      </c>
      <c r="CB203" s="17">
        <v>8749</v>
      </c>
      <c r="CC203" s="17">
        <v>8751</v>
      </c>
      <c r="CD203" s="17">
        <v>8752</v>
      </c>
      <c r="CE203" s="17">
        <v>8753</v>
      </c>
      <c r="CF203" s="17">
        <v>8755</v>
      </c>
      <c r="CG203" s="17">
        <v>8757</v>
      </c>
      <c r="CH203" s="17">
        <v>8759</v>
      </c>
      <c r="CI203" s="17">
        <v>8760</v>
      </c>
      <c r="CJ203" s="17">
        <v>8760</v>
      </c>
      <c r="CK203" s="17">
        <v>8760</v>
      </c>
      <c r="CL203" s="17">
        <v>8760</v>
      </c>
      <c r="CM203" s="17">
        <v>8760</v>
      </c>
      <c r="CN203" s="17">
        <v>8760</v>
      </c>
      <c r="CO203" s="17">
        <v>8760</v>
      </c>
      <c r="CP203" s="17">
        <v>8760</v>
      </c>
      <c r="CQ203" s="17">
        <v>8760</v>
      </c>
      <c r="CR203" s="17">
        <v>8760</v>
      </c>
      <c r="CS203" s="17">
        <v>8760</v>
      </c>
      <c r="CT203" s="17">
        <v>8760</v>
      </c>
      <c r="CU203" s="17">
        <v>8760</v>
      </c>
      <c r="CV203" s="17">
        <v>8760</v>
      </c>
      <c r="CW203" s="17">
        <v>8760</v>
      </c>
      <c r="CX203" s="17">
        <v>8760</v>
      </c>
      <c r="CY203" s="17">
        <v>8760</v>
      </c>
      <c r="CZ203" s="17">
        <v>8760</v>
      </c>
      <c r="DA203" s="17">
        <v>8760</v>
      </c>
      <c r="DB203" s="17">
        <v>8760</v>
      </c>
    </row>
    <row r="204" spans="1:106" s="17" customFormat="1" x14ac:dyDescent="0.25">
      <c r="A204" s="22" t="s">
        <v>222</v>
      </c>
      <c r="B204" s="17" t="s">
        <v>207</v>
      </c>
      <c r="C204" s="17" t="s">
        <v>438</v>
      </c>
      <c r="D204" s="17" t="s">
        <v>771</v>
      </c>
      <c r="E204" s="17" t="s">
        <v>772</v>
      </c>
      <c r="F204" s="17">
        <v>102309</v>
      </c>
      <c r="G204" s="17">
        <v>0</v>
      </c>
      <c r="H204" s="17">
        <v>0</v>
      </c>
      <c r="I204" s="17">
        <v>0</v>
      </c>
      <c r="J204" s="17">
        <v>0</v>
      </c>
      <c r="K204" s="17">
        <v>0</v>
      </c>
      <c r="L204" s="17">
        <v>0</v>
      </c>
      <c r="M204" s="17">
        <v>0</v>
      </c>
      <c r="N204" s="17">
        <v>0</v>
      </c>
      <c r="O204" s="17">
        <v>0</v>
      </c>
      <c r="P204" s="17">
        <v>0</v>
      </c>
      <c r="Q204" s="17">
        <v>0</v>
      </c>
      <c r="R204" s="17">
        <v>0</v>
      </c>
      <c r="S204" s="17">
        <v>0</v>
      </c>
      <c r="T204" s="17">
        <v>0</v>
      </c>
      <c r="U204" s="17">
        <v>0</v>
      </c>
      <c r="V204" s="17">
        <v>0</v>
      </c>
      <c r="W204" s="17">
        <v>0</v>
      </c>
      <c r="X204" s="17">
        <v>0</v>
      </c>
      <c r="Y204" s="17">
        <v>0</v>
      </c>
      <c r="Z204" s="17">
        <v>0</v>
      </c>
      <c r="AA204" s="17">
        <v>0</v>
      </c>
      <c r="AB204" s="17">
        <v>0</v>
      </c>
      <c r="AC204" s="17">
        <v>0</v>
      </c>
      <c r="AD204" s="17">
        <v>0</v>
      </c>
      <c r="AE204" s="17">
        <v>0</v>
      </c>
      <c r="AF204" s="17">
        <v>0</v>
      </c>
      <c r="AG204" s="17">
        <v>0</v>
      </c>
      <c r="AH204" s="17">
        <v>0</v>
      </c>
      <c r="AI204" s="17">
        <v>2</v>
      </c>
      <c r="AJ204" s="17">
        <v>5</v>
      </c>
      <c r="AK204" s="17">
        <v>13</v>
      </c>
      <c r="AL204" s="17">
        <v>22</v>
      </c>
      <c r="AM204" s="17">
        <v>39</v>
      </c>
      <c r="AN204" s="17">
        <v>57</v>
      </c>
      <c r="AO204" s="17">
        <v>74</v>
      </c>
      <c r="AP204" s="17">
        <v>93</v>
      </c>
      <c r="AQ204" s="17">
        <v>124</v>
      </c>
      <c r="AR204" s="17">
        <v>148</v>
      </c>
      <c r="AS204" s="17">
        <v>180</v>
      </c>
      <c r="AT204" s="17">
        <v>227</v>
      </c>
      <c r="AU204" s="17">
        <v>285</v>
      </c>
      <c r="AV204" s="17">
        <v>336</v>
      </c>
      <c r="AW204" s="17">
        <v>403</v>
      </c>
      <c r="AX204" s="17">
        <v>464</v>
      </c>
      <c r="AY204" s="17">
        <v>568</v>
      </c>
      <c r="AZ204" s="17">
        <v>713</v>
      </c>
      <c r="BA204" s="17">
        <v>881</v>
      </c>
      <c r="BB204" s="17">
        <v>1075</v>
      </c>
      <c r="BC204" s="17">
        <v>1320</v>
      </c>
      <c r="BD204" s="17">
        <v>1661</v>
      </c>
      <c r="BE204" s="17">
        <v>2123</v>
      </c>
      <c r="BF204" s="17">
        <v>2552</v>
      </c>
      <c r="BG204" s="17">
        <v>2938</v>
      </c>
      <c r="BH204" s="17">
        <v>3361</v>
      </c>
      <c r="BI204" s="17">
        <v>3717</v>
      </c>
      <c r="BJ204" s="17">
        <v>4114</v>
      </c>
      <c r="BK204" s="17">
        <v>4443</v>
      </c>
      <c r="BL204" s="17">
        <v>4744</v>
      </c>
      <c r="BM204" s="17">
        <v>5062</v>
      </c>
      <c r="BN204" s="17">
        <v>5365</v>
      </c>
      <c r="BO204" s="17">
        <v>5712</v>
      </c>
      <c r="BP204" s="17">
        <v>6109</v>
      </c>
      <c r="BQ204" s="17">
        <v>6493</v>
      </c>
      <c r="BR204" s="17">
        <v>6890</v>
      </c>
      <c r="BS204" s="17">
        <v>7207</v>
      </c>
      <c r="BT204" s="17">
        <v>7496</v>
      </c>
      <c r="BU204" s="17">
        <v>7732</v>
      </c>
      <c r="BV204" s="17">
        <v>7942</v>
      </c>
      <c r="BW204" s="17">
        <v>8105</v>
      </c>
      <c r="BX204" s="17">
        <v>8237</v>
      </c>
      <c r="BY204" s="17">
        <v>8353</v>
      </c>
      <c r="BZ204" s="17">
        <v>8453</v>
      </c>
      <c r="CA204" s="17">
        <v>8543</v>
      </c>
      <c r="CB204" s="17">
        <v>8618</v>
      </c>
      <c r="CC204" s="17">
        <v>8672</v>
      </c>
      <c r="CD204" s="17">
        <v>8710</v>
      </c>
      <c r="CE204" s="17">
        <v>8732</v>
      </c>
      <c r="CF204" s="17">
        <v>8752</v>
      </c>
      <c r="CG204" s="17">
        <v>8758</v>
      </c>
      <c r="CH204" s="17">
        <v>8760</v>
      </c>
      <c r="CI204" s="17">
        <v>8760</v>
      </c>
      <c r="CJ204" s="17">
        <v>8760</v>
      </c>
      <c r="CK204" s="17">
        <v>8760</v>
      </c>
      <c r="CL204" s="17">
        <v>8760</v>
      </c>
      <c r="CM204" s="17">
        <v>8760</v>
      </c>
      <c r="CN204" s="17">
        <v>8760</v>
      </c>
      <c r="CO204" s="17">
        <v>8760</v>
      </c>
      <c r="CP204" s="17">
        <v>8760</v>
      </c>
      <c r="CQ204" s="17">
        <v>8760</v>
      </c>
      <c r="CR204" s="17">
        <v>8760</v>
      </c>
      <c r="CS204" s="17">
        <v>8760</v>
      </c>
      <c r="CT204" s="17">
        <v>8760</v>
      </c>
      <c r="CU204" s="17">
        <v>8760</v>
      </c>
      <c r="CV204" s="17">
        <v>8760</v>
      </c>
      <c r="CW204" s="17">
        <v>8760</v>
      </c>
      <c r="CX204" s="17">
        <v>8760</v>
      </c>
      <c r="CY204" s="17">
        <v>8760</v>
      </c>
      <c r="CZ204" s="17">
        <v>8760</v>
      </c>
      <c r="DA204" s="17">
        <v>8760</v>
      </c>
      <c r="DB204" s="17">
        <v>8760</v>
      </c>
    </row>
    <row r="205" spans="1:106" s="17" customFormat="1" x14ac:dyDescent="0.25">
      <c r="A205" s="22" t="s">
        <v>222</v>
      </c>
      <c r="B205" s="17" t="s">
        <v>209</v>
      </c>
      <c r="C205" s="17" t="s">
        <v>438</v>
      </c>
      <c r="D205" s="17" t="s">
        <v>691</v>
      </c>
      <c r="E205" s="17" t="s">
        <v>773</v>
      </c>
      <c r="F205" s="17">
        <v>102645</v>
      </c>
      <c r="G205" s="17">
        <v>0</v>
      </c>
      <c r="H205" s="17">
        <v>0</v>
      </c>
      <c r="I205" s="17">
        <v>0</v>
      </c>
      <c r="J205" s="17">
        <v>0</v>
      </c>
      <c r="K205" s="17">
        <v>0</v>
      </c>
      <c r="L205" s="17">
        <v>0</v>
      </c>
      <c r="M205" s="17">
        <v>0</v>
      </c>
      <c r="N205" s="17">
        <v>0</v>
      </c>
      <c r="O205" s="17">
        <v>0</v>
      </c>
      <c r="P205" s="17">
        <v>0</v>
      </c>
      <c r="Q205" s="17">
        <v>0</v>
      </c>
      <c r="R205" s="17">
        <v>0</v>
      </c>
      <c r="S205" s="17">
        <v>0</v>
      </c>
      <c r="T205" s="17">
        <v>0</v>
      </c>
      <c r="U205" s="17">
        <v>0</v>
      </c>
      <c r="V205" s="17">
        <v>0</v>
      </c>
      <c r="W205" s="17">
        <v>0</v>
      </c>
      <c r="X205" s="17">
        <v>0</v>
      </c>
      <c r="Y205" s="17">
        <v>0</v>
      </c>
      <c r="Z205" s="17">
        <v>0</v>
      </c>
      <c r="AA205" s="17">
        <v>0</v>
      </c>
      <c r="AB205" s="17">
        <v>0</v>
      </c>
      <c r="AC205" s="17">
        <v>0</v>
      </c>
      <c r="AD205" s="17">
        <v>0</v>
      </c>
      <c r="AE205" s="17">
        <v>0</v>
      </c>
      <c r="AF205" s="17">
        <v>0</v>
      </c>
      <c r="AG205" s="17">
        <v>0</v>
      </c>
      <c r="AH205" s="17">
        <v>0</v>
      </c>
      <c r="AI205" s="17">
        <v>0</v>
      </c>
      <c r="AJ205" s="17">
        <v>0</v>
      </c>
      <c r="AK205" s="17">
        <v>0</v>
      </c>
      <c r="AL205" s="17">
        <v>0</v>
      </c>
      <c r="AM205" s="17">
        <v>0</v>
      </c>
      <c r="AN205" s="17">
        <v>6</v>
      </c>
      <c r="AO205" s="17">
        <v>13</v>
      </c>
      <c r="AP205" s="17">
        <v>25</v>
      </c>
      <c r="AQ205" s="17">
        <v>47</v>
      </c>
      <c r="AR205" s="17">
        <v>69</v>
      </c>
      <c r="AS205" s="17">
        <v>102</v>
      </c>
      <c r="AT205" s="17">
        <v>146</v>
      </c>
      <c r="AU205" s="17">
        <v>188</v>
      </c>
      <c r="AV205" s="17">
        <v>239</v>
      </c>
      <c r="AW205" s="17">
        <v>281</v>
      </c>
      <c r="AX205" s="17">
        <v>379</v>
      </c>
      <c r="AY205" s="17">
        <v>508</v>
      </c>
      <c r="AZ205" s="17">
        <v>724</v>
      </c>
      <c r="BA205" s="17">
        <v>950</v>
      </c>
      <c r="BB205" s="17">
        <v>1228</v>
      </c>
      <c r="BC205" s="17">
        <v>1590</v>
      </c>
      <c r="BD205" s="17">
        <v>1983</v>
      </c>
      <c r="BE205" s="17">
        <v>2430</v>
      </c>
      <c r="BF205" s="17">
        <v>2866</v>
      </c>
      <c r="BG205" s="17">
        <v>3300</v>
      </c>
      <c r="BH205" s="17">
        <v>3660</v>
      </c>
      <c r="BI205" s="17">
        <v>4035</v>
      </c>
      <c r="BJ205" s="17">
        <v>4395</v>
      </c>
      <c r="BK205" s="17">
        <v>4702</v>
      </c>
      <c r="BL205" s="17">
        <v>4973</v>
      </c>
      <c r="BM205" s="17">
        <v>5283</v>
      </c>
      <c r="BN205" s="17">
        <v>5632</v>
      </c>
      <c r="BO205" s="17">
        <v>5980</v>
      </c>
      <c r="BP205" s="17">
        <v>6386</v>
      </c>
      <c r="BQ205" s="17">
        <v>6717</v>
      </c>
      <c r="BR205" s="17">
        <v>7090</v>
      </c>
      <c r="BS205" s="17">
        <v>7406</v>
      </c>
      <c r="BT205" s="17">
        <v>7681</v>
      </c>
      <c r="BU205" s="17">
        <v>7934</v>
      </c>
      <c r="BV205" s="17">
        <v>8135</v>
      </c>
      <c r="BW205" s="17">
        <v>8304</v>
      </c>
      <c r="BX205" s="17">
        <v>8437</v>
      </c>
      <c r="BY205" s="17">
        <v>8538</v>
      </c>
      <c r="BZ205" s="17">
        <v>8617</v>
      </c>
      <c r="CA205" s="17">
        <v>8682</v>
      </c>
      <c r="CB205" s="17">
        <v>8723</v>
      </c>
      <c r="CC205" s="17">
        <v>8751</v>
      </c>
      <c r="CD205" s="17">
        <v>8758</v>
      </c>
      <c r="CE205" s="17">
        <v>8760</v>
      </c>
      <c r="CF205" s="17">
        <v>8760</v>
      </c>
      <c r="CG205" s="17">
        <v>8760</v>
      </c>
      <c r="CH205" s="17">
        <v>8760</v>
      </c>
      <c r="CI205" s="17">
        <v>8760</v>
      </c>
      <c r="CJ205" s="17">
        <v>8760</v>
      </c>
      <c r="CK205" s="17">
        <v>8760</v>
      </c>
      <c r="CL205" s="17">
        <v>8760</v>
      </c>
      <c r="CM205" s="17">
        <v>8760</v>
      </c>
      <c r="CN205" s="17">
        <v>8760</v>
      </c>
      <c r="CO205" s="17">
        <v>8760</v>
      </c>
      <c r="CP205" s="17">
        <v>8760</v>
      </c>
      <c r="CQ205" s="17">
        <v>8760</v>
      </c>
      <c r="CR205" s="17">
        <v>8760</v>
      </c>
      <c r="CS205" s="17">
        <v>8760</v>
      </c>
      <c r="CT205" s="17">
        <v>8760</v>
      </c>
      <c r="CU205" s="17">
        <v>8760</v>
      </c>
      <c r="CV205" s="17">
        <v>8760</v>
      </c>
      <c r="CW205" s="17">
        <v>8760</v>
      </c>
      <c r="CX205" s="17">
        <v>8760</v>
      </c>
      <c r="CY205" s="17">
        <v>8760</v>
      </c>
      <c r="CZ205" s="17">
        <v>8760</v>
      </c>
      <c r="DA205" s="17">
        <v>8760</v>
      </c>
      <c r="DB205" s="17">
        <v>8760</v>
      </c>
    </row>
    <row r="206" spans="1:106" s="17" customFormat="1" x14ac:dyDescent="0.25">
      <c r="A206" s="22" t="s">
        <v>223</v>
      </c>
      <c r="B206" s="17" t="s">
        <v>208</v>
      </c>
      <c r="C206" s="17" t="s">
        <v>438</v>
      </c>
      <c r="D206" s="17" t="s">
        <v>774</v>
      </c>
      <c r="E206" s="17" t="s">
        <v>775</v>
      </c>
      <c r="F206" s="17">
        <v>102413</v>
      </c>
      <c r="G206" s="17">
        <v>0</v>
      </c>
      <c r="H206" s="17">
        <v>0</v>
      </c>
      <c r="I206" s="17">
        <v>0</v>
      </c>
      <c r="J206" s="17">
        <v>0</v>
      </c>
      <c r="K206" s="17">
        <v>0</v>
      </c>
      <c r="L206" s="17">
        <v>0</v>
      </c>
      <c r="M206" s="17">
        <v>0</v>
      </c>
      <c r="N206" s="17">
        <v>0</v>
      </c>
      <c r="O206" s="17">
        <v>0</v>
      </c>
      <c r="P206" s="17">
        <v>0</v>
      </c>
      <c r="Q206" s="17">
        <v>0</v>
      </c>
      <c r="R206" s="17">
        <v>0</v>
      </c>
      <c r="S206" s="17">
        <v>0</v>
      </c>
      <c r="T206" s="17">
        <v>0</v>
      </c>
      <c r="U206" s="17">
        <v>0</v>
      </c>
      <c r="V206" s="17">
        <v>0</v>
      </c>
      <c r="W206" s="17">
        <v>0</v>
      </c>
      <c r="X206" s="17">
        <v>0</v>
      </c>
      <c r="Y206" s="17">
        <v>0</v>
      </c>
      <c r="Z206" s="17">
        <v>0</v>
      </c>
      <c r="AA206" s="17">
        <v>0</v>
      </c>
      <c r="AB206" s="17">
        <v>0</v>
      </c>
      <c r="AC206" s="17">
        <v>0</v>
      </c>
      <c r="AD206" s="17">
        <v>0</v>
      </c>
      <c r="AE206" s="17">
        <v>0</v>
      </c>
      <c r="AF206" s="17">
        <v>0</v>
      </c>
      <c r="AG206" s="17">
        <v>0</v>
      </c>
      <c r="AH206" s="17">
        <v>0</v>
      </c>
      <c r="AI206" s="17">
        <v>0</v>
      </c>
      <c r="AJ206" s="17">
        <v>0</v>
      </c>
      <c r="AK206" s="17">
        <v>0</v>
      </c>
      <c r="AL206" s="17">
        <v>0</v>
      </c>
      <c r="AM206" s="17">
        <v>0</v>
      </c>
      <c r="AN206" s="17">
        <v>0</v>
      </c>
      <c r="AO206" s="17">
        <v>0</v>
      </c>
      <c r="AP206" s="17">
        <v>3</v>
      </c>
      <c r="AQ206" s="17">
        <v>10</v>
      </c>
      <c r="AR206" s="17">
        <v>52</v>
      </c>
      <c r="AS206" s="17">
        <v>81</v>
      </c>
      <c r="AT206" s="17">
        <v>106</v>
      </c>
      <c r="AU206" s="17">
        <v>134</v>
      </c>
      <c r="AV206" s="17">
        <v>185</v>
      </c>
      <c r="AW206" s="17">
        <v>248</v>
      </c>
      <c r="AX206" s="17">
        <v>318</v>
      </c>
      <c r="AY206" s="17">
        <v>435</v>
      </c>
      <c r="AZ206" s="17">
        <v>572</v>
      </c>
      <c r="BA206" s="17">
        <v>785</v>
      </c>
      <c r="BB206" s="17">
        <v>1015</v>
      </c>
      <c r="BC206" s="17">
        <v>1331</v>
      </c>
      <c r="BD206" s="17">
        <v>1724</v>
      </c>
      <c r="BE206" s="17">
        <v>2129</v>
      </c>
      <c r="BF206" s="17">
        <v>2537</v>
      </c>
      <c r="BG206" s="17">
        <v>2931</v>
      </c>
      <c r="BH206" s="17">
        <v>3349</v>
      </c>
      <c r="BI206" s="17">
        <v>3790</v>
      </c>
      <c r="BJ206" s="17">
        <v>4161</v>
      </c>
      <c r="BK206" s="17">
        <v>4449</v>
      </c>
      <c r="BL206" s="17">
        <v>4762</v>
      </c>
      <c r="BM206" s="17">
        <v>5084</v>
      </c>
      <c r="BN206" s="17">
        <v>5453</v>
      </c>
      <c r="BO206" s="17">
        <v>5837</v>
      </c>
      <c r="BP206" s="17">
        <v>6248</v>
      </c>
      <c r="BQ206" s="17">
        <v>6653</v>
      </c>
      <c r="BR206" s="17">
        <v>7007</v>
      </c>
      <c r="BS206" s="17">
        <v>7368</v>
      </c>
      <c r="BT206" s="17">
        <v>7680</v>
      </c>
      <c r="BU206" s="17">
        <v>7987</v>
      </c>
      <c r="BV206" s="17">
        <v>8185</v>
      </c>
      <c r="BW206" s="17">
        <v>8378</v>
      </c>
      <c r="BX206" s="17">
        <v>8507</v>
      </c>
      <c r="BY206" s="17">
        <v>8590</v>
      </c>
      <c r="BZ206" s="17">
        <v>8654</v>
      </c>
      <c r="CA206" s="17">
        <v>8704</v>
      </c>
      <c r="CB206" s="17">
        <v>8723</v>
      </c>
      <c r="CC206" s="17">
        <v>8740</v>
      </c>
      <c r="CD206" s="17">
        <v>8754</v>
      </c>
      <c r="CE206" s="17">
        <v>8760</v>
      </c>
      <c r="CF206" s="17">
        <v>8760</v>
      </c>
      <c r="CG206" s="17">
        <v>8760</v>
      </c>
      <c r="CH206" s="17">
        <v>8760</v>
      </c>
      <c r="CI206" s="17">
        <v>8760</v>
      </c>
      <c r="CJ206" s="17">
        <v>8760</v>
      </c>
      <c r="CK206" s="17">
        <v>8760</v>
      </c>
      <c r="CL206" s="17">
        <v>8760</v>
      </c>
      <c r="CM206" s="17">
        <v>8760</v>
      </c>
      <c r="CN206" s="17">
        <v>8760</v>
      </c>
      <c r="CO206" s="17">
        <v>8760</v>
      </c>
      <c r="CP206" s="17">
        <v>8760</v>
      </c>
      <c r="CQ206" s="17">
        <v>8760</v>
      </c>
      <c r="CR206" s="17">
        <v>8760</v>
      </c>
      <c r="CS206" s="17">
        <v>8760</v>
      </c>
      <c r="CT206" s="17">
        <v>8760</v>
      </c>
      <c r="CU206" s="17">
        <v>8760</v>
      </c>
      <c r="CV206" s="17">
        <v>8760</v>
      </c>
      <c r="CW206" s="17">
        <v>8760</v>
      </c>
      <c r="CX206" s="17">
        <v>8760</v>
      </c>
      <c r="CY206" s="17">
        <v>8760</v>
      </c>
      <c r="CZ206" s="17">
        <v>8760</v>
      </c>
      <c r="DA206" s="17">
        <v>8760</v>
      </c>
      <c r="DB206" s="17">
        <v>8760</v>
      </c>
    </row>
    <row r="207" spans="1:106" s="17" customFormat="1" x14ac:dyDescent="0.25">
      <c r="A207" s="22" t="s">
        <v>224</v>
      </c>
      <c r="B207" s="17" t="s">
        <v>210</v>
      </c>
      <c r="C207" s="17" t="s">
        <v>438</v>
      </c>
      <c r="D207" s="17" t="s">
        <v>776</v>
      </c>
      <c r="E207" s="17" t="s">
        <v>777</v>
      </c>
      <c r="F207" s="17">
        <v>102609</v>
      </c>
      <c r="G207" s="17">
        <v>0</v>
      </c>
      <c r="H207" s="17">
        <v>0</v>
      </c>
      <c r="I207" s="17">
        <v>0</v>
      </c>
      <c r="J207" s="17">
        <v>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0</v>
      </c>
      <c r="AC207" s="17">
        <v>0</v>
      </c>
      <c r="AD207" s="17">
        <v>0</v>
      </c>
      <c r="AE207" s="17">
        <v>0</v>
      </c>
      <c r="AF207" s="17">
        <v>0</v>
      </c>
      <c r="AG207" s="17">
        <v>0</v>
      </c>
      <c r="AH207" s="17">
        <v>0</v>
      </c>
      <c r="AI207" s="17">
        <v>0</v>
      </c>
      <c r="AJ207" s="17">
        <v>0</v>
      </c>
      <c r="AK207" s="17">
        <v>0</v>
      </c>
      <c r="AL207" s="17">
        <v>0</v>
      </c>
      <c r="AM207" s="17">
        <v>0</v>
      </c>
      <c r="AN207" s="17">
        <v>0</v>
      </c>
      <c r="AO207" s="17">
        <v>0</v>
      </c>
      <c r="AP207" s="17">
        <v>0</v>
      </c>
      <c r="AQ207" s="17">
        <v>0</v>
      </c>
      <c r="AR207" s="17">
        <v>0</v>
      </c>
      <c r="AS207" s="17">
        <v>18</v>
      </c>
      <c r="AT207" s="17">
        <v>43</v>
      </c>
      <c r="AU207" s="17">
        <v>77</v>
      </c>
      <c r="AV207" s="17">
        <v>125</v>
      </c>
      <c r="AW207" s="17">
        <v>177</v>
      </c>
      <c r="AX207" s="17">
        <v>275</v>
      </c>
      <c r="AY207" s="17">
        <v>344</v>
      </c>
      <c r="AZ207" s="17">
        <v>439</v>
      </c>
      <c r="BA207" s="17">
        <v>573</v>
      </c>
      <c r="BB207" s="17">
        <v>720</v>
      </c>
      <c r="BC207" s="17">
        <v>911</v>
      </c>
      <c r="BD207" s="17">
        <v>1315</v>
      </c>
      <c r="BE207" s="17">
        <v>1884</v>
      </c>
      <c r="BF207" s="17">
        <v>2444</v>
      </c>
      <c r="BG207" s="17">
        <v>2976</v>
      </c>
      <c r="BH207" s="17">
        <v>3432</v>
      </c>
      <c r="BI207" s="17">
        <v>3852</v>
      </c>
      <c r="BJ207" s="17">
        <v>4230</v>
      </c>
      <c r="BK207" s="17">
        <v>4533</v>
      </c>
      <c r="BL207" s="17">
        <v>4831</v>
      </c>
      <c r="BM207" s="17">
        <v>5124</v>
      </c>
      <c r="BN207" s="17">
        <v>5469</v>
      </c>
      <c r="BO207" s="17">
        <v>5834</v>
      </c>
      <c r="BP207" s="17">
        <v>6282</v>
      </c>
      <c r="BQ207" s="17">
        <v>6670</v>
      </c>
      <c r="BR207" s="17">
        <v>7033</v>
      </c>
      <c r="BS207" s="17">
        <v>7404</v>
      </c>
      <c r="BT207" s="17">
        <v>7713</v>
      </c>
      <c r="BU207" s="17">
        <v>7971</v>
      </c>
      <c r="BV207" s="17">
        <v>8216</v>
      </c>
      <c r="BW207" s="17">
        <v>8382</v>
      </c>
      <c r="BX207" s="17">
        <v>8523</v>
      </c>
      <c r="BY207" s="17">
        <v>8623</v>
      </c>
      <c r="BZ207" s="17">
        <v>8682</v>
      </c>
      <c r="CA207" s="17">
        <v>8728</v>
      </c>
      <c r="CB207" s="17">
        <v>8744</v>
      </c>
      <c r="CC207" s="17">
        <v>8757</v>
      </c>
      <c r="CD207" s="17">
        <v>8760</v>
      </c>
      <c r="CE207" s="17">
        <v>8760</v>
      </c>
      <c r="CF207" s="17">
        <v>8760</v>
      </c>
      <c r="CG207" s="17">
        <v>8760</v>
      </c>
      <c r="CH207" s="17">
        <v>8760</v>
      </c>
      <c r="CI207" s="17">
        <v>8760</v>
      </c>
      <c r="CJ207" s="17">
        <v>8760</v>
      </c>
      <c r="CK207" s="17">
        <v>8760</v>
      </c>
      <c r="CL207" s="17">
        <v>8760</v>
      </c>
      <c r="CM207" s="17">
        <v>8760</v>
      </c>
      <c r="CN207" s="17">
        <v>8760</v>
      </c>
      <c r="CO207" s="17">
        <v>8760</v>
      </c>
      <c r="CP207" s="17">
        <v>8760</v>
      </c>
      <c r="CQ207" s="17">
        <v>8760</v>
      </c>
      <c r="CR207" s="17">
        <v>8760</v>
      </c>
      <c r="CS207" s="17">
        <v>8760</v>
      </c>
      <c r="CT207" s="17">
        <v>8760</v>
      </c>
      <c r="CU207" s="17">
        <v>8760</v>
      </c>
      <c r="CV207" s="17">
        <v>8760</v>
      </c>
      <c r="CW207" s="17">
        <v>8760</v>
      </c>
      <c r="CX207" s="17">
        <v>8760</v>
      </c>
      <c r="CY207" s="17">
        <v>8760</v>
      </c>
      <c r="CZ207" s="17">
        <v>8760</v>
      </c>
      <c r="DA207" s="17">
        <v>8760</v>
      </c>
      <c r="DB207" s="17">
        <v>8760</v>
      </c>
    </row>
    <row r="208" spans="1:106" s="17" customFormat="1" x14ac:dyDescent="0.25">
      <c r="A208" s="22" t="s">
        <v>225</v>
      </c>
      <c r="B208" s="17" t="s">
        <v>405</v>
      </c>
    </row>
    <row r="209" spans="1:106" s="17" customFormat="1" x14ac:dyDescent="0.25">
      <c r="A209" s="22" t="s">
        <v>226</v>
      </c>
      <c r="B209" s="17" t="s">
        <v>406</v>
      </c>
      <c r="C209" s="17" t="s">
        <v>438</v>
      </c>
      <c r="D209" s="17" t="s">
        <v>778</v>
      </c>
      <c r="E209" s="17" t="s">
        <v>779</v>
      </c>
      <c r="F209" s="17">
        <v>102321</v>
      </c>
      <c r="G209" s="17">
        <v>0</v>
      </c>
      <c r="H209" s="17">
        <v>0</v>
      </c>
      <c r="I209" s="17">
        <v>0</v>
      </c>
      <c r="J209" s="17">
        <v>0</v>
      </c>
      <c r="K209" s="17">
        <v>0</v>
      </c>
      <c r="L209" s="17">
        <v>0</v>
      </c>
      <c r="M209" s="17">
        <v>0</v>
      </c>
      <c r="N209" s="17">
        <v>0</v>
      </c>
      <c r="O209" s="17">
        <v>0</v>
      </c>
      <c r="P209" s="17">
        <v>0</v>
      </c>
      <c r="Q209" s="17">
        <v>0</v>
      </c>
      <c r="R209" s="17">
        <v>0</v>
      </c>
      <c r="S209" s="17">
        <v>0</v>
      </c>
      <c r="T209" s="17">
        <v>0</v>
      </c>
      <c r="U209" s="17">
        <v>0</v>
      </c>
      <c r="V209" s="17">
        <v>0</v>
      </c>
      <c r="W209" s="17">
        <v>0</v>
      </c>
      <c r="X209" s="17">
        <v>0</v>
      </c>
      <c r="Y209" s="17">
        <v>0</v>
      </c>
      <c r="Z209" s="17">
        <v>0</v>
      </c>
      <c r="AA209" s="17">
        <v>0</v>
      </c>
      <c r="AB209" s="17">
        <v>0</v>
      </c>
      <c r="AC209" s="17">
        <v>0</v>
      </c>
      <c r="AD209" s="17">
        <v>0</v>
      </c>
      <c r="AE209" s="17">
        <v>0</v>
      </c>
      <c r="AF209" s="17">
        <v>0</v>
      </c>
      <c r="AG209" s="17">
        <v>0</v>
      </c>
      <c r="AH209" s="17">
        <v>0</v>
      </c>
      <c r="AI209" s="17">
        <v>0</v>
      </c>
      <c r="AJ209" s="17">
        <v>0</v>
      </c>
      <c r="AK209" s="17">
        <v>0</v>
      </c>
      <c r="AL209" s="17">
        <v>1</v>
      </c>
      <c r="AM209" s="17">
        <v>4</v>
      </c>
      <c r="AN209" s="17">
        <v>8</v>
      </c>
      <c r="AO209" s="17">
        <v>12</v>
      </c>
      <c r="AP209" s="17">
        <v>18</v>
      </c>
      <c r="AQ209" s="17">
        <v>37</v>
      </c>
      <c r="AR209" s="17">
        <v>77</v>
      </c>
      <c r="AS209" s="17">
        <v>123</v>
      </c>
      <c r="AT209" s="17">
        <v>201</v>
      </c>
      <c r="AU209" s="17">
        <v>288</v>
      </c>
      <c r="AV209" s="17">
        <v>373</v>
      </c>
      <c r="AW209" s="17">
        <v>469</v>
      </c>
      <c r="AX209" s="17">
        <v>572</v>
      </c>
      <c r="AY209" s="17">
        <v>726</v>
      </c>
      <c r="AZ209" s="17">
        <v>916</v>
      </c>
      <c r="BA209" s="17">
        <v>1150</v>
      </c>
      <c r="BB209" s="17">
        <v>1405</v>
      </c>
      <c r="BC209" s="17">
        <v>1680</v>
      </c>
      <c r="BD209" s="17">
        <v>2096</v>
      </c>
      <c r="BE209" s="17">
        <v>2543</v>
      </c>
      <c r="BF209" s="17">
        <v>2934</v>
      </c>
      <c r="BG209" s="17">
        <v>3247</v>
      </c>
      <c r="BH209" s="17">
        <v>3643</v>
      </c>
      <c r="BI209" s="17">
        <v>4000</v>
      </c>
      <c r="BJ209" s="17">
        <v>4411</v>
      </c>
      <c r="BK209" s="17">
        <v>4750</v>
      </c>
      <c r="BL209" s="17">
        <v>5057</v>
      </c>
      <c r="BM209" s="17">
        <v>5435</v>
      </c>
      <c r="BN209" s="17">
        <v>5881</v>
      </c>
      <c r="BO209" s="17">
        <v>6299</v>
      </c>
      <c r="BP209" s="17">
        <v>6705</v>
      </c>
      <c r="BQ209" s="17">
        <v>7077</v>
      </c>
      <c r="BR209" s="17">
        <v>7422</v>
      </c>
      <c r="BS209" s="17">
        <v>7720</v>
      </c>
      <c r="BT209" s="17">
        <v>8011</v>
      </c>
      <c r="BU209" s="17">
        <v>8234</v>
      </c>
      <c r="BV209" s="17">
        <v>8422</v>
      </c>
      <c r="BW209" s="17">
        <v>8537</v>
      </c>
      <c r="BX209" s="17">
        <v>8611</v>
      </c>
      <c r="BY209" s="17">
        <v>8668</v>
      </c>
      <c r="BZ209" s="17">
        <v>8707</v>
      </c>
      <c r="CA209" s="17">
        <v>8731</v>
      </c>
      <c r="CB209" s="17">
        <v>8741</v>
      </c>
      <c r="CC209" s="17">
        <v>8750</v>
      </c>
      <c r="CD209" s="17">
        <v>8757</v>
      </c>
      <c r="CE209" s="17">
        <v>8760</v>
      </c>
      <c r="CF209" s="17">
        <v>8760</v>
      </c>
      <c r="CG209" s="17">
        <v>8760</v>
      </c>
      <c r="CH209" s="17">
        <v>8760</v>
      </c>
      <c r="CI209" s="17">
        <v>8760</v>
      </c>
      <c r="CJ209" s="17">
        <v>8760</v>
      </c>
      <c r="CK209" s="17">
        <v>8760</v>
      </c>
      <c r="CL209" s="17">
        <v>8760</v>
      </c>
      <c r="CM209" s="17">
        <v>8760</v>
      </c>
      <c r="CN209" s="17">
        <v>8760</v>
      </c>
      <c r="CO209" s="17">
        <v>8760</v>
      </c>
      <c r="CP209" s="17">
        <v>8760</v>
      </c>
      <c r="CQ209" s="17">
        <v>8760</v>
      </c>
      <c r="CR209" s="17">
        <v>8760</v>
      </c>
      <c r="CS209" s="17">
        <v>8760</v>
      </c>
      <c r="CT209" s="17">
        <v>8760</v>
      </c>
      <c r="CU209" s="17">
        <v>8760</v>
      </c>
      <c r="CV209" s="17">
        <v>8760</v>
      </c>
      <c r="CW209" s="17">
        <v>8760</v>
      </c>
      <c r="CX209" s="17">
        <v>8760</v>
      </c>
      <c r="CY209" s="17">
        <v>8760</v>
      </c>
      <c r="CZ209" s="17">
        <v>8760</v>
      </c>
      <c r="DA209" s="17">
        <v>8760</v>
      </c>
      <c r="DB209" s="17">
        <v>8760</v>
      </c>
    </row>
    <row r="210" spans="1:106" s="17" customFormat="1" x14ac:dyDescent="0.25">
      <c r="A210" s="22" t="s">
        <v>227</v>
      </c>
      <c r="B210" s="17" t="s">
        <v>211</v>
      </c>
      <c r="C210" s="17" t="s">
        <v>438</v>
      </c>
      <c r="D210" s="17" t="s">
        <v>780</v>
      </c>
      <c r="E210" s="17" t="s">
        <v>781</v>
      </c>
      <c r="F210" s="17">
        <v>102712</v>
      </c>
      <c r="G210" s="17">
        <v>0</v>
      </c>
      <c r="H210" s="17">
        <v>0</v>
      </c>
      <c r="I210" s="17">
        <v>0</v>
      </c>
      <c r="J210" s="17">
        <v>0</v>
      </c>
      <c r="K210" s="17">
        <v>0</v>
      </c>
      <c r="L210" s="17">
        <v>0</v>
      </c>
      <c r="M210" s="17">
        <v>0</v>
      </c>
      <c r="N210" s="17">
        <v>0</v>
      </c>
      <c r="O210" s="17">
        <v>0</v>
      </c>
      <c r="P210" s="17">
        <v>0</v>
      </c>
      <c r="Q210" s="17">
        <v>0</v>
      </c>
      <c r="R210" s="17">
        <v>0</v>
      </c>
      <c r="S210" s="17">
        <v>0</v>
      </c>
      <c r="T210" s="17">
        <v>0</v>
      </c>
      <c r="U210" s="17">
        <v>0</v>
      </c>
      <c r="V210" s="17">
        <v>0</v>
      </c>
      <c r="W210" s="17">
        <v>0</v>
      </c>
      <c r="X210" s="17">
        <v>0</v>
      </c>
      <c r="Y210" s="17">
        <v>0</v>
      </c>
      <c r="Z210" s="17">
        <v>0</v>
      </c>
      <c r="AA210" s="17">
        <v>0</v>
      </c>
      <c r="AB210" s="17">
        <v>0</v>
      </c>
      <c r="AC210" s="17">
        <v>0</v>
      </c>
      <c r="AD210" s="17">
        <v>0</v>
      </c>
      <c r="AE210" s="17">
        <v>0</v>
      </c>
      <c r="AF210" s="17">
        <v>0</v>
      </c>
      <c r="AG210" s="17">
        <v>0</v>
      </c>
      <c r="AH210" s="17">
        <v>0</v>
      </c>
      <c r="AI210" s="17">
        <v>0</v>
      </c>
      <c r="AJ210" s="17">
        <v>0</v>
      </c>
      <c r="AK210" s="17">
        <v>0</v>
      </c>
      <c r="AL210" s="17">
        <v>0</v>
      </c>
      <c r="AM210" s="17">
        <v>0</v>
      </c>
      <c r="AN210" s="17">
        <v>8</v>
      </c>
      <c r="AO210" s="17">
        <v>22</v>
      </c>
      <c r="AP210" s="17">
        <v>47</v>
      </c>
      <c r="AQ210" s="17">
        <v>73</v>
      </c>
      <c r="AR210" s="17">
        <v>105</v>
      </c>
      <c r="AS210" s="17">
        <v>147</v>
      </c>
      <c r="AT210" s="17">
        <v>206</v>
      </c>
      <c r="AU210" s="17">
        <v>284</v>
      </c>
      <c r="AV210" s="17">
        <v>382</v>
      </c>
      <c r="AW210" s="17">
        <v>493</v>
      </c>
      <c r="AX210" s="17">
        <v>598</v>
      </c>
      <c r="AY210" s="17">
        <v>737</v>
      </c>
      <c r="AZ210" s="17">
        <v>954</v>
      </c>
      <c r="BA210" s="17">
        <v>1211</v>
      </c>
      <c r="BB210" s="17">
        <v>1518</v>
      </c>
      <c r="BC210" s="17">
        <v>1950</v>
      </c>
      <c r="BD210" s="17">
        <v>2405</v>
      </c>
      <c r="BE210" s="17">
        <v>2932</v>
      </c>
      <c r="BF210" s="17">
        <v>3393</v>
      </c>
      <c r="BG210" s="17">
        <v>3797</v>
      </c>
      <c r="BH210" s="17">
        <v>4170</v>
      </c>
      <c r="BI210" s="17">
        <v>4558</v>
      </c>
      <c r="BJ210" s="17">
        <v>4884</v>
      </c>
      <c r="BK210" s="17">
        <v>5182</v>
      </c>
      <c r="BL210" s="17">
        <v>5523</v>
      </c>
      <c r="BM210" s="17">
        <v>5830</v>
      </c>
      <c r="BN210" s="17">
        <v>6098</v>
      </c>
      <c r="BO210" s="17">
        <v>6381</v>
      </c>
      <c r="BP210" s="17">
        <v>6667</v>
      </c>
      <c r="BQ210" s="17">
        <v>6959</v>
      </c>
      <c r="BR210" s="17">
        <v>7248</v>
      </c>
      <c r="BS210" s="17">
        <v>7516</v>
      </c>
      <c r="BT210" s="17">
        <v>7773</v>
      </c>
      <c r="BU210" s="17">
        <v>7977</v>
      </c>
      <c r="BV210" s="17">
        <v>8159</v>
      </c>
      <c r="BW210" s="17">
        <v>8355</v>
      </c>
      <c r="BX210" s="17">
        <v>8475</v>
      </c>
      <c r="BY210" s="17">
        <v>8574</v>
      </c>
      <c r="BZ210" s="17">
        <v>8637</v>
      </c>
      <c r="CA210" s="17">
        <v>8674</v>
      </c>
      <c r="CB210" s="17">
        <v>8709</v>
      </c>
      <c r="CC210" s="17">
        <v>8737</v>
      </c>
      <c r="CD210" s="17">
        <v>8755</v>
      </c>
      <c r="CE210" s="17">
        <v>8760</v>
      </c>
      <c r="CF210" s="17">
        <v>8760</v>
      </c>
      <c r="CG210" s="17">
        <v>8760</v>
      </c>
      <c r="CH210" s="17">
        <v>8760</v>
      </c>
      <c r="CI210" s="17">
        <v>8760</v>
      </c>
      <c r="CJ210" s="17">
        <v>8760</v>
      </c>
      <c r="CK210" s="17">
        <v>8760</v>
      </c>
      <c r="CL210" s="17">
        <v>8760</v>
      </c>
      <c r="CM210" s="17">
        <v>8760</v>
      </c>
      <c r="CN210" s="17">
        <v>8760</v>
      </c>
      <c r="CO210" s="17">
        <v>8760</v>
      </c>
      <c r="CP210" s="17">
        <v>8760</v>
      </c>
      <c r="CQ210" s="17">
        <v>8760</v>
      </c>
      <c r="CR210" s="17">
        <v>8760</v>
      </c>
      <c r="CS210" s="17">
        <v>8760</v>
      </c>
      <c r="CT210" s="17">
        <v>8760</v>
      </c>
      <c r="CU210" s="17">
        <v>8760</v>
      </c>
      <c r="CV210" s="17">
        <v>8760</v>
      </c>
      <c r="CW210" s="17">
        <v>8760</v>
      </c>
      <c r="CX210" s="17">
        <v>8760</v>
      </c>
      <c r="CY210" s="17">
        <v>8760</v>
      </c>
      <c r="CZ210" s="17">
        <v>8760</v>
      </c>
      <c r="DA210" s="17">
        <v>8760</v>
      </c>
      <c r="DB210" s="17">
        <v>8760</v>
      </c>
    </row>
    <row r="211" spans="1:106" s="17" customFormat="1" x14ac:dyDescent="0.25">
      <c r="A211" s="22" t="s">
        <v>228</v>
      </c>
      <c r="B211" s="17" t="s">
        <v>214</v>
      </c>
      <c r="C211" s="17" t="s">
        <v>438</v>
      </c>
      <c r="D211" s="17" t="s">
        <v>782</v>
      </c>
      <c r="E211" s="17" t="s">
        <v>783</v>
      </c>
      <c r="F211" s="17">
        <v>102116</v>
      </c>
      <c r="G211" s="17">
        <v>0</v>
      </c>
      <c r="H211" s="17">
        <v>0</v>
      </c>
      <c r="I211" s="17">
        <v>0</v>
      </c>
      <c r="J211" s="17">
        <v>0</v>
      </c>
      <c r="K211" s="17">
        <v>0</v>
      </c>
      <c r="L211" s="17">
        <v>0</v>
      </c>
      <c r="M211" s="17">
        <v>0</v>
      </c>
      <c r="N211" s="17">
        <v>0</v>
      </c>
      <c r="O211" s="17">
        <v>0</v>
      </c>
      <c r="P211" s="17">
        <v>0</v>
      </c>
      <c r="Q211" s="17">
        <v>0</v>
      </c>
      <c r="R211" s="17">
        <v>0</v>
      </c>
      <c r="S211" s="17">
        <v>0</v>
      </c>
      <c r="T211" s="17">
        <v>0</v>
      </c>
      <c r="U211" s="17">
        <v>0</v>
      </c>
      <c r="V211" s="17">
        <v>0</v>
      </c>
      <c r="W211" s="17">
        <v>0</v>
      </c>
      <c r="X211" s="17">
        <v>0</v>
      </c>
      <c r="Y211" s="17">
        <v>0</v>
      </c>
      <c r="Z211" s="17">
        <v>0</v>
      </c>
      <c r="AA211" s="17">
        <v>0</v>
      </c>
      <c r="AB211" s="17">
        <v>0</v>
      </c>
      <c r="AC211" s="17">
        <v>0</v>
      </c>
      <c r="AD211" s="17">
        <v>0</v>
      </c>
      <c r="AE211" s="17">
        <v>0</v>
      </c>
      <c r="AF211" s="17">
        <v>0</v>
      </c>
      <c r="AG211" s="17">
        <v>0</v>
      </c>
      <c r="AH211" s="17">
        <v>0</v>
      </c>
      <c r="AI211" s="17">
        <v>0</v>
      </c>
      <c r="AJ211" s="17">
        <v>0</v>
      </c>
      <c r="AK211" s="17">
        <v>0</v>
      </c>
      <c r="AL211" s="17">
        <v>0</v>
      </c>
      <c r="AM211" s="17">
        <v>0</v>
      </c>
      <c r="AN211" s="17">
        <v>0</v>
      </c>
      <c r="AO211" s="17">
        <v>0</v>
      </c>
      <c r="AP211" s="17">
        <v>0</v>
      </c>
      <c r="AQ211" s="17">
        <v>0</v>
      </c>
      <c r="AR211" s="17">
        <v>0</v>
      </c>
      <c r="AS211" s="17">
        <v>19</v>
      </c>
      <c r="AT211" s="17">
        <v>38</v>
      </c>
      <c r="AU211" s="17">
        <v>59</v>
      </c>
      <c r="AV211" s="17">
        <v>89</v>
      </c>
      <c r="AW211" s="17">
        <v>150</v>
      </c>
      <c r="AX211" s="17">
        <v>202</v>
      </c>
      <c r="AY211" s="17">
        <v>297</v>
      </c>
      <c r="AZ211" s="17">
        <v>427</v>
      </c>
      <c r="BA211" s="17">
        <v>576</v>
      </c>
      <c r="BB211" s="17">
        <v>820</v>
      </c>
      <c r="BC211" s="17">
        <v>1072</v>
      </c>
      <c r="BD211" s="17">
        <v>1394</v>
      </c>
      <c r="BE211" s="17">
        <v>1793</v>
      </c>
      <c r="BF211" s="17">
        <v>2176</v>
      </c>
      <c r="BG211" s="17">
        <v>2674</v>
      </c>
      <c r="BH211" s="17">
        <v>3256</v>
      </c>
      <c r="BI211" s="17">
        <v>3712</v>
      </c>
      <c r="BJ211" s="17">
        <v>4054</v>
      </c>
      <c r="BK211" s="17">
        <v>4373</v>
      </c>
      <c r="BL211" s="17">
        <v>4641</v>
      </c>
      <c r="BM211" s="17">
        <v>4917</v>
      </c>
      <c r="BN211" s="17">
        <v>5238</v>
      </c>
      <c r="BO211" s="17">
        <v>5606</v>
      </c>
      <c r="BP211" s="17">
        <v>6015</v>
      </c>
      <c r="BQ211" s="17">
        <v>6452</v>
      </c>
      <c r="BR211" s="17">
        <v>6825</v>
      </c>
      <c r="BS211" s="17">
        <v>7166</v>
      </c>
      <c r="BT211" s="17">
        <v>7469</v>
      </c>
      <c r="BU211" s="17">
        <v>7745</v>
      </c>
      <c r="BV211" s="17">
        <v>7960</v>
      </c>
      <c r="BW211" s="17">
        <v>8155</v>
      </c>
      <c r="BX211" s="17">
        <v>8324</v>
      </c>
      <c r="BY211" s="17">
        <v>8463</v>
      </c>
      <c r="BZ211" s="17">
        <v>8574</v>
      </c>
      <c r="CA211" s="17">
        <v>8649</v>
      </c>
      <c r="CB211" s="17">
        <v>8697</v>
      </c>
      <c r="CC211" s="17">
        <v>8737</v>
      </c>
      <c r="CD211" s="17">
        <v>8749</v>
      </c>
      <c r="CE211" s="17">
        <v>8756</v>
      </c>
      <c r="CF211" s="17">
        <v>8756</v>
      </c>
      <c r="CG211" s="17">
        <v>8759</v>
      </c>
      <c r="CH211" s="17">
        <v>8760</v>
      </c>
      <c r="CI211" s="17">
        <v>8760</v>
      </c>
      <c r="CJ211" s="17">
        <v>8760</v>
      </c>
      <c r="CK211" s="17">
        <v>8760</v>
      </c>
      <c r="CL211" s="17">
        <v>8760</v>
      </c>
      <c r="CM211" s="17">
        <v>8760</v>
      </c>
      <c r="CN211" s="17">
        <v>8760</v>
      </c>
      <c r="CO211" s="17">
        <v>8760</v>
      </c>
      <c r="CP211" s="17">
        <v>8760</v>
      </c>
      <c r="CQ211" s="17">
        <v>8760</v>
      </c>
      <c r="CR211" s="17">
        <v>8760</v>
      </c>
      <c r="CS211" s="17">
        <v>8760</v>
      </c>
      <c r="CT211" s="17">
        <v>8760</v>
      </c>
      <c r="CU211" s="17">
        <v>8760</v>
      </c>
      <c r="CV211" s="17">
        <v>8760</v>
      </c>
      <c r="CW211" s="17">
        <v>8760</v>
      </c>
      <c r="CX211" s="17">
        <v>8760</v>
      </c>
      <c r="CY211" s="17">
        <v>8760</v>
      </c>
      <c r="CZ211" s="17">
        <v>8760</v>
      </c>
      <c r="DA211" s="17">
        <v>8760</v>
      </c>
      <c r="DB211" s="17">
        <v>8760</v>
      </c>
    </row>
    <row r="212" spans="1:106" s="17" customFormat="1" x14ac:dyDescent="0.25">
      <c r="A212" s="22" t="s">
        <v>229</v>
      </c>
      <c r="B212" s="17" t="s">
        <v>407</v>
      </c>
    </row>
    <row r="213" spans="1:106" s="17" customFormat="1" x14ac:dyDescent="0.25">
      <c r="A213" s="22" t="s">
        <v>230</v>
      </c>
      <c r="B213" s="17" t="s">
        <v>218</v>
      </c>
      <c r="C213" s="17" t="s">
        <v>438</v>
      </c>
      <c r="D213" s="17" t="s">
        <v>784</v>
      </c>
      <c r="E213" s="17" t="s">
        <v>785</v>
      </c>
      <c r="F213" s="17">
        <v>102727</v>
      </c>
      <c r="G213" s="17">
        <v>0</v>
      </c>
      <c r="H213" s="17">
        <v>0</v>
      </c>
      <c r="I213" s="17">
        <v>0</v>
      </c>
      <c r="J213" s="17">
        <v>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0</v>
      </c>
      <c r="AC213" s="17">
        <v>0</v>
      </c>
      <c r="AD213" s="17">
        <v>0</v>
      </c>
      <c r="AE213" s="17">
        <v>2</v>
      </c>
      <c r="AF213" s="17">
        <v>5</v>
      </c>
      <c r="AG213" s="17">
        <v>11</v>
      </c>
      <c r="AH213" s="17">
        <v>23</v>
      </c>
      <c r="AI213" s="17">
        <v>35</v>
      </c>
      <c r="AJ213" s="17">
        <v>52</v>
      </c>
      <c r="AK213" s="17">
        <v>75</v>
      </c>
      <c r="AL213" s="17">
        <v>118</v>
      </c>
      <c r="AM213" s="17">
        <v>153</v>
      </c>
      <c r="AN213" s="17">
        <v>202</v>
      </c>
      <c r="AO213" s="17">
        <v>240</v>
      </c>
      <c r="AP213" s="17">
        <v>295</v>
      </c>
      <c r="AQ213" s="17">
        <v>365</v>
      </c>
      <c r="AR213" s="17">
        <v>451</v>
      </c>
      <c r="AS213" s="17">
        <v>540</v>
      </c>
      <c r="AT213" s="17">
        <v>633</v>
      </c>
      <c r="AU213" s="17">
        <v>750</v>
      </c>
      <c r="AV213" s="17">
        <v>864</v>
      </c>
      <c r="AW213" s="17">
        <v>970</v>
      </c>
      <c r="AX213" s="17">
        <v>1101</v>
      </c>
      <c r="AY213" s="17">
        <v>1271</v>
      </c>
      <c r="AZ213" s="17">
        <v>1461</v>
      </c>
      <c r="BA213" s="17">
        <v>1699</v>
      </c>
      <c r="BB213" s="17">
        <v>2032</v>
      </c>
      <c r="BC213" s="17">
        <v>2415</v>
      </c>
      <c r="BD213" s="17">
        <v>2796</v>
      </c>
      <c r="BE213" s="17">
        <v>3261</v>
      </c>
      <c r="BF213" s="17">
        <v>3630</v>
      </c>
      <c r="BG213" s="17">
        <v>3989</v>
      </c>
      <c r="BH213" s="17">
        <v>4309</v>
      </c>
      <c r="BI213" s="17">
        <v>4651</v>
      </c>
      <c r="BJ213" s="17">
        <v>4964</v>
      </c>
      <c r="BK213" s="17">
        <v>5281</v>
      </c>
      <c r="BL213" s="17">
        <v>5605</v>
      </c>
      <c r="BM213" s="17">
        <v>5925</v>
      </c>
      <c r="BN213" s="17">
        <v>6255</v>
      </c>
      <c r="BO213" s="17">
        <v>6592</v>
      </c>
      <c r="BP213" s="17">
        <v>6911</v>
      </c>
      <c r="BQ213" s="17">
        <v>7198</v>
      </c>
      <c r="BR213" s="17">
        <v>7506</v>
      </c>
      <c r="BS213" s="17">
        <v>7796</v>
      </c>
      <c r="BT213" s="17">
        <v>8035</v>
      </c>
      <c r="BU213" s="17">
        <v>8222</v>
      </c>
      <c r="BV213" s="17">
        <v>8390</v>
      </c>
      <c r="BW213" s="17">
        <v>8511</v>
      </c>
      <c r="BX213" s="17">
        <v>8589</v>
      </c>
      <c r="BY213" s="17">
        <v>8645</v>
      </c>
      <c r="BZ213" s="17">
        <v>8690</v>
      </c>
      <c r="CA213" s="17">
        <v>8725</v>
      </c>
      <c r="CB213" s="17">
        <v>8745</v>
      </c>
      <c r="CC213" s="17">
        <v>8757</v>
      </c>
      <c r="CD213" s="17">
        <v>8760</v>
      </c>
      <c r="CE213" s="17">
        <v>8760</v>
      </c>
      <c r="CF213" s="17">
        <v>8760</v>
      </c>
      <c r="CG213" s="17">
        <v>8760</v>
      </c>
      <c r="CH213" s="17">
        <v>8760</v>
      </c>
      <c r="CI213" s="17">
        <v>8760</v>
      </c>
      <c r="CJ213" s="17">
        <v>8760</v>
      </c>
      <c r="CK213" s="17">
        <v>8760</v>
      </c>
      <c r="CL213" s="17">
        <v>8760</v>
      </c>
      <c r="CM213" s="17">
        <v>8760</v>
      </c>
      <c r="CN213" s="17">
        <v>8760</v>
      </c>
      <c r="CO213" s="17">
        <v>8760</v>
      </c>
      <c r="CP213" s="17">
        <v>8760</v>
      </c>
      <c r="CQ213" s="17">
        <v>8760</v>
      </c>
      <c r="CR213" s="17">
        <v>8760</v>
      </c>
      <c r="CS213" s="17">
        <v>8760</v>
      </c>
      <c r="CT213" s="17">
        <v>8760</v>
      </c>
      <c r="CU213" s="17">
        <v>8760</v>
      </c>
      <c r="CV213" s="17">
        <v>8760</v>
      </c>
      <c r="CW213" s="17">
        <v>8760</v>
      </c>
      <c r="CX213" s="17">
        <v>8760</v>
      </c>
      <c r="CY213" s="17">
        <v>8760</v>
      </c>
      <c r="CZ213" s="17">
        <v>8760</v>
      </c>
      <c r="DA213" s="17">
        <v>8760</v>
      </c>
      <c r="DB213" s="17">
        <v>8760</v>
      </c>
    </row>
    <row r="214" spans="1:106" s="17" customFormat="1" x14ac:dyDescent="0.25">
      <c r="A214" s="22" t="s">
        <v>231</v>
      </c>
      <c r="B214" s="17" t="s">
        <v>219</v>
      </c>
      <c r="C214" s="17" t="s">
        <v>438</v>
      </c>
      <c r="D214" s="17" t="s">
        <v>786</v>
      </c>
      <c r="E214" s="17" t="s">
        <v>787</v>
      </c>
      <c r="F214" s="17">
        <v>102240</v>
      </c>
      <c r="G214" s="17">
        <v>0</v>
      </c>
      <c r="H214" s="17">
        <v>0</v>
      </c>
      <c r="I214" s="17">
        <v>0</v>
      </c>
      <c r="J214" s="17">
        <v>0</v>
      </c>
      <c r="K214" s="17">
        <v>0</v>
      </c>
      <c r="L214" s="17">
        <v>0</v>
      </c>
      <c r="M214" s="17">
        <v>0</v>
      </c>
      <c r="N214" s="17">
        <v>0</v>
      </c>
      <c r="O214" s="17">
        <v>0</v>
      </c>
      <c r="P214" s="17">
        <v>0</v>
      </c>
      <c r="Q214" s="17">
        <v>0</v>
      </c>
      <c r="R214" s="17">
        <v>0</v>
      </c>
      <c r="S214" s="17">
        <v>0</v>
      </c>
      <c r="T214" s="17">
        <v>0</v>
      </c>
      <c r="U214" s="17">
        <v>0</v>
      </c>
      <c r="V214" s="17">
        <v>0</v>
      </c>
      <c r="W214" s="17">
        <v>0</v>
      </c>
      <c r="X214" s="17">
        <v>0</v>
      </c>
      <c r="Y214" s="17">
        <v>0</v>
      </c>
      <c r="Z214" s="17">
        <v>0</v>
      </c>
      <c r="AA214" s="17">
        <v>0</v>
      </c>
      <c r="AB214" s="17">
        <v>0</v>
      </c>
      <c r="AC214" s="17">
        <v>0</v>
      </c>
      <c r="AD214" s="17">
        <v>0</v>
      </c>
      <c r="AE214" s="17">
        <v>0</v>
      </c>
      <c r="AF214" s="17">
        <v>0</v>
      </c>
      <c r="AG214" s="17">
        <v>0</v>
      </c>
      <c r="AH214" s="17">
        <v>0</v>
      </c>
      <c r="AI214" s="17">
        <v>0</v>
      </c>
      <c r="AJ214" s="17">
        <v>0</v>
      </c>
      <c r="AK214" s="17">
        <v>0</v>
      </c>
      <c r="AL214" s="17">
        <v>0</v>
      </c>
      <c r="AM214" s="17">
        <v>0</v>
      </c>
      <c r="AN214" s="17">
        <v>0</v>
      </c>
      <c r="AO214" s="17">
        <v>0</v>
      </c>
      <c r="AP214" s="17">
        <v>0</v>
      </c>
      <c r="AQ214" s="17">
        <v>0</v>
      </c>
      <c r="AR214" s="17">
        <v>9</v>
      </c>
      <c r="AS214" s="17">
        <v>18</v>
      </c>
      <c r="AT214" s="17">
        <v>28</v>
      </c>
      <c r="AU214" s="17">
        <v>45</v>
      </c>
      <c r="AV214" s="17">
        <v>69</v>
      </c>
      <c r="AW214" s="17">
        <v>113</v>
      </c>
      <c r="AX214" s="17">
        <v>176</v>
      </c>
      <c r="AY214" s="17">
        <v>260</v>
      </c>
      <c r="AZ214" s="17">
        <v>355</v>
      </c>
      <c r="BA214" s="17">
        <v>485</v>
      </c>
      <c r="BB214" s="17">
        <v>702</v>
      </c>
      <c r="BC214" s="17">
        <v>950</v>
      </c>
      <c r="BD214" s="17">
        <v>1291</v>
      </c>
      <c r="BE214" s="17">
        <v>1761</v>
      </c>
      <c r="BF214" s="17">
        <v>2109</v>
      </c>
      <c r="BG214" s="17">
        <v>2535</v>
      </c>
      <c r="BH214" s="17">
        <v>2916</v>
      </c>
      <c r="BI214" s="17">
        <v>3360</v>
      </c>
      <c r="BJ214" s="17">
        <v>3849</v>
      </c>
      <c r="BK214" s="17">
        <v>4236</v>
      </c>
      <c r="BL214" s="17">
        <v>4555</v>
      </c>
      <c r="BM214" s="17">
        <v>4836</v>
      </c>
      <c r="BN214" s="17">
        <v>5139</v>
      </c>
      <c r="BO214" s="17">
        <v>5537</v>
      </c>
      <c r="BP214" s="17">
        <v>5951</v>
      </c>
      <c r="BQ214" s="17">
        <v>6355</v>
      </c>
      <c r="BR214" s="17">
        <v>6758</v>
      </c>
      <c r="BS214" s="17">
        <v>7211</v>
      </c>
      <c r="BT214" s="17">
        <v>7608</v>
      </c>
      <c r="BU214" s="17">
        <v>7936</v>
      </c>
      <c r="BV214" s="17">
        <v>8168</v>
      </c>
      <c r="BW214" s="17">
        <v>8346</v>
      </c>
      <c r="BX214" s="17">
        <v>8461</v>
      </c>
      <c r="BY214" s="17">
        <v>8527</v>
      </c>
      <c r="BZ214" s="17">
        <v>8574</v>
      </c>
      <c r="CA214" s="17">
        <v>8612</v>
      </c>
      <c r="CB214" s="17">
        <v>8641</v>
      </c>
      <c r="CC214" s="17">
        <v>8669</v>
      </c>
      <c r="CD214" s="17">
        <v>8699</v>
      </c>
      <c r="CE214" s="17">
        <v>8729</v>
      </c>
      <c r="CF214" s="17">
        <v>8741</v>
      </c>
      <c r="CG214" s="17">
        <v>8756</v>
      </c>
      <c r="CH214" s="17">
        <v>8759</v>
      </c>
      <c r="CI214" s="17">
        <v>8760</v>
      </c>
      <c r="CJ214" s="17">
        <v>8760</v>
      </c>
      <c r="CK214" s="17">
        <v>8760</v>
      </c>
      <c r="CL214" s="17">
        <v>8760</v>
      </c>
      <c r="CM214" s="17">
        <v>8760</v>
      </c>
      <c r="CN214" s="17">
        <v>8760</v>
      </c>
      <c r="CO214" s="17">
        <v>8760</v>
      </c>
      <c r="CP214" s="17">
        <v>8760</v>
      </c>
      <c r="CQ214" s="17">
        <v>8760</v>
      </c>
      <c r="CR214" s="17">
        <v>8760</v>
      </c>
      <c r="CS214" s="17">
        <v>8760</v>
      </c>
      <c r="CT214" s="17">
        <v>8760</v>
      </c>
      <c r="CU214" s="17">
        <v>8760</v>
      </c>
      <c r="CV214" s="17">
        <v>8760</v>
      </c>
      <c r="CW214" s="17">
        <v>8760</v>
      </c>
      <c r="CX214" s="17">
        <v>8760</v>
      </c>
      <c r="CY214" s="17">
        <v>8760</v>
      </c>
      <c r="CZ214" s="17">
        <v>8760</v>
      </c>
      <c r="DA214" s="17">
        <v>8760</v>
      </c>
      <c r="DB214" s="17">
        <v>8760</v>
      </c>
    </row>
    <row r="215" spans="1:106" s="17" customFormat="1" x14ac:dyDescent="0.25">
      <c r="A215" s="22" t="s">
        <v>232</v>
      </c>
      <c r="B215" s="17" t="s">
        <v>220</v>
      </c>
      <c r="C215" s="17" t="s">
        <v>438</v>
      </c>
      <c r="D215" s="17" t="s">
        <v>788</v>
      </c>
      <c r="E215" s="17" t="s">
        <v>789</v>
      </c>
      <c r="F215" s="17">
        <v>102117</v>
      </c>
      <c r="G215" s="17">
        <v>0</v>
      </c>
      <c r="H215" s="17">
        <v>0</v>
      </c>
      <c r="I215" s="17">
        <v>0</v>
      </c>
      <c r="J215" s="17">
        <v>0</v>
      </c>
      <c r="K215" s="17">
        <v>0</v>
      </c>
      <c r="L215" s="17">
        <v>0</v>
      </c>
      <c r="M215" s="17">
        <v>0</v>
      </c>
      <c r="N215" s="17">
        <v>0</v>
      </c>
      <c r="O215" s="17">
        <v>0</v>
      </c>
      <c r="P215" s="17">
        <v>0</v>
      </c>
      <c r="Q215" s="17">
        <v>0</v>
      </c>
      <c r="R215" s="17">
        <v>0</v>
      </c>
      <c r="S215" s="17">
        <v>0</v>
      </c>
      <c r="T215" s="17">
        <v>0</v>
      </c>
      <c r="U215" s="17">
        <v>0</v>
      </c>
      <c r="V215" s="17">
        <v>0</v>
      </c>
      <c r="W215" s="17">
        <v>0</v>
      </c>
      <c r="X215" s="17">
        <v>0</v>
      </c>
      <c r="Y215" s="17">
        <v>0</v>
      </c>
      <c r="Z215" s="17">
        <v>0</v>
      </c>
      <c r="AA215" s="17">
        <v>0</v>
      </c>
      <c r="AB215" s="17">
        <v>0</v>
      </c>
      <c r="AC215" s="17">
        <v>0</v>
      </c>
      <c r="AD215" s="17">
        <v>0</v>
      </c>
      <c r="AE215" s="17">
        <v>0</v>
      </c>
      <c r="AF215" s="17">
        <v>0</v>
      </c>
      <c r="AG215" s="17">
        <v>0</v>
      </c>
      <c r="AH215" s="17">
        <v>0</v>
      </c>
      <c r="AI215" s="17">
        <v>0</v>
      </c>
      <c r="AJ215" s="17">
        <v>0</v>
      </c>
      <c r="AK215" s="17">
        <v>0</v>
      </c>
      <c r="AL215" s="17">
        <v>0</v>
      </c>
      <c r="AM215" s="17">
        <v>0</v>
      </c>
      <c r="AN215" s="17">
        <v>0</v>
      </c>
      <c r="AO215" s="17">
        <v>0</v>
      </c>
      <c r="AP215" s="17">
        <v>0</v>
      </c>
      <c r="AQ215" s="17">
        <v>6</v>
      </c>
      <c r="AR215" s="17">
        <v>16</v>
      </c>
      <c r="AS215" s="17">
        <v>35</v>
      </c>
      <c r="AT215" s="17">
        <v>56</v>
      </c>
      <c r="AU215" s="17">
        <v>79</v>
      </c>
      <c r="AV215" s="17">
        <v>117</v>
      </c>
      <c r="AW215" s="17">
        <v>161</v>
      </c>
      <c r="AX215" s="17">
        <v>212</v>
      </c>
      <c r="AY215" s="17">
        <v>278</v>
      </c>
      <c r="AZ215" s="17">
        <v>417</v>
      </c>
      <c r="BA215" s="17">
        <v>598</v>
      </c>
      <c r="BB215" s="17">
        <v>797</v>
      </c>
      <c r="BC215" s="17">
        <v>1020</v>
      </c>
      <c r="BD215" s="17">
        <v>1317</v>
      </c>
      <c r="BE215" s="17">
        <v>1763</v>
      </c>
      <c r="BF215" s="17">
        <v>2167</v>
      </c>
      <c r="BG215" s="17">
        <v>2588</v>
      </c>
      <c r="BH215" s="17">
        <v>3129</v>
      </c>
      <c r="BI215" s="17">
        <v>3607</v>
      </c>
      <c r="BJ215" s="17">
        <v>4014</v>
      </c>
      <c r="BK215" s="17">
        <v>4347</v>
      </c>
      <c r="BL215" s="17">
        <v>4677</v>
      </c>
      <c r="BM215" s="17">
        <v>4964</v>
      </c>
      <c r="BN215" s="17">
        <v>5326</v>
      </c>
      <c r="BO215" s="17">
        <v>5682</v>
      </c>
      <c r="BP215" s="17">
        <v>6086</v>
      </c>
      <c r="BQ215" s="17">
        <v>6490</v>
      </c>
      <c r="BR215" s="17">
        <v>6845</v>
      </c>
      <c r="BS215" s="17">
        <v>7208</v>
      </c>
      <c r="BT215" s="17">
        <v>7515</v>
      </c>
      <c r="BU215" s="17">
        <v>7782</v>
      </c>
      <c r="BV215" s="17">
        <v>8001</v>
      </c>
      <c r="BW215" s="17">
        <v>8176</v>
      </c>
      <c r="BX215" s="17">
        <v>8321</v>
      </c>
      <c r="BY215" s="17">
        <v>8436</v>
      </c>
      <c r="BZ215" s="17">
        <v>8520</v>
      </c>
      <c r="CA215" s="17">
        <v>8596</v>
      </c>
      <c r="CB215" s="17">
        <v>8657</v>
      </c>
      <c r="CC215" s="17">
        <v>8691</v>
      </c>
      <c r="CD215" s="17">
        <v>8718</v>
      </c>
      <c r="CE215" s="17">
        <v>8737</v>
      </c>
      <c r="CF215" s="17">
        <v>8749</v>
      </c>
      <c r="CG215" s="17">
        <v>8758</v>
      </c>
      <c r="CH215" s="17">
        <v>8760</v>
      </c>
      <c r="CI215" s="17">
        <v>8760</v>
      </c>
      <c r="CJ215" s="17">
        <v>8760</v>
      </c>
      <c r="CK215" s="17">
        <v>8760</v>
      </c>
      <c r="CL215" s="17">
        <v>8760</v>
      </c>
      <c r="CM215" s="17">
        <v>8760</v>
      </c>
      <c r="CN215" s="17">
        <v>8760</v>
      </c>
      <c r="CO215" s="17">
        <v>8760</v>
      </c>
      <c r="CP215" s="17">
        <v>8760</v>
      </c>
      <c r="CQ215" s="17">
        <v>8760</v>
      </c>
      <c r="CR215" s="17">
        <v>8760</v>
      </c>
      <c r="CS215" s="17">
        <v>8760</v>
      </c>
      <c r="CT215" s="17">
        <v>8760</v>
      </c>
      <c r="CU215" s="17">
        <v>8760</v>
      </c>
      <c r="CV215" s="17">
        <v>8760</v>
      </c>
      <c r="CW215" s="17">
        <v>8760</v>
      </c>
      <c r="CX215" s="17">
        <v>8760</v>
      </c>
      <c r="CY215" s="17">
        <v>8760</v>
      </c>
      <c r="CZ215" s="17">
        <v>8760</v>
      </c>
      <c r="DA215" s="17">
        <v>8760</v>
      </c>
      <c r="DB215" s="17">
        <v>8760</v>
      </c>
    </row>
    <row r="216" spans="1:106" s="17" customFormat="1" x14ac:dyDescent="0.25">
      <c r="A216" s="22" t="s">
        <v>233</v>
      </c>
      <c r="B216" s="17" t="s">
        <v>221</v>
      </c>
      <c r="C216" s="17" t="s">
        <v>438</v>
      </c>
      <c r="D216" s="17" t="s">
        <v>790</v>
      </c>
      <c r="E216" s="17" t="s">
        <v>791</v>
      </c>
      <c r="F216" s="17">
        <v>102325</v>
      </c>
      <c r="G216" s="17">
        <v>0</v>
      </c>
      <c r="H216" s="17">
        <v>0</v>
      </c>
      <c r="I216" s="17">
        <v>0</v>
      </c>
      <c r="J216" s="17">
        <v>0</v>
      </c>
      <c r="K216" s="17">
        <v>0</v>
      </c>
      <c r="L216" s="17">
        <v>0</v>
      </c>
      <c r="M216" s="17">
        <v>0</v>
      </c>
      <c r="N216" s="17">
        <v>0</v>
      </c>
      <c r="O216" s="17">
        <v>0</v>
      </c>
      <c r="P216" s="17">
        <v>0</v>
      </c>
      <c r="Q216" s="17">
        <v>0</v>
      </c>
      <c r="R216" s="17">
        <v>0</v>
      </c>
      <c r="S216" s="17">
        <v>0</v>
      </c>
      <c r="T216" s="17">
        <v>0</v>
      </c>
      <c r="U216" s="17">
        <v>0</v>
      </c>
      <c r="V216" s="17">
        <v>0</v>
      </c>
      <c r="W216" s="17">
        <v>0</v>
      </c>
      <c r="X216" s="17">
        <v>0</v>
      </c>
      <c r="Y216" s="17">
        <v>0</v>
      </c>
      <c r="Z216" s="17">
        <v>0</v>
      </c>
      <c r="AA216" s="17">
        <v>0</v>
      </c>
      <c r="AB216" s="17">
        <v>0</v>
      </c>
      <c r="AC216" s="17">
        <v>0</v>
      </c>
      <c r="AD216" s="17">
        <v>0</v>
      </c>
      <c r="AE216" s="17">
        <v>0</v>
      </c>
      <c r="AF216" s="17">
        <v>0</v>
      </c>
      <c r="AG216" s="17">
        <v>0</v>
      </c>
      <c r="AH216" s="17">
        <v>0</v>
      </c>
      <c r="AI216" s="17">
        <v>0</v>
      </c>
      <c r="AJ216" s="17">
        <v>0</v>
      </c>
      <c r="AK216" s="17">
        <v>0</v>
      </c>
      <c r="AL216" s="17">
        <v>0</v>
      </c>
      <c r="AM216" s="17">
        <v>0</v>
      </c>
      <c r="AN216" s="17">
        <v>0</v>
      </c>
      <c r="AO216" s="17">
        <v>8</v>
      </c>
      <c r="AP216" s="17">
        <v>23</v>
      </c>
      <c r="AQ216" s="17">
        <v>32</v>
      </c>
      <c r="AR216" s="17">
        <v>49</v>
      </c>
      <c r="AS216" s="17">
        <v>70</v>
      </c>
      <c r="AT216" s="17">
        <v>89</v>
      </c>
      <c r="AU216" s="17">
        <v>124</v>
      </c>
      <c r="AV216" s="17">
        <v>182</v>
      </c>
      <c r="AW216" s="17">
        <v>254</v>
      </c>
      <c r="AX216" s="17">
        <v>346</v>
      </c>
      <c r="AY216" s="17">
        <v>444</v>
      </c>
      <c r="AZ216" s="17">
        <v>570</v>
      </c>
      <c r="BA216" s="17">
        <v>749</v>
      </c>
      <c r="BB216" s="17">
        <v>1005</v>
      </c>
      <c r="BC216" s="17">
        <v>1266</v>
      </c>
      <c r="BD216" s="17">
        <v>1649</v>
      </c>
      <c r="BE216" s="17">
        <v>2047</v>
      </c>
      <c r="BF216" s="17">
        <v>2472</v>
      </c>
      <c r="BG216" s="17">
        <v>2877</v>
      </c>
      <c r="BH216" s="17">
        <v>3321</v>
      </c>
      <c r="BI216" s="17">
        <v>3785</v>
      </c>
      <c r="BJ216" s="17">
        <v>4157</v>
      </c>
      <c r="BK216" s="17">
        <v>4460</v>
      </c>
      <c r="BL216" s="17">
        <v>4744</v>
      </c>
      <c r="BM216" s="17">
        <v>5002</v>
      </c>
      <c r="BN216" s="17">
        <v>5307</v>
      </c>
      <c r="BO216" s="17">
        <v>5635</v>
      </c>
      <c r="BP216" s="17">
        <v>5972</v>
      </c>
      <c r="BQ216" s="17">
        <v>6303</v>
      </c>
      <c r="BR216" s="17">
        <v>6658</v>
      </c>
      <c r="BS216" s="17">
        <v>6993</v>
      </c>
      <c r="BT216" s="17">
        <v>7313</v>
      </c>
      <c r="BU216" s="17">
        <v>7566</v>
      </c>
      <c r="BV216" s="17">
        <v>7809</v>
      </c>
      <c r="BW216" s="17">
        <v>8010</v>
      </c>
      <c r="BX216" s="17">
        <v>8164</v>
      </c>
      <c r="BY216" s="17">
        <v>8303</v>
      </c>
      <c r="BZ216" s="17">
        <v>8431</v>
      </c>
      <c r="CA216" s="17">
        <v>8532</v>
      </c>
      <c r="CB216" s="17">
        <v>8615</v>
      </c>
      <c r="CC216" s="17">
        <v>8674</v>
      </c>
      <c r="CD216" s="17">
        <v>8724</v>
      </c>
      <c r="CE216" s="17">
        <v>8750</v>
      </c>
      <c r="CF216" s="17">
        <v>8759</v>
      </c>
      <c r="CG216" s="17">
        <v>8760</v>
      </c>
      <c r="CH216" s="17">
        <v>8760</v>
      </c>
      <c r="CI216" s="17">
        <v>8760</v>
      </c>
      <c r="CJ216" s="17">
        <v>8760</v>
      </c>
      <c r="CK216" s="17">
        <v>8760</v>
      </c>
      <c r="CL216" s="17">
        <v>8760</v>
      </c>
      <c r="CM216" s="17">
        <v>8760</v>
      </c>
      <c r="CN216" s="17">
        <v>8760</v>
      </c>
      <c r="CO216" s="17">
        <v>8760</v>
      </c>
      <c r="CP216" s="17">
        <v>8760</v>
      </c>
      <c r="CQ216" s="17">
        <v>8760</v>
      </c>
      <c r="CR216" s="17">
        <v>8760</v>
      </c>
      <c r="CS216" s="17">
        <v>8760</v>
      </c>
      <c r="CT216" s="17">
        <v>8760</v>
      </c>
      <c r="CU216" s="17">
        <v>8760</v>
      </c>
      <c r="CV216" s="17">
        <v>8760</v>
      </c>
      <c r="CW216" s="17">
        <v>8760</v>
      </c>
      <c r="CX216" s="17">
        <v>8760</v>
      </c>
      <c r="CY216" s="17">
        <v>8760</v>
      </c>
      <c r="CZ216" s="17">
        <v>8760</v>
      </c>
      <c r="DA216" s="17">
        <v>8760</v>
      </c>
      <c r="DB216" s="17">
        <v>8760</v>
      </c>
    </row>
    <row r="217" spans="1:106" s="17" customFormat="1" x14ac:dyDescent="0.25">
      <c r="A217" s="22" t="s">
        <v>234</v>
      </c>
      <c r="B217" s="17" t="s">
        <v>408</v>
      </c>
      <c r="C217" s="17" t="s">
        <v>438</v>
      </c>
      <c r="D217" s="17" t="s">
        <v>792</v>
      </c>
      <c r="E217" s="17" t="s">
        <v>793</v>
      </c>
      <c r="F217" s="17">
        <v>102414</v>
      </c>
      <c r="G217" s="17">
        <v>0</v>
      </c>
      <c r="H217" s="17">
        <v>0</v>
      </c>
      <c r="I217" s="17">
        <v>0</v>
      </c>
      <c r="J217" s="17">
        <v>0</v>
      </c>
      <c r="K217" s="17">
        <v>0</v>
      </c>
      <c r="L217" s="17">
        <v>0</v>
      </c>
      <c r="M217" s="17">
        <v>0</v>
      </c>
      <c r="N217" s="17">
        <v>0</v>
      </c>
      <c r="O217" s="17">
        <v>0</v>
      </c>
      <c r="P217" s="17">
        <v>0</v>
      </c>
      <c r="Q217" s="17">
        <v>0</v>
      </c>
      <c r="R217" s="17">
        <v>0</v>
      </c>
      <c r="S217" s="17">
        <v>0</v>
      </c>
      <c r="T217" s="17">
        <v>0</v>
      </c>
      <c r="U217" s="17">
        <v>0</v>
      </c>
      <c r="V217" s="17">
        <v>0</v>
      </c>
      <c r="W217" s="17">
        <v>0</v>
      </c>
      <c r="X217" s="17">
        <v>0</v>
      </c>
      <c r="Y217" s="17">
        <v>0</v>
      </c>
      <c r="Z217" s="17">
        <v>0</v>
      </c>
      <c r="AA217" s="17">
        <v>0</v>
      </c>
      <c r="AB217" s="17">
        <v>0</v>
      </c>
      <c r="AC217" s="17">
        <v>0</v>
      </c>
      <c r="AD217" s="17">
        <v>0</v>
      </c>
      <c r="AE217" s="17">
        <v>0</v>
      </c>
      <c r="AF217" s="17">
        <v>0</v>
      </c>
      <c r="AG217" s="17">
        <v>0</v>
      </c>
      <c r="AH217" s="17">
        <v>0</v>
      </c>
      <c r="AI217" s="17">
        <v>0</v>
      </c>
      <c r="AJ217" s="17">
        <v>0</v>
      </c>
      <c r="AK217" s="17">
        <v>0</v>
      </c>
      <c r="AL217" s="17">
        <v>0</v>
      </c>
      <c r="AM217" s="17">
        <v>0</v>
      </c>
      <c r="AN217" s="17">
        <v>0</v>
      </c>
      <c r="AO217" s="17">
        <v>0</v>
      </c>
      <c r="AP217" s="17">
        <v>0</v>
      </c>
      <c r="AQ217" s="17">
        <v>2</v>
      </c>
      <c r="AR217" s="17">
        <v>5</v>
      </c>
      <c r="AS217" s="17">
        <v>22</v>
      </c>
      <c r="AT217" s="17">
        <v>54</v>
      </c>
      <c r="AU217" s="17">
        <v>91</v>
      </c>
      <c r="AV217" s="17">
        <v>138</v>
      </c>
      <c r="AW217" s="17">
        <v>215</v>
      </c>
      <c r="AX217" s="17">
        <v>319</v>
      </c>
      <c r="AY217" s="17">
        <v>427</v>
      </c>
      <c r="AZ217" s="17">
        <v>565</v>
      </c>
      <c r="BA217" s="17">
        <v>702</v>
      </c>
      <c r="BB217" s="17">
        <v>909</v>
      </c>
      <c r="BC217" s="17">
        <v>1146</v>
      </c>
      <c r="BD217" s="17">
        <v>1403</v>
      </c>
      <c r="BE217" s="17">
        <v>1790</v>
      </c>
      <c r="BF217" s="17">
        <v>2279</v>
      </c>
      <c r="BG217" s="17">
        <v>2754</v>
      </c>
      <c r="BH217" s="17">
        <v>3212</v>
      </c>
      <c r="BI217" s="17">
        <v>3608</v>
      </c>
      <c r="BJ217" s="17">
        <v>3981</v>
      </c>
      <c r="BK217" s="17">
        <v>4356</v>
      </c>
      <c r="BL217" s="17">
        <v>4729</v>
      </c>
      <c r="BM217" s="17">
        <v>5110</v>
      </c>
      <c r="BN217" s="17">
        <v>5419</v>
      </c>
      <c r="BO217" s="17">
        <v>5747</v>
      </c>
      <c r="BP217" s="17">
        <v>6076</v>
      </c>
      <c r="BQ217" s="17">
        <v>6431</v>
      </c>
      <c r="BR217" s="17">
        <v>6811</v>
      </c>
      <c r="BS217" s="17">
        <v>7148</v>
      </c>
      <c r="BT217" s="17">
        <v>7469</v>
      </c>
      <c r="BU217" s="17">
        <v>7758</v>
      </c>
      <c r="BV217" s="17">
        <v>8005</v>
      </c>
      <c r="BW217" s="17">
        <v>8212</v>
      </c>
      <c r="BX217" s="17">
        <v>8389</v>
      </c>
      <c r="BY217" s="17">
        <v>8516</v>
      </c>
      <c r="BZ217" s="17">
        <v>8608</v>
      </c>
      <c r="CA217" s="17">
        <v>8654</v>
      </c>
      <c r="CB217" s="17">
        <v>8709</v>
      </c>
      <c r="CC217" s="17">
        <v>8743</v>
      </c>
      <c r="CD217" s="17">
        <v>8756</v>
      </c>
      <c r="CE217" s="17">
        <v>8760</v>
      </c>
      <c r="CF217" s="17">
        <v>8760</v>
      </c>
      <c r="CG217" s="17">
        <v>8760</v>
      </c>
      <c r="CH217" s="17">
        <v>8760</v>
      </c>
      <c r="CI217" s="17">
        <v>8760</v>
      </c>
      <c r="CJ217" s="17">
        <v>8760</v>
      </c>
      <c r="CK217" s="17">
        <v>8760</v>
      </c>
      <c r="CL217" s="17">
        <v>8760</v>
      </c>
      <c r="CM217" s="17">
        <v>8760</v>
      </c>
      <c r="CN217" s="17">
        <v>8760</v>
      </c>
      <c r="CO217" s="17">
        <v>8760</v>
      </c>
      <c r="CP217" s="17">
        <v>8760</v>
      </c>
      <c r="CQ217" s="17">
        <v>8760</v>
      </c>
      <c r="CR217" s="17">
        <v>8760</v>
      </c>
      <c r="CS217" s="17">
        <v>8760</v>
      </c>
      <c r="CT217" s="17">
        <v>8760</v>
      </c>
      <c r="CU217" s="17">
        <v>8760</v>
      </c>
      <c r="CV217" s="17">
        <v>8760</v>
      </c>
      <c r="CW217" s="17">
        <v>8760</v>
      </c>
      <c r="CX217" s="17">
        <v>8760</v>
      </c>
      <c r="CY217" s="17">
        <v>8760</v>
      </c>
      <c r="CZ217" s="17">
        <v>8760</v>
      </c>
      <c r="DA217" s="17">
        <v>8760</v>
      </c>
      <c r="DB217" s="17">
        <v>8760</v>
      </c>
    </row>
    <row r="218" spans="1:106" s="17" customFormat="1" x14ac:dyDescent="0.25">
      <c r="A218" s="22" t="s">
        <v>235</v>
      </c>
      <c r="B218" s="17" t="s">
        <v>229</v>
      </c>
      <c r="C218" s="17" t="s">
        <v>438</v>
      </c>
      <c r="D218" s="17" t="s">
        <v>794</v>
      </c>
      <c r="E218" s="17" t="s">
        <v>795</v>
      </c>
      <c r="F218" s="17">
        <v>102013</v>
      </c>
      <c r="G218" s="17">
        <v>0</v>
      </c>
      <c r="H218" s="17">
        <v>0</v>
      </c>
      <c r="I218" s="17">
        <v>0</v>
      </c>
      <c r="J218" s="17">
        <v>0</v>
      </c>
      <c r="K218" s="17">
        <v>0</v>
      </c>
      <c r="L218" s="17">
        <v>0</v>
      </c>
      <c r="M218" s="17">
        <v>0</v>
      </c>
      <c r="N218" s="17">
        <v>0</v>
      </c>
      <c r="O218" s="17">
        <v>0</v>
      </c>
      <c r="P218" s="17">
        <v>0</v>
      </c>
      <c r="Q218" s="17">
        <v>0</v>
      </c>
      <c r="R218" s="17">
        <v>0</v>
      </c>
      <c r="S218" s="17">
        <v>0</v>
      </c>
      <c r="T218" s="17">
        <v>0</v>
      </c>
      <c r="U218" s="17">
        <v>0</v>
      </c>
      <c r="V218" s="17">
        <v>0</v>
      </c>
      <c r="W218" s="17">
        <v>0</v>
      </c>
      <c r="X218" s="17">
        <v>0</v>
      </c>
      <c r="Y218" s="17">
        <v>0</v>
      </c>
      <c r="Z218" s="17">
        <v>5</v>
      </c>
      <c r="AA218" s="17">
        <v>8</v>
      </c>
      <c r="AB218" s="17">
        <v>40</v>
      </c>
      <c r="AC218" s="17">
        <v>63</v>
      </c>
      <c r="AD218" s="17">
        <v>112</v>
      </c>
      <c r="AE218" s="17">
        <v>188</v>
      </c>
      <c r="AF218" s="17">
        <v>224</v>
      </c>
      <c r="AG218" s="17">
        <v>283</v>
      </c>
      <c r="AH218" s="17">
        <v>339</v>
      </c>
      <c r="AI218" s="17">
        <v>383</v>
      </c>
      <c r="AJ218" s="17">
        <v>445</v>
      </c>
      <c r="AK218" s="17">
        <v>531</v>
      </c>
      <c r="AL218" s="17">
        <v>615</v>
      </c>
      <c r="AM218" s="17">
        <v>714</v>
      </c>
      <c r="AN218" s="17">
        <v>804</v>
      </c>
      <c r="AO218" s="17">
        <v>906</v>
      </c>
      <c r="AP218" s="17">
        <v>1025</v>
      </c>
      <c r="AQ218" s="17">
        <v>1160</v>
      </c>
      <c r="AR218" s="17">
        <v>1309</v>
      </c>
      <c r="AS218" s="17">
        <v>1443</v>
      </c>
      <c r="AT218" s="17">
        <v>1648</v>
      </c>
      <c r="AU218" s="17">
        <v>1861</v>
      </c>
      <c r="AV218" s="17">
        <v>2084</v>
      </c>
      <c r="AW218" s="17">
        <v>2287</v>
      </c>
      <c r="AX218" s="17">
        <v>2528</v>
      </c>
      <c r="AY218" s="17">
        <v>2732</v>
      </c>
      <c r="AZ218" s="17">
        <v>2953</v>
      </c>
      <c r="BA218" s="17">
        <v>3160</v>
      </c>
      <c r="BB218" s="17">
        <v>3386</v>
      </c>
      <c r="BC218" s="17">
        <v>3646</v>
      </c>
      <c r="BD218" s="17">
        <v>3977</v>
      </c>
      <c r="BE218" s="17">
        <v>4395</v>
      </c>
      <c r="BF218" s="17">
        <v>4709</v>
      </c>
      <c r="BG218" s="17">
        <v>4987</v>
      </c>
      <c r="BH218" s="17">
        <v>5248</v>
      </c>
      <c r="BI218" s="17">
        <v>5509</v>
      </c>
      <c r="BJ218" s="17">
        <v>5776</v>
      </c>
      <c r="BK218" s="17">
        <v>6025</v>
      </c>
      <c r="BL218" s="17">
        <v>6307</v>
      </c>
      <c r="BM218" s="17">
        <v>6544</v>
      </c>
      <c r="BN218" s="17">
        <v>6779</v>
      </c>
      <c r="BO218" s="17">
        <v>7023</v>
      </c>
      <c r="BP218" s="17">
        <v>7270</v>
      </c>
      <c r="BQ218" s="17">
        <v>7484</v>
      </c>
      <c r="BR218" s="17">
        <v>7685</v>
      </c>
      <c r="BS218" s="17">
        <v>7874</v>
      </c>
      <c r="BT218" s="17">
        <v>8031</v>
      </c>
      <c r="BU218" s="17">
        <v>8170</v>
      </c>
      <c r="BV218" s="17">
        <v>8288</v>
      </c>
      <c r="BW218" s="17">
        <v>8401</v>
      </c>
      <c r="BX218" s="17">
        <v>8475</v>
      </c>
      <c r="BY218" s="17">
        <v>8543</v>
      </c>
      <c r="BZ218" s="17">
        <v>8605</v>
      </c>
      <c r="CA218" s="17">
        <v>8663</v>
      </c>
      <c r="CB218" s="17">
        <v>8719</v>
      </c>
      <c r="CC218" s="17">
        <v>8746</v>
      </c>
      <c r="CD218" s="17">
        <v>8759</v>
      </c>
      <c r="CE218" s="17">
        <v>8760</v>
      </c>
      <c r="CF218" s="17">
        <v>8760</v>
      </c>
      <c r="CG218" s="17">
        <v>8760</v>
      </c>
      <c r="CH218" s="17">
        <v>8760</v>
      </c>
      <c r="CI218" s="17">
        <v>8760</v>
      </c>
      <c r="CJ218" s="17">
        <v>8760</v>
      </c>
      <c r="CK218" s="17">
        <v>8760</v>
      </c>
      <c r="CL218" s="17">
        <v>8760</v>
      </c>
      <c r="CM218" s="17">
        <v>8760</v>
      </c>
      <c r="CN218" s="17">
        <v>8760</v>
      </c>
      <c r="CO218" s="17">
        <v>8760</v>
      </c>
      <c r="CP218" s="17">
        <v>8760</v>
      </c>
      <c r="CQ218" s="17">
        <v>8760</v>
      </c>
      <c r="CR218" s="17">
        <v>8760</v>
      </c>
      <c r="CS218" s="17">
        <v>8760</v>
      </c>
      <c r="CT218" s="17">
        <v>8760</v>
      </c>
      <c r="CU218" s="17">
        <v>8760</v>
      </c>
      <c r="CV218" s="17">
        <v>8760</v>
      </c>
      <c r="CW218" s="17">
        <v>8760</v>
      </c>
      <c r="CX218" s="17">
        <v>8760</v>
      </c>
      <c r="CY218" s="17">
        <v>8760</v>
      </c>
      <c r="CZ218" s="17">
        <v>8760</v>
      </c>
      <c r="DA218" s="17">
        <v>8760</v>
      </c>
      <c r="DB218" s="17">
        <v>8760</v>
      </c>
    </row>
    <row r="219" spans="1:106" s="17" customFormat="1" x14ac:dyDescent="0.25">
      <c r="A219" s="22" t="s">
        <v>236</v>
      </c>
      <c r="B219" s="17" t="s">
        <v>230</v>
      </c>
      <c r="C219" s="17" t="s">
        <v>438</v>
      </c>
      <c r="D219" s="17" t="s">
        <v>796</v>
      </c>
      <c r="E219" s="17" t="s">
        <v>797</v>
      </c>
      <c r="F219" s="17">
        <v>102238</v>
      </c>
      <c r="G219" s="17">
        <v>0</v>
      </c>
      <c r="H219" s="17">
        <v>0</v>
      </c>
      <c r="I219" s="17">
        <v>0</v>
      </c>
      <c r="J219" s="17">
        <v>0</v>
      </c>
      <c r="K219" s="17">
        <v>0</v>
      </c>
      <c r="L219" s="17">
        <v>0</v>
      </c>
      <c r="M219" s="17">
        <v>0</v>
      </c>
      <c r="N219" s="17">
        <v>0</v>
      </c>
      <c r="O219" s="17">
        <v>0</v>
      </c>
      <c r="P219" s="17">
        <v>0</v>
      </c>
      <c r="Q219" s="17">
        <v>0</v>
      </c>
      <c r="R219" s="17">
        <v>0</v>
      </c>
      <c r="S219" s="17">
        <v>0</v>
      </c>
      <c r="T219" s="17">
        <v>0</v>
      </c>
      <c r="U219" s="17">
        <v>0</v>
      </c>
      <c r="V219" s="17">
        <v>0</v>
      </c>
      <c r="W219" s="17">
        <v>0</v>
      </c>
      <c r="X219" s="17">
        <v>0</v>
      </c>
      <c r="Y219" s="17">
        <v>0</v>
      </c>
      <c r="Z219" s="17">
        <v>0</v>
      </c>
      <c r="AA219" s="17">
        <v>0</v>
      </c>
      <c r="AB219" s="17">
        <v>0</v>
      </c>
      <c r="AC219" s="17">
        <v>0</v>
      </c>
      <c r="AD219" s="17">
        <v>0</v>
      </c>
      <c r="AE219" s="17">
        <v>0</v>
      </c>
      <c r="AF219" s="17">
        <v>0</v>
      </c>
      <c r="AG219" s="17">
        <v>0</v>
      </c>
      <c r="AH219" s="17">
        <v>0</v>
      </c>
      <c r="AI219" s="17">
        <v>0</v>
      </c>
      <c r="AJ219" s="17">
        <v>0</v>
      </c>
      <c r="AK219" s="17">
        <v>0</v>
      </c>
      <c r="AL219" s="17">
        <v>0</v>
      </c>
      <c r="AM219" s="17">
        <v>0</v>
      </c>
      <c r="AN219" s="17">
        <v>0</v>
      </c>
      <c r="AO219" s="17">
        <v>7</v>
      </c>
      <c r="AP219" s="17">
        <v>9</v>
      </c>
      <c r="AQ219" s="17">
        <v>10</v>
      </c>
      <c r="AR219" s="17">
        <v>12</v>
      </c>
      <c r="AS219" s="17">
        <v>16</v>
      </c>
      <c r="AT219" s="17">
        <v>46</v>
      </c>
      <c r="AU219" s="17">
        <v>62</v>
      </c>
      <c r="AV219" s="17">
        <v>85</v>
      </c>
      <c r="AW219" s="17">
        <v>120</v>
      </c>
      <c r="AX219" s="17">
        <v>166</v>
      </c>
      <c r="AY219" s="17">
        <v>231</v>
      </c>
      <c r="AZ219" s="17">
        <v>322</v>
      </c>
      <c r="BA219" s="17">
        <v>435</v>
      </c>
      <c r="BB219" s="17">
        <v>629</v>
      </c>
      <c r="BC219" s="17">
        <v>872</v>
      </c>
      <c r="BD219" s="17">
        <v>1162</v>
      </c>
      <c r="BE219" s="17">
        <v>1511</v>
      </c>
      <c r="BF219" s="17">
        <v>1939</v>
      </c>
      <c r="BG219" s="17">
        <v>2372</v>
      </c>
      <c r="BH219" s="17">
        <v>2790</v>
      </c>
      <c r="BI219" s="17">
        <v>3188</v>
      </c>
      <c r="BJ219" s="17">
        <v>3644</v>
      </c>
      <c r="BK219" s="17">
        <v>4134</v>
      </c>
      <c r="BL219" s="17">
        <v>4539</v>
      </c>
      <c r="BM219" s="17">
        <v>4896</v>
      </c>
      <c r="BN219" s="17">
        <v>5299</v>
      </c>
      <c r="BO219" s="17">
        <v>5730</v>
      </c>
      <c r="BP219" s="17">
        <v>6102</v>
      </c>
      <c r="BQ219" s="17">
        <v>6496</v>
      </c>
      <c r="BR219" s="17">
        <v>6856</v>
      </c>
      <c r="BS219" s="17">
        <v>7246</v>
      </c>
      <c r="BT219" s="17">
        <v>7628</v>
      </c>
      <c r="BU219" s="17">
        <v>7904</v>
      </c>
      <c r="BV219" s="17">
        <v>8141</v>
      </c>
      <c r="BW219" s="17">
        <v>8333</v>
      </c>
      <c r="BX219" s="17">
        <v>8438</v>
      </c>
      <c r="BY219" s="17">
        <v>8528</v>
      </c>
      <c r="BZ219" s="17">
        <v>8585</v>
      </c>
      <c r="CA219" s="17">
        <v>8646</v>
      </c>
      <c r="CB219" s="17">
        <v>8687</v>
      </c>
      <c r="CC219" s="17">
        <v>8710</v>
      </c>
      <c r="CD219" s="17">
        <v>8731</v>
      </c>
      <c r="CE219" s="17">
        <v>8744</v>
      </c>
      <c r="CF219" s="17">
        <v>8753</v>
      </c>
      <c r="CG219" s="17">
        <v>8759</v>
      </c>
      <c r="CH219" s="17">
        <v>8760</v>
      </c>
      <c r="CI219" s="17">
        <v>8760</v>
      </c>
      <c r="CJ219" s="17">
        <v>8760</v>
      </c>
      <c r="CK219" s="17">
        <v>8760</v>
      </c>
      <c r="CL219" s="17">
        <v>8760</v>
      </c>
      <c r="CM219" s="17">
        <v>8760</v>
      </c>
      <c r="CN219" s="17">
        <v>8760</v>
      </c>
      <c r="CO219" s="17">
        <v>8760</v>
      </c>
      <c r="CP219" s="17">
        <v>8760</v>
      </c>
      <c r="CQ219" s="17">
        <v>8760</v>
      </c>
      <c r="CR219" s="17">
        <v>8760</v>
      </c>
      <c r="CS219" s="17">
        <v>8760</v>
      </c>
      <c r="CT219" s="17">
        <v>8760</v>
      </c>
      <c r="CU219" s="17">
        <v>8760</v>
      </c>
      <c r="CV219" s="17">
        <v>8760</v>
      </c>
      <c r="CW219" s="17">
        <v>8760</v>
      </c>
      <c r="CX219" s="17">
        <v>8760</v>
      </c>
      <c r="CY219" s="17">
        <v>8760</v>
      </c>
      <c r="CZ219" s="17">
        <v>8760</v>
      </c>
      <c r="DA219" s="17">
        <v>8760</v>
      </c>
      <c r="DB219" s="17">
        <v>8760</v>
      </c>
    </row>
    <row r="220" spans="1:106" s="17" customFormat="1" x14ac:dyDescent="0.25">
      <c r="A220" s="22" t="s">
        <v>237</v>
      </c>
      <c r="B220" s="17" t="s">
        <v>409</v>
      </c>
      <c r="C220" s="17" t="s">
        <v>438</v>
      </c>
      <c r="D220" s="17" t="s">
        <v>798</v>
      </c>
      <c r="E220" s="17" t="s">
        <v>799</v>
      </c>
      <c r="F220" s="17">
        <v>102139</v>
      </c>
      <c r="G220" s="17">
        <v>0</v>
      </c>
      <c r="H220" s="17">
        <v>0</v>
      </c>
      <c r="I220" s="17">
        <v>0</v>
      </c>
      <c r="J220" s="17">
        <v>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0</v>
      </c>
      <c r="AC220" s="17">
        <v>0</v>
      </c>
      <c r="AD220" s="17">
        <v>0</v>
      </c>
      <c r="AE220" s="17">
        <v>0</v>
      </c>
      <c r="AF220" s="17">
        <v>0</v>
      </c>
      <c r="AG220" s="17">
        <v>0</v>
      </c>
      <c r="AH220" s="17">
        <v>0</v>
      </c>
      <c r="AI220" s="17">
        <v>0</v>
      </c>
      <c r="AJ220" s="17">
        <v>0</v>
      </c>
      <c r="AK220" s="17">
        <v>0</v>
      </c>
      <c r="AL220" s="17">
        <v>0</v>
      </c>
      <c r="AM220" s="17">
        <v>0</v>
      </c>
      <c r="AN220" s="17">
        <v>0</v>
      </c>
      <c r="AO220" s="17">
        <v>1</v>
      </c>
      <c r="AP220" s="17">
        <v>4</v>
      </c>
      <c r="AQ220" s="17">
        <v>11</v>
      </c>
      <c r="AR220" s="17">
        <v>29</v>
      </c>
      <c r="AS220" s="17">
        <v>49</v>
      </c>
      <c r="AT220" s="17">
        <v>79</v>
      </c>
      <c r="AU220" s="17">
        <v>118</v>
      </c>
      <c r="AV220" s="17">
        <v>148</v>
      </c>
      <c r="AW220" s="17">
        <v>218</v>
      </c>
      <c r="AX220" s="17">
        <v>298</v>
      </c>
      <c r="AY220" s="17">
        <v>383</v>
      </c>
      <c r="AZ220" s="17">
        <v>486</v>
      </c>
      <c r="BA220" s="17">
        <v>640</v>
      </c>
      <c r="BB220" s="17">
        <v>898</v>
      </c>
      <c r="BC220" s="17">
        <v>1165</v>
      </c>
      <c r="BD220" s="17">
        <v>1511</v>
      </c>
      <c r="BE220" s="17">
        <v>1963</v>
      </c>
      <c r="BF220" s="17">
        <v>2346</v>
      </c>
      <c r="BG220" s="17">
        <v>2838</v>
      </c>
      <c r="BH220" s="17">
        <v>3375</v>
      </c>
      <c r="BI220" s="17">
        <v>3841</v>
      </c>
      <c r="BJ220" s="17">
        <v>4161</v>
      </c>
      <c r="BK220" s="17">
        <v>4394</v>
      </c>
      <c r="BL220" s="17">
        <v>4647</v>
      </c>
      <c r="BM220" s="17">
        <v>4911</v>
      </c>
      <c r="BN220" s="17">
        <v>5230</v>
      </c>
      <c r="BO220" s="17">
        <v>5604</v>
      </c>
      <c r="BP220" s="17">
        <v>6038</v>
      </c>
      <c r="BQ220" s="17">
        <v>6492</v>
      </c>
      <c r="BR220" s="17">
        <v>6880</v>
      </c>
      <c r="BS220" s="17">
        <v>7248</v>
      </c>
      <c r="BT220" s="17">
        <v>7581</v>
      </c>
      <c r="BU220" s="17">
        <v>7863</v>
      </c>
      <c r="BV220" s="17">
        <v>8049</v>
      </c>
      <c r="BW220" s="17">
        <v>8204</v>
      </c>
      <c r="BX220" s="17">
        <v>8333</v>
      </c>
      <c r="BY220" s="17">
        <v>8429</v>
      </c>
      <c r="BZ220" s="17">
        <v>8511</v>
      </c>
      <c r="CA220" s="17">
        <v>8575</v>
      </c>
      <c r="CB220" s="17">
        <v>8625</v>
      </c>
      <c r="CC220" s="17">
        <v>8669</v>
      </c>
      <c r="CD220" s="17">
        <v>8693</v>
      </c>
      <c r="CE220" s="17">
        <v>8716</v>
      </c>
      <c r="CF220" s="17">
        <v>8732</v>
      </c>
      <c r="CG220" s="17">
        <v>8741</v>
      </c>
      <c r="CH220" s="17">
        <v>8756</v>
      </c>
      <c r="CI220" s="17">
        <v>8760</v>
      </c>
      <c r="CJ220" s="17">
        <v>8760</v>
      </c>
      <c r="CK220" s="17">
        <v>8760</v>
      </c>
      <c r="CL220" s="17">
        <v>8760</v>
      </c>
      <c r="CM220" s="17">
        <v>8760</v>
      </c>
      <c r="CN220" s="17">
        <v>8760</v>
      </c>
      <c r="CO220" s="17">
        <v>8760</v>
      </c>
      <c r="CP220" s="17">
        <v>8760</v>
      </c>
      <c r="CQ220" s="17">
        <v>8760</v>
      </c>
      <c r="CR220" s="17">
        <v>8760</v>
      </c>
      <c r="CS220" s="17">
        <v>8760</v>
      </c>
      <c r="CT220" s="17">
        <v>8760</v>
      </c>
      <c r="CU220" s="17">
        <v>8760</v>
      </c>
      <c r="CV220" s="17">
        <v>8760</v>
      </c>
      <c r="CW220" s="17">
        <v>8760</v>
      </c>
      <c r="CX220" s="17">
        <v>8760</v>
      </c>
      <c r="CY220" s="17">
        <v>8760</v>
      </c>
      <c r="CZ220" s="17">
        <v>8760</v>
      </c>
      <c r="DA220" s="17">
        <v>8760</v>
      </c>
      <c r="DB220" s="17">
        <v>8760</v>
      </c>
    </row>
    <row r="221" spans="1:106" s="17" customFormat="1" x14ac:dyDescent="0.25">
      <c r="A221" s="22" t="s">
        <v>238</v>
      </c>
      <c r="B221" s="17" t="s">
        <v>410</v>
      </c>
      <c r="C221" s="17" t="s">
        <v>438</v>
      </c>
      <c r="D221" s="17" t="s">
        <v>800</v>
      </c>
      <c r="E221" s="17" t="s">
        <v>801</v>
      </c>
      <c r="F221" s="17">
        <v>102004</v>
      </c>
      <c r="G221" s="17">
        <v>0</v>
      </c>
      <c r="H221" s="17">
        <v>0</v>
      </c>
      <c r="I221" s="17">
        <v>0</v>
      </c>
      <c r="J221" s="17">
        <v>0</v>
      </c>
      <c r="K221" s="17">
        <v>0</v>
      </c>
      <c r="L221" s="17">
        <v>0</v>
      </c>
      <c r="M221" s="17">
        <v>0</v>
      </c>
      <c r="N221" s="17">
        <v>0</v>
      </c>
      <c r="O221" s="17">
        <v>0</v>
      </c>
      <c r="P221" s="17">
        <v>0</v>
      </c>
      <c r="Q221" s="17">
        <v>0</v>
      </c>
      <c r="R221" s="17">
        <v>0</v>
      </c>
      <c r="S221" s="17">
        <v>0</v>
      </c>
      <c r="T221" s="17">
        <v>0</v>
      </c>
      <c r="U221" s="17">
        <v>0</v>
      </c>
      <c r="V221" s="17">
        <v>0</v>
      </c>
      <c r="W221" s="17">
        <v>0</v>
      </c>
      <c r="X221" s="17">
        <v>0</v>
      </c>
      <c r="Y221" s="17">
        <v>0</v>
      </c>
      <c r="Z221" s="17">
        <v>0</v>
      </c>
      <c r="AA221" s="17">
        <v>2</v>
      </c>
      <c r="AB221" s="17">
        <v>8</v>
      </c>
      <c r="AC221" s="17">
        <v>15</v>
      </c>
      <c r="AD221" s="17">
        <v>26</v>
      </c>
      <c r="AE221" s="17">
        <v>37</v>
      </c>
      <c r="AF221" s="17">
        <v>52</v>
      </c>
      <c r="AG221" s="17">
        <v>65</v>
      </c>
      <c r="AH221" s="17">
        <v>94</v>
      </c>
      <c r="AI221" s="17">
        <v>126</v>
      </c>
      <c r="AJ221" s="17">
        <v>175</v>
      </c>
      <c r="AK221" s="17">
        <v>232</v>
      </c>
      <c r="AL221" s="17">
        <v>313</v>
      </c>
      <c r="AM221" s="17">
        <v>388</v>
      </c>
      <c r="AN221" s="17">
        <v>437</v>
      </c>
      <c r="AO221" s="17">
        <v>496</v>
      </c>
      <c r="AP221" s="17">
        <v>582</v>
      </c>
      <c r="AQ221" s="17">
        <v>649</v>
      </c>
      <c r="AR221" s="17">
        <v>728</v>
      </c>
      <c r="AS221" s="17">
        <v>805</v>
      </c>
      <c r="AT221" s="17">
        <v>901</v>
      </c>
      <c r="AU221" s="17">
        <v>1031</v>
      </c>
      <c r="AV221" s="17">
        <v>1134</v>
      </c>
      <c r="AW221" s="17">
        <v>1289</v>
      </c>
      <c r="AX221" s="17">
        <v>1473</v>
      </c>
      <c r="AY221" s="17">
        <v>1686</v>
      </c>
      <c r="AZ221" s="17">
        <v>1964</v>
      </c>
      <c r="BA221" s="17">
        <v>2262</v>
      </c>
      <c r="BB221" s="17">
        <v>2599</v>
      </c>
      <c r="BC221" s="17">
        <v>2931</v>
      </c>
      <c r="BD221" s="17">
        <v>3270</v>
      </c>
      <c r="BE221" s="17">
        <v>3704</v>
      </c>
      <c r="BF221" s="17">
        <v>4031</v>
      </c>
      <c r="BG221" s="17">
        <v>4320</v>
      </c>
      <c r="BH221" s="17">
        <v>4613</v>
      </c>
      <c r="BI221" s="17">
        <v>4900</v>
      </c>
      <c r="BJ221" s="17">
        <v>5112</v>
      </c>
      <c r="BK221" s="17">
        <v>5337</v>
      </c>
      <c r="BL221" s="17">
        <v>5649</v>
      </c>
      <c r="BM221" s="17">
        <v>5925</v>
      </c>
      <c r="BN221" s="17">
        <v>6226</v>
      </c>
      <c r="BO221" s="17">
        <v>6524</v>
      </c>
      <c r="BP221" s="17">
        <v>6854</v>
      </c>
      <c r="BQ221" s="17">
        <v>7193</v>
      </c>
      <c r="BR221" s="17">
        <v>7512</v>
      </c>
      <c r="BS221" s="17">
        <v>7812</v>
      </c>
      <c r="BT221" s="17">
        <v>8109</v>
      </c>
      <c r="BU221" s="17">
        <v>8304</v>
      </c>
      <c r="BV221" s="17">
        <v>8451</v>
      </c>
      <c r="BW221" s="17">
        <v>8539</v>
      </c>
      <c r="BX221" s="17">
        <v>8622</v>
      </c>
      <c r="BY221" s="17">
        <v>8677</v>
      </c>
      <c r="BZ221" s="17">
        <v>8710</v>
      </c>
      <c r="CA221" s="17">
        <v>8740</v>
      </c>
      <c r="CB221" s="17">
        <v>8756</v>
      </c>
      <c r="CC221" s="17">
        <v>8760</v>
      </c>
      <c r="CD221" s="17">
        <v>8760</v>
      </c>
      <c r="CE221" s="17">
        <v>8760</v>
      </c>
      <c r="CF221" s="17">
        <v>8760</v>
      </c>
      <c r="CG221" s="17">
        <v>8760</v>
      </c>
      <c r="CH221" s="17">
        <v>8760</v>
      </c>
      <c r="CI221" s="17">
        <v>8760</v>
      </c>
      <c r="CJ221" s="17">
        <v>8760</v>
      </c>
      <c r="CK221" s="17">
        <v>8760</v>
      </c>
      <c r="CL221" s="17">
        <v>8760</v>
      </c>
      <c r="CM221" s="17">
        <v>8760</v>
      </c>
      <c r="CN221" s="17">
        <v>8760</v>
      </c>
      <c r="CO221" s="17">
        <v>8760</v>
      </c>
      <c r="CP221" s="17">
        <v>8760</v>
      </c>
      <c r="CQ221" s="17">
        <v>8760</v>
      </c>
      <c r="CR221" s="17">
        <v>8760</v>
      </c>
      <c r="CS221" s="17">
        <v>8760</v>
      </c>
      <c r="CT221" s="17">
        <v>8760</v>
      </c>
      <c r="CU221" s="17">
        <v>8760</v>
      </c>
      <c r="CV221" s="17">
        <v>8760</v>
      </c>
      <c r="CW221" s="17">
        <v>8760</v>
      </c>
      <c r="CX221" s="17">
        <v>8760</v>
      </c>
      <c r="CY221" s="17">
        <v>8760</v>
      </c>
      <c r="CZ221" s="17">
        <v>8760</v>
      </c>
      <c r="DA221" s="17">
        <v>8760</v>
      </c>
      <c r="DB221" s="17">
        <v>8760</v>
      </c>
    </row>
    <row r="222" spans="1:106" s="17" customFormat="1" x14ac:dyDescent="0.25">
      <c r="A222" s="22" t="s">
        <v>239</v>
      </c>
      <c r="B222" s="17" t="s">
        <v>233</v>
      </c>
      <c r="C222" s="17" t="s">
        <v>438</v>
      </c>
      <c r="D222" s="17" t="s">
        <v>802</v>
      </c>
      <c r="E222" s="17" t="s">
        <v>803</v>
      </c>
      <c r="F222" s="17">
        <v>102011</v>
      </c>
      <c r="G222" s="17">
        <v>0</v>
      </c>
      <c r="H222" s="17">
        <v>0</v>
      </c>
      <c r="I222" s="17">
        <v>0</v>
      </c>
      <c r="J222" s="17">
        <v>0</v>
      </c>
      <c r="K222" s="17">
        <v>0</v>
      </c>
      <c r="L222" s="17">
        <v>0</v>
      </c>
      <c r="M222" s="17">
        <v>0</v>
      </c>
      <c r="N222" s="17">
        <v>0</v>
      </c>
      <c r="O222" s="17">
        <v>0</v>
      </c>
      <c r="P222" s="17">
        <v>0</v>
      </c>
      <c r="Q222" s="17">
        <v>0</v>
      </c>
      <c r="R222" s="17">
        <v>0</v>
      </c>
      <c r="S222" s="17">
        <v>0</v>
      </c>
      <c r="T222" s="17">
        <v>0</v>
      </c>
      <c r="U222" s="17">
        <v>0</v>
      </c>
      <c r="V222" s="17">
        <v>0</v>
      </c>
      <c r="W222" s="17">
        <v>4</v>
      </c>
      <c r="X222" s="17">
        <v>8</v>
      </c>
      <c r="Y222" s="17">
        <v>11</v>
      </c>
      <c r="Z222" s="17">
        <v>20</v>
      </c>
      <c r="AA222" s="17">
        <v>26</v>
      </c>
      <c r="AB222" s="17">
        <v>32</v>
      </c>
      <c r="AC222" s="17">
        <v>36</v>
      </c>
      <c r="AD222" s="17">
        <v>44</v>
      </c>
      <c r="AE222" s="17">
        <v>64</v>
      </c>
      <c r="AF222" s="17">
        <v>99</v>
      </c>
      <c r="AG222" s="17">
        <v>121</v>
      </c>
      <c r="AH222" s="17">
        <v>153</v>
      </c>
      <c r="AI222" s="17">
        <v>195</v>
      </c>
      <c r="AJ222" s="17">
        <v>249</v>
      </c>
      <c r="AK222" s="17">
        <v>313</v>
      </c>
      <c r="AL222" s="17">
        <v>372</v>
      </c>
      <c r="AM222" s="17">
        <v>436</v>
      </c>
      <c r="AN222" s="17">
        <v>516</v>
      </c>
      <c r="AO222" s="17">
        <v>623</v>
      </c>
      <c r="AP222" s="17">
        <v>780</v>
      </c>
      <c r="AQ222" s="17">
        <v>940</v>
      </c>
      <c r="AR222" s="17">
        <v>1069</v>
      </c>
      <c r="AS222" s="17">
        <v>1191</v>
      </c>
      <c r="AT222" s="17">
        <v>1334</v>
      </c>
      <c r="AU222" s="17">
        <v>1506</v>
      </c>
      <c r="AV222" s="17">
        <v>1716</v>
      </c>
      <c r="AW222" s="17">
        <v>1978</v>
      </c>
      <c r="AX222" s="17">
        <v>2270</v>
      </c>
      <c r="AY222" s="17">
        <v>2645</v>
      </c>
      <c r="AZ222" s="17">
        <v>3027</v>
      </c>
      <c r="BA222" s="17">
        <v>3417</v>
      </c>
      <c r="BB222" s="17">
        <v>3810</v>
      </c>
      <c r="BC222" s="17">
        <v>4151</v>
      </c>
      <c r="BD222" s="17">
        <v>4478</v>
      </c>
      <c r="BE222" s="17">
        <v>4851</v>
      </c>
      <c r="BF222" s="17">
        <v>5175</v>
      </c>
      <c r="BG222" s="17">
        <v>5534</v>
      </c>
      <c r="BH222" s="17">
        <v>5910</v>
      </c>
      <c r="BI222" s="17">
        <v>6227</v>
      </c>
      <c r="BJ222" s="17">
        <v>6566</v>
      </c>
      <c r="BK222" s="17">
        <v>6899</v>
      </c>
      <c r="BL222" s="17">
        <v>7204</v>
      </c>
      <c r="BM222" s="17">
        <v>7494</v>
      </c>
      <c r="BN222" s="17">
        <v>7725</v>
      </c>
      <c r="BO222" s="17">
        <v>7949</v>
      </c>
      <c r="BP222" s="17">
        <v>8136</v>
      </c>
      <c r="BQ222" s="17">
        <v>8314</v>
      </c>
      <c r="BR222" s="17">
        <v>8443</v>
      </c>
      <c r="BS222" s="17">
        <v>8529</v>
      </c>
      <c r="BT222" s="17">
        <v>8598</v>
      </c>
      <c r="BU222" s="17">
        <v>8639</v>
      </c>
      <c r="BV222" s="17">
        <v>8675</v>
      </c>
      <c r="BW222" s="17">
        <v>8704</v>
      </c>
      <c r="BX222" s="17">
        <v>8728</v>
      </c>
      <c r="BY222" s="17">
        <v>8751</v>
      </c>
      <c r="BZ222" s="17">
        <v>8759</v>
      </c>
      <c r="CA222" s="17">
        <v>8760</v>
      </c>
      <c r="CB222" s="17">
        <v>8760</v>
      </c>
      <c r="CC222" s="17">
        <v>8760</v>
      </c>
      <c r="CD222" s="17">
        <v>8760</v>
      </c>
      <c r="CE222" s="17">
        <v>8760</v>
      </c>
      <c r="CF222" s="17">
        <v>8760</v>
      </c>
      <c r="CG222" s="17">
        <v>8760</v>
      </c>
      <c r="CH222" s="17">
        <v>8760</v>
      </c>
      <c r="CI222" s="17">
        <v>8760</v>
      </c>
      <c r="CJ222" s="17">
        <v>8760</v>
      </c>
      <c r="CK222" s="17">
        <v>8760</v>
      </c>
      <c r="CL222" s="17">
        <v>8760</v>
      </c>
      <c r="CM222" s="17">
        <v>8760</v>
      </c>
      <c r="CN222" s="17">
        <v>8760</v>
      </c>
      <c r="CO222" s="17">
        <v>8760</v>
      </c>
      <c r="CP222" s="17">
        <v>8760</v>
      </c>
      <c r="CQ222" s="17">
        <v>8760</v>
      </c>
      <c r="CR222" s="17">
        <v>8760</v>
      </c>
      <c r="CS222" s="17">
        <v>8760</v>
      </c>
      <c r="CT222" s="17">
        <v>8760</v>
      </c>
      <c r="CU222" s="17">
        <v>8760</v>
      </c>
      <c r="CV222" s="17">
        <v>8760</v>
      </c>
      <c r="CW222" s="17">
        <v>8760</v>
      </c>
      <c r="CX222" s="17">
        <v>8760</v>
      </c>
      <c r="CY222" s="17">
        <v>8760</v>
      </c>
      <c r="CZ222" s="17">
        <v>8760</v>
      </c>
      <c r="DA222" s="17">
        <v>8760</v>
      </c>
      <c r="DB222" s="17">
        <v>8760</v>
      </c>
    </row>
    <row r="223" spans="1:106" s="17" customFormat="1" x14ac:dyDescent="0.25">
      <c r="A223" s="22" t="s">
        <v>240</v>
      </c>
      <c r="B223" s="17" t="s">
        <v>234</v>
      </c>
      <c r="C223" s="17" t="s">
        <v>438</v>
      </c>
      <c r="D223" s="17" t="s">
        <v>804</v>
      </c>
      <c r="E223" s="17" t="s">
        <v>805</v>
      </c>
      <c r="F223" s="17">
        <v>102913</v>
      </c>
      <c r="G223" s="17">
        <v>0</v>
      </c>
      <c r="H223" s="17">
        <v>0</v>
      </c>
      <c r="I223" s="17">
        <v>0</v>
      </c>
      <c r="J223" s="17">
        <v>0</v>
      </c>
      <c r="K223" s="17">
        <v>0</v>
      </c>
      <c r="L223" s="17">
        <v>0</v>
      </c>
      <c r="M223" s="17">
        <v>0</v>
      </c>
      <c r="N223" s="17">
        <v>0</v>
      </c>
      <c r="O223" s="17">
        <v>0</v>
      </c>
      <c r="P223" s="17">
        <v>0</v>
      </c>
      <c r="Q223" s="17">
        <v>0</v>
      </c>
      <c r="R223" s="17">
        <v>0</v>
      </c>
      <c r="S223" s="17">
        <v>0</v>
      </c>
      <c r="T223" s="17">
        <v>0</v>
      </c>
      <c r="U223" s="17">
        <v>0</v>
      </c>
      <c r="V223" s="17">
        <v>0</v>
      </c>
      <c r="W223" s="17">
        <v>0</v>
      </c>
      <c r="X223" s="17">
        <v>0</v>
      </c>
      <c r="Y223" s="17">
        <v>0</v>
      </c>
      <c r="Z223" s="17">
        <v>1</v>
      </c>
      <c r="AA223" s="17">
        <v>9</v>
      </c>
      <c r="AB223" s="17">
        <v>17</v>
      </c>
      <c r="AC223" s="17">
        <v>32</v>
      </c>
      <c r="AD223" s="17">
        <v>49</v>
      </c>
      <c r="AE223" s="17">
        <v>52</v>
      </c>
      <c r="AF223" s="17">
        <v>61</v>
      </c>
      <c r="AG223" s="17">
        <v>75</v>
      </c>
      <c r="AH223" s="17">
        <v>89</v>
      </c>
      <c r="AI223" s="17">
        <v>103</v>
      </c>
      <c r="AJ223" s="17">
        <v>147</v>
      </c>
      <c r="AK223" s="17">
        <v>211</v>
      </c>
      <c r="AL223" s="17">
        <v>265</v>
      </c>
      <c r="AM223" s="17">
        <v>316</v>
      </c>
      <c r="AN223" s="17">
        <v>373</v>
      </c>
      <c r="AO223" s="17">
        <v>476</v>
      </c>
      <c r="AP223" s="17">
        <v>561</v>
      </c>
      <c r="AQ223" s="17">
        <v>650</v>
      </c>
      <c r="AR223" s="17">
        <v>749</v>
      </c>
      <c r="AS223" s="17">
        <v>874</v>
      </c>
      <c r="AT223" s="17">
        <v>1009</v>
      </c>
      <c r="AU223" s="17">
        <v>1106</v>
      </c>
      <c r="AV223" s="17">
        <v>1195</v>
      </c>
      <c r="AW223" s="17">
        <v>1324</v>
      </c>
      <c r="AX223" s="17">
        <v>1503</v>
      </c>
      <c r="AY223" s="17">
        <v>1711</v>
      </c>
      <c r="AZ223" s="17">
        <v>1947</v>
      </c>
      <c r="BA223" s="17">
        <v>2220</v>
      </c>
      <c r="BB223" s="17">
        <v>2515</v>
      </c>
      <c r="BC223" s="17">
        <v>2893</v>
      </c>
      <c r="BD223" s="17">
        <v>3241</v>
      </c>
      <c r="BE223" s="17">
        <v>3646</v>
      </c>
      <c r="BF223" s="17">
        <v>4029</v>
      </c>
      <c r="BG223" s="17">
        <v>4374</v>
      </c>
      <c r="BH223" s="17">
        <v>4638</v>
      </c>
      <c r="BI223" s="17">
        <v>4920</v>
      </c>
      <c r="BJ223" s="17">
        <v>5142</v>
      </c>
      <c r="BK223" s="17">
        <v>5413</v>
      </c>
      <c r="BL223" s="17">
        <v>5658</v>
      </c>
      <c r="BM223" s="17">
        <v>5916</v>
      </c>
      <c r="BN223" s="17">
        <v>6183</v>
      </c>
      <c r="BO223" s="17">
        <v>6484</v>
      </c>
      <c r="BP223" s="17">
        <v>6737</v>
      </c>
      <c r="BQ223" s="17">
        <v>6995</v>
      </c>
      <c r="BR223" s="17">
        <v>7282</v>
      </c>
      <c r="BS223" s="17">
        <v>7617</v>
      </c>
      <c r="BT223" s="17">
        <v>7872</v>
      </c>
      <c r="BU223" s="17">
        <v>8084</v>
      </c>
      <c r="BV223" s="17">
        <v>8278</v>
      </c>
      <c r="BW223" s="17">
        <v>8423</v>
      </c>
      <c r="BX223" s="17">
        <v>8546</v>
      </c>
      <c r="BY223" s="17">
        <v>8630</v>
      </c>
      <c r="BZ223" s="17">
        <v>8675</v>
      </c>
      <c r="CA223" s="17">
        <v>8707</v>
      </c>
      <c r="CB223" s="17">
        <v>8739</v>
      </c>
      <c r="CC223" s="17">
        <v>8754</v>
      </c>
      <c r="CD223" s="17">
        <v>8760</v>
      </c>
      <c r="CE223" s="17">
        <v>8760</v>
      </c>
      <c r="CF223" s="17">
        <v>8760</v>
      </c>
      <c r="CG223" s="17">
        <v>8760</v>
      </c>
      <c r="CH223" s="17">
        <v>8760</v>
      </c>
      <c r="CI223" s="17">
        <v>8760</v>
      </c>
      <c r="CJ223" s="17">
        <v>8760</v>
      </c>
      <c r="CK223" s="17">
        <v>8760</v>
      </c>
      <c r="CL223" s="17">
        <v>8760</v>
      </c>
      <c r="CM223" s="17">
        <v>8760</v>
      </c>
      <c r="CN223" s="17">
        <v>8760</v>
      </c>
      <c r="CO223" s="17">
        <v>8760</v>
      </c>
      <c r="CP223" s="17">
        <v>8760</v>
      </c>
      <c r="CQ223" s="17">
        <v>8760</v>
      </c>
      <c r="CR223" s="17">
        <v>8760</v>
      </c>
      <c r="CS223" s="17">
        <v>8760</v>
      </c>
      <c r="CT223" s="17">
        <v>8760</v>
      </c>
      <c r="CU223" s="17">
        <v>8760</v>
      </c>
      <c r="CV223" s="17">
        <v>8760</v>
      </c>
      <c r="CW223" s="17">
        <v>8760</v>
      </c>
      <c r="CX223" s="17">
        <v>8760</v>
      </c>
      <c r="CY223" s="17">
        <v>8760</v>
      </c>
      <c r="CZ223" s="17">
        <v>8760</v>
      </c>
      <c r="DA223" s="17">
        <v>8760</v>
      </c>
      <c r="DB223" s="17">
        <v>8760</v>
      </c>
    </row>
    <row r="224" spans="1:106" s="17" customFormat="1" x14ac:dyDescent="0.25">
      <c r="A224" s="22" t="s">
        <v>241</v>
      </c>
      <c r="B224" s="17" t="s">
        <v>235</v>
      </c>
      <c r="C224" s="17" t="s">
        <v>438</v>
      </c>
      <c r="D224" s="17" t="s">
        <v>806</v>
      </c>
      <c r="E224" s="17" t="s">
        <v>807</v>
      </c>
      <c r="F224" s="17">
        <v>102119</v>
      </c>
      <c r="G224" s="17">
        <v>0</v>
      </c>
      <c r="H224" s="17">
        <v>0</v>
      </c>
      <c r="I224" s="17">
        <v>0</v>
      </c>
      <c r="J224" s="17">
        <v>0</v>
      </c>
      <c r="K224" s="17">
        <v>0</v>
      </c>
      <c r="L224" s="17">
        <v>0</v>
      </c>
      <c r="M224" s="17">
        <v>0</v>
      </c>
      <c r="N224" s="17">
        <v>0</v>
      </c>
      <c r="O224" s="17">
        <v>0</v>
      </c>
      <c r="P224" s="17">
        <v>0</v>
      </c>
      <c r="Q224" s="17">
        <v>0</v>
      </c>
      <c r="R224" s="17">
        <v>0</v>
      </c>
      <c r="S224" s="17">
        <v>0</v>
      </c>
      <c r="T224" s="17">
        <v>0</v>
      </c>
      <c r="U224" s="17">
        <v>0</v>
      </c>
      <c r="V224" s="17">
        <v>0</v>
      </c>
      <c r="W224" s="17">
        <v>0</v>
      </c>
      <c r="X224" s="17">
        <v>0</v>
      </c>
      <c r="Y224" s="17">
        <v>0</v>
      </c>
      <c r="Z224" s="17">
        <v>0</v>
      </c>
      <c r="AA224" s="17">
        <v>0</v>
      </c>
      <c r="AB224" s="17">
        <v>0</v>
      </c>
      <c r="AC224" s="17">
        <v>0</v>
      </c>
      <c r="AD224" s="17">
        <v>0</v>
      </c>
      <c r="AE224" s="17">
        <v>0</v>
      </c>
      <c r="AF224" s="17">
        <v>0</v>
      </c>
      <c r="AG224" s="17">
        <v>0</v>
      </c>
      <c r="AH224" s="17">
        <v>0</v>
      </c>
      <c r="AI224" s="17">
        <v>0</v>
      </c>
      <c r="AJ224" s="17">
        <v>0</v>
      </c>
      <c r="AK224" s="17">
        <v>0</v>
      </c>
      <c r="AL224" s="17">
        <v>0</v>
      </c>
      <c r="AM224" s="17">
        <v>0</v>
      </c>
      <c r="AN224" s="17">
        <v>0</v>
      </c>
      <c r="AO224" s="17">
        <v>5</v>
      </c>
      <c r="AP224" s="17">
        <v>13</v>
      </c>
      <c r="AQ224" s="17">
        <v>28</v>
      </c>
      <c r="AR224" s="17">
        <v>38</v>
      </c>
      <c r="AS224" s="17">
        <v>44</v>
      </c>
      <c r="AT224" s="17">
        <v>61</v>
      </c>
      <c r="AU224" s="17">
        <v>90</v>
      </c>
      <c r="AV224" s="17">
        <v>119</v>
      </c>
      <c r="AW224" s="17">
        <v>154</v>
      </c>
      <c r="AX224" s="17">
        <v>207</v>
      </c>
      <c r="AY224" s="17">
        <v>294</v>
      </c>
      <c r="AZ224" s="17">
        <v>386</v>
      </c>
      <c r="BA224" s="17">
        <v>537</v>
      </c>
      <c r="BB224" s="17">
        <v>758</v>
      </c>
      <c r="BC224" s="17">
        <v>1046</v>
      </c>
      <c r="BD224" s="17">
        <v>1392</v>
      </c>
      <c r="BE224" s="17">
        <v>1787</v>
      </c>
      <c r="BF224" s="17">
        <v>2231</v>
      </c>
      <c r="BG224" s="17">
        <v>2676</v>
      </c>
      <c r="BH224" s="17">
        <v>3131</v>
      </c>
      <c r="BI224" s="17">
        <v>3563</v>
      </c>
      <c r="BJ224" s="17">
        <v>3970</v>
      </c>
      <c r="BK224" s="17">
        <v>4306</v>
      </c>
      <c r="BL224" s="17">
        <v>4647</v>
      </c>
      <c r="BM224" s="17">
        <v>4997</v>
      </c>
      <c r="BN224" s="17">
        <v>5386</v>
      </c>
      <c r="BO224" s="17">
        <v>5691</v>
      </c>
      <c r="BP224" s="17">
        <v>6062</v>
      </c>
      <c r="BQ224" s="17">
        <v>6413</v>
      </c>
      <c r="BR224" s="17">
        <v>6698</v>
      </c>
      <c r="BS224" s="17">
        <v>6993</v>
      </c>
      <c r="BT224" s="17">
        <v>7304</v>
      </c>
      <c r="BU224" s="17">
        <v>7569</v>
      </c>
      <c r="BV224" s="17">
        <v>7813</v>
      </c>
      <c r="BW224" s="17">
        <v>8011</v>
      </c>
      <c r="BX224" s="17">
        <v>8184</v>
      </c>
      <c r="BY224" s="17">
        <v>8311</v>
      </c>
      <c r="BZ224" s="17">
        <v>8428</v>
      </c>
      <c r="CA224" s="17">
        <v>8544</v>
      </c>
      <c r="CB224" s="17">
        <v>8633</v>
      </c>
      <c r="CC224" s="17">
        <v>8689</v>
      </c>
      <c r="CD224" s="17">
        <v>8732</v>
      </c>
      <c r="CE224" s="17">
        <v>8758</v>
      </c>
      <c r="CF224" s="17">
        <v>8760</v>
      </c>
      <c r="CG224" s="17">
        <v>8760</v>
      </c>
      <c r="CH224" s="17">
        <v>8760</v>
      </c>
      <c r="CI224" s="17">
        <v>8760</v>
      </c>
      <c r="CJ224" s="17">
        <v>8760</v>
      </c>
      <c r="CK224" s="17">
        <v>8760</v>
      </c>
      <c r="CL224" s="17">
        <v>8760</v>
      </c>
      <c r="CM224" s="17">
        <v>8760</v>
      </c>
      <c r="CN224" s="17">
        <v>8760</v>
      </c>
      <c r="CO224" s="17">
        <v>8760</v>
      </c>
      <c r="CP224" s="17">
        <v>8760</v>
      </c>
      <c r="CQ224" s="17">
        <v>8760</v>
      </c>
      <c r="CR224" s="17">
        <v>8760</v>
      </c>
      <c r="CS224" s="17">
        <v>8760</v>
      </c>
      <c r="CT224" s="17">
        <v>8760</v>
      </c>
      <c r="CU224" s="17">
        <v>8760</v>
      </c>
      <c r="CV224" s="17">
        <v>8760</v>
      </c>
      <c r="CW224" s="17">
        <v>8760</v>
      </c>
      <c r="CX224" s="17">
        <v>8760</v>
      </c>
      <c r="CY224" s="17">
        <v>8760</v>
      </c>
      <c r="CZ224" s="17">
        <v>8760</v>
      </c>
      <c r="DA224" s="17">
        <v>8760</v>
      </c>
      <c r="DB224" s="17">
        <v>8760</v>
      </c>
    </row>
    <row r="225" spans="1:106" s="17" customFormat="1" x14ac:dyDescent="0.25">
      <c r="A225" s="22" t="s">
        <v>242</v>
      </c>
      <c r="B225" s="17" t="s">
        <v>411</v>
      </c>
      <c r="C225" s="17" t="s">
        <v>438</v>
      </c>
      <c r="D225" s="17" t="s">
        <v>808</v>
      </c>
      <c r="E225" s="17" t="s">
        <v>809</v>
      </c>
      <c r="F225" s="17">
        <v>102723</v>
      </c>
      <c r="G225" s="17">
        <v>0</v>
      </c>
      <c r="H225" s="17">
        <v>0</v>
      </c>
      <c r="I225" s="17">
        <v>0</v>
      </c>
      <c r="J225" s="17">
        <v>0</v>
      </c>
      <c r="K225" s="17">
        <v>0</v>
      </c>
      <c r="L225" s="17">
        <v>0</v>
      </c>
      <c r="M225" s="17">
        <v>0</v>
      </c>
      <c r="N225" s="17">
        <v>0</v>
      </c>
      <c r="O225" s="17">
        <v>0</v>
      </c>
      <c r="P225" s="17">
        <v>0</v>
      </c>
      <c r="Q225" s="17">
        <v>0</v>
      </c>
      <c r="R225" s="17">
        <v>0</v>
      </c>
      <c r="S225" s="17">
        <v>0</v>
      </c>
      <c r="T225" s="17">
        <v>0</v>
      </c>
      <c r="U225" s="17">
        <v>0</v>
      </c>
      <c r="V225" s="17">
        <v>0</v>
      </c>
      <c r="W225" s="17">
        <v>0</v>
      </c>
      <c r="X225" s="17">
        <v>0</v>
      </c>
      <c r="Y225" s="17">
        <v>0</v>
      </c>
      <c r="Z225" s="17">
        <v>0</v>
      </c>
      <c r="AA225" s="17">
        <v>0</v>
      </c>
      <c r="AB225" s="17">
        <v>0</v>
      </c>
      <c r="AC225" s="17">
        <v>0</v>
      </c>
      <c r="AD225" s="17">
        <v>6</v>
      </c>
      <c r="AE225" s="17">
        <v>12</v>
      </c>
      <c r="AF225" s="17">
        <v>16</v>
      </c>
      <c r="AG225" s="17">
        <v>18</v>
      </c>
      <c r="AH225" s="17">
        <v>20</v>
      </c>
      <c r="AI225" s="17">
        <v>23</v>
      </c>
      <c r="AJ225" s="17">
        <v>41</v>
      </c>
      <c r="AK225" s="17">
        <v>50</v>
      </c>
      <c r="AL225" s="17">
        <v>69</v>
      </c>
      <c r="AM225" s="17">
        <v>84</v>
      </c>
      <c r="AN225" s="17">
        <v>96</v>
      </c>
      <c r="AO225" s="17">
        <v>121</v>
      </c>
      <c r="AP225" s="17">
        <v>171</v>
      </c>
      <c r="AQ225" s="17">
        <v>257</v>
      </c>
      <c r="AR225" s="17">
        <v>349</v>
      </c>
      <c r="AS225" s="17">
        <v>437</v>
      </c>
      <c r="AT225" s="17">
        <v>529</v>
      </c>
      <c r="AU225" s="17">
        <v>607</v>
      </c>
      <c r="AV225" s="17">
        <v>705</v>
      </c>
      <c r="AW225" s="17">
        <v>816</v>
      </c>
      <c r="AX225" s="17">
        <v>955</v>
      </c>
      <c r="AY225" s="17">
        <v>1164</v>
      </c>
      <c r="AZ225" s="17">
        <v>1432</v>
      </c>
      <c r="BA225" s="17">
        <v>1735</v>
      </c>
      <c r="BB225" s="17">
        <v>2047</v>
      </c>
      <c r="BC225" s="17">
        <v>2388</v>
      </c>
      <c r="BD225" s="17">
        <v>2813</v>
      </c>
      <c r="BE225" s="17">
        <v>3268</v>
      </c>
      <c r="BF225" s="17">
        <v>3678</v>
      </c>
      <c r="BG225" s="17">
        <v>4073</v>
      </c>
      <c r="BH225" s="17">
        <v>4407</v>
      </c>
      <c r="BI225" s="17">
        <v>4745</v>
      </c>
      <c r="BJ225" s="17">
        <v>5030</v>
      </c>
      <c r="BK225" s="17">
        <v>5350</v>
      </c>
      <c r="BL225" s="17">
        <v>5660</v>
      </c>
      <c r="BM225" s="17">
        <v>5923</v>
      </c>
      <c r="BN225" s="17">
        <v>6195</v>
      </c>
      <c r="BO225" s="17">
        <v>6514</v>
      </c>
      <c r="BP225" s="17">
        <v>6846</v>
      </c>
      <c r="BQ225" s="17">
        <v>7142</v>
      </c>
      <c r="BR225" s="17">
        <v>7440</v>
      </c>
      <c r="BS225" s="17">
        <v>7706</v>
      </c>
      <c r="BT225" s="17">
        <v>7906</v>
      </c>
      <c r="BU225" s="17">
        <v>8089</v>
      </c>
      <c r="BV225" s="17">
        <v>8267</v>
      </c>
      <c r="BW225" s="17">
        <v>8393</v>
      </c>
      <c r="BX225" s="17">
        <v>8509</v>
      </c>
      <c r="BY225" s="17">
        <v>8584</v>
      </c>
      <c r="BZ225" s="17">
        <v>8647</v>
      </c>
      <c r="CA225" s="17">
        <v>8711</v>
      </c>
      <c r="CB225" s="17">
        <v>8738</v>
      </c>
      <c r="CC225" s="17">
        <v>8757</v>
      </c>
      <c r="CD225" s="17">
        <v>8760</v>
      </c>
      <c r="CE225" s="17">
        <v>8760</v>
      </c>
      <c r="CF225" s="17">
        <v>8760</v>
      </c>
      <c r="CG225" s="17">
        <v>8760</v>
      </c>
      <c r="CH225" s="17">
        <v>8760</v>
      </c>
      <c r="CI225" s="17">
        <v>8760</v>
      </c>
      <c r="CJ225" s="17">
        <v>8760</v>
      </c>
      <c r="CK225" s="17">
        <v>8760</v>
      </c>
      <c r="CL225" s="17">
        <v>8760</v>
      </c>
      <c r="CM225" s="17">
        <v>8760</v>
      </c>
      <c r="CN225" s="17">
        <v>8760</v>
      </c>
      <c r="CO225" s="17">
        <v>8760</v>
      </c>
      <c r="CP225" s="17">
        <v>8760</v>
      </c>
      <c r="CQ225" s="17">
        <v>8760</v>
      </c>
      <c r="CR225" s="17">
        <v>8760</v>
      </c>
      <c r="CS225" s="17">
        <v>8760</v>
      </c>
      <c r="CT225" s="17">
        <v>8760</v>
      </c>
      <c r="CU225" s="17">
        <v>8760</v>
      </c>
      <c r="CV225" s="17">
        <v>8760</v>
      </c>
      <c r="CW225" s="17">
        <v>8760</v>
      </c>
      <c r="CX225" s="17">
        <v>8760</v>
      </c>
      <c r="CY225" s="17">
        <v>8760</v>
      </c>
      <c r="CZ225" s="17">
        <v>8760</v>
      </c>
      <c r="DA225" s="17">
        <v>8760</v>
      </c>
      <c r="DB225" s="17">
        <v>8760</v>
      </c>
    </row>
    <row r="226" spans="1:106" s="17" customFormat="1" x14ac:dyDescent="0.25">
      <c r="A226" s="22" t="s">
        <v>243</v>
      </c>
      <c r="B226" s="17" t="s">
        <v>412</v>
      </c>
    </row>
    <row r="227" spans="1:106" s="17" customFormat="1" x14ac:dyDescent="0.25">
      <c r="A227" s="22" t="s">
        <v>244</v>
      </c>
      <c r="B227" s="17" t="s">
        <v>237</v>
      </c>
      <c r="C227" s="17" t="s">
        <v>438</v>
      </c>
      <c r="D227" s="17" t="s">
        <v>810</v>
      </c>
      <c r="E227" s="17" t="s">
        <v>811</v>
      </c>
      <c r="F227" s="17">
        <v>102604</v>
      </c>
      <c r="G227" s="17">
        <v>0</v>
      </c>
      <c r="H227" s="17">
        <v>0</v>
      </c>
      <c r="I227" s="17">
        <v>0</v>
      </c>
      <c r="J227" s="17">
        <v>0</v>
      </c>
      <c r="K227" s="17">
        <v>0</v>
      </c>
      <c r="L227" s="17">
        <v>0</v>
      </c>
      <c r="M227" s="17">
        <v>0</v>
      </c>
      <c r="N227" s="17">
        <v>0</v>
      </c>
      <c r="O227" s="17">
        <v>0</v>
      </c>
      <c r="P227" s="17">
        <v>0</v>
      </c>
      <c r="Q227" s="17">
        <v>0</v>
      </c>
      <c r="R227" s="17">
        <v>0</v>
      </c>
      <c r="S227" s="17">
        <v>0</v>
      </c>
      <c r="T227" s="17">
        <v>0</v>
      </c>
      <c r="U227" s="17">
        <v>0</v>
      </c>
      <c r="V227" s="17">
        <v>0</v>
      </c>
      <c r="W227" s="17">
        <v>0</v>
      </c>
      <c r="X227" s="17">
        <v>0</v>
      </c>
      <c r="Y227" s="17">
        <v>0</v>
      </c>
      <c r="Z227" s="17">
        <v>0</v>
      </c>
      <c r="AA227" s="17">
        <v>2</v>
      </c>
      <c r="AB227" s="17">
        <v>5</v>
      </c>
      <c r="AC227" s="17">
        <v>9</v>
      </c>
      <c r="AD227" s="17">
        <v>13</v>
      </c>
      <c r="AE227" s="17">
        <v>16</v>
      </c>
      <c r="AF227" s="17">
        <v>25</v>
      </c>
      <c r="AG227" s="17">
        <v>27</v>
      </c>
      <c r="AH227" s="17">
        <v>29</v>
      </c>
      <c r="AI227" s="17">
        <v>31</v>
      </c>
      <c r="AJ227" s="17">
        <v>38</v>
      </c>
      <c r="AK227" s="17">
        <v>52</v>
      </c>
      <c r="AL227" s="17">
        <v>64</v>
      </c>
      <c r="AM227" s="17">
        <v>77</v>
      </c>
      <c r="AN227" s="17">
        <v>92</v>
      </c>
      <c r="AO227" s="17">
        <v>107</v>
      </c>
      <c r="AP227" s="17">
        <v>135</v>
      </c>
      <c r="AQ227" s="17">
        <v>154</v>
      </c>
      <c r="AR227" s="17">
        <v>189</v>
      </c>
      <c r="AS227" s="17">
        <v>241</v>
      </c>
      <c r="AT227" s="17">
        <v>305</v>
      </c>
      <c r="AU227" s="17">
        <v>394</v>
      </c>
      <c r="AV227" s="17">
        <v>487</v>
      </c>
      <c r="AW227" s="17">
        <v>595</v>
      </c>
      <c r="AX227" s="17">
        <v>728</v>
      </c>
      <c r="AY227" s="17">
        <v>865</v>
      </c>
      <c r="AZ227" s="17">
        <v>1030</v>
      </c>
      <c r="BA227" s="17">
        <v>1276</v>
      </c>
      <c r="BB227" s="17">
        <v>1575</v>
      </c>
      <c r="BC227" s="17">
        <v>1900</v>
      </c>
      <c r="BD227" s="17">
        <v>2274</v>
      </c>
      <c r="BE227" s="17">
        <v>2728</v>
      </c>
      <c r="BF227" s="17">
        <v>3175</v>
      </c>
      <c r="BG227" s="17">
        <v>3627</v>
      </c>
      <c r="BH227" s="17">
        <v>4009</v>
      </c>
      <c r="BI227" s="17">
        <v>4311</v>
      </c>
      <c r="BJ227" s="17">
        <v>4593</v>
      </c>
      <c r="BK227" s="17">
        <v>4892</v>
      </c>
      <c r="BL227" s="17">
        <v>5211</v>
      </c>
      <c r="BM227" s="17">
        <v>5521</v>
      </c>
      <c r="BN227" s="17">
        <v>5810</v>
      </c>
      <c r="BO227" s="17">
        <v>6110</v>
      </c>
      <c r="BP227" s="17">
        <v>6400</v>
      </c>
      <c r="BQ227" s="17">
        <v>6738</v>
      </c>
      <c r="BR227" s="17">
        <v>7065</v>
      </c>
      <c r="BS227" s="17">
        <v>7351</v>
      </c>
      <c r="BT227" s="17">
        <v>7635</v>
      </c>
      <c r="BU227" s="17">
        <v>7872</v>
      </c>
      <c r="BV227" s="17">
        <v>8063</v>
      </c>
      <c r="BW227" s="17">
        <v>8225</v>
      </c>
      <c r="BX227" s="17">
        <v>8395</v>
      </c>
      <c r="BY227" s="17">
        <v>8512</v>
      </c>
      <c r="BZ227" s="17">
        <v>8582</v>
      </c>
      <c r="CA227" s="17">
        <v>8626</v>
      </c>
      <c r="CB227" s="17">
        <v>8663</v>
      </c>
      <c r="CC227" s="17">
        <v>8699</v>
      </c>
      <c r="CD227" s="17">
        <v>8725</v>
      </c>
      <c r="CE227" s="17">
        <v>8743</v>
      </c>
      <c r="CF227" s="17">
        <v>8752</v>
      </c>
      <c r="CG227" s="17">
        <v>8757</v>
      </c>
      <c r="CH227" s="17">
        <v>8760</v>
      </c>
      <c r="CI227" s="17">
        <v>8760</v>
      </c>
      <c r="CJ227" s="17">
        <v>8760</v>
      </c>
      <c r="CK227" s="17">
        <v>8760</v>
      </c>
      <c r="CL227" s="17">
        <v>8760</v>
      </c>
      <c r="CM227" s="17">
        <v>8760</v>
      </c>
      <c r="CN227" s="17">
        <v>8760</v>
      </c>
      <c r="CO227" s="17">
        <v>8760</v>
      </c>
      <c r="CP227" s="17">
        <v>8760</v>
      </c>
      <c r="CQ227" s="17">
        <v>8760</v>
      </c>
      <c r="CR227" s="17">
        <v>8760</v>
      </c>
      <c r="CS227" s="17">
        <v>8760</v>
      </c>
      <c r="CT227" s="17">
        <v>8760</v>
      </c>
      <c r="CU227" s="17">
        <v>8760</v>
      </c>
      <c r="CV227" s="17">
        <v>8760</v>
      </c>
      <c r="CW227" s="17">
        <v>8760</v>
      </c>
      <c r="CX227" s="17">
        <v>8760</v>
      </c>
      <c r="CY227" s="17">
        <v>8760</v>
      </c>
      <c r="CZ227" s="17">
        <v>8760</v>
      </c>
      <c r="DA227" s="17">
        <v>8760</v>
      </c>
      <c r="DB227" s="17">
        <v>8760</v>
      </c>
    </row>
    <row r="228" spans="1:106" s="17" customFormat="1" x14ac:dyDescent="0.25">
      <c r="A228" s="22" t="s">
        <v>245</v>
      </c>
      <c r="B228" s="17" t="s">
        <v>238</v>
      </c>
      <c r="C228" s="17" t="s">
        <v>438</v>
      </c>
      <c r="D228" s="17" t="s">
        <v>812</v>
      </c>
      <c r="E228" s="17" t="s">
        <v>813</v>
      </c>
      <c r="F228" s="17">
        <v>102643</v>
      </c>
      <c r="G228" s="17">
        <v>0</v>
      </c>
      <c r="H228" s="17">
        <v>0</v>
      </c>
      <c r="I228" s="17">
        <v>0</v>
      </c>
      <c r="J228" s="17">
        <v>0</v>
      </c>
      <c r="K228" s="17">
        <v>0</v>
      </c>
      <c r="L228" s="17">
        <v>0</v>
      </c>
      <c r="M228" s="17">
        <v>0</v>
      </c>
      <c r="N228" s="17">
        <v>0</v>
      </c>
      <c r="O228" s="17">
        <v>0</v>
      </c>
      <c r="P228" s="17">
        <v>0</v>
      </c>
      <c r="Q228" s="17">
        <v>0</v>
      </c>
      <c r="R228" s="17">
        <v>0</v>
      </c>
      <c r="S228" s="17">
        <v>0</v>
      </c>
      <c r="T228" s="17">
        <v>0</v>
      </c>
      <c r="U228" s="17">
        <v>0</v>
      </c>
      <c r="V228" s="17">
        <v>0</v>
      </c>
      <c r="W228" s="17">
        <v>0</v>
      </c>
      <c r="X228" s="17">
        <v>0</v>
      </c>
      <c r="Y228" s="17">
        <v>0</v>
      </c>
      <c r="Z228" s="17">
        <v>0</v>
      </c>
      <c r="AA228" s="17">
        <v>0</v>
      </c>
      <c r="AB228" s="17">
        <v>0</v>
      </c>
      <c r="AC228" s="17">
        <v>0</v>
      </c>
      <c r="AD228" s="17">
        <v>0</v>
      </c>
      <c r="AE228" s="17">
        <v>0</v>
      </c>
      <c r="AF228" s="17">
        <v>0</v>
      </c>
      <c r="AG228" s="17">
        <v>0</v>
      </c>
      <c r="AH228" s="17">
        <v>0</v>
      </c>
      <c r="AI228" s="17">
        <v>0</v>
      </c>
      <c r="AJ228" s="17">
        <v>0</v>
      </c>
      <c r="AK228" s="17">
        <v>0</v>
      </c>
      <c r="AL228" s="17">
        <v>0</v>
      </c>
      <c r="AM228" s="17">
        <v>0</v>
      </c>
      <c r="AN228" s="17">
        <v>0</v>
      </c>
      <c r="AO228" s="17">
        <v>1</v>
      </c>
      <c r="AP228" s="17">
        <v>2</v>
      </c>
      <c r="AQ228" s="17">
        <v>5</v>
      </c>
      <c r="AR228" s="17">
        <v>15</v>
      </c>
      <c r="AS228" s="17">
        <v>36</v>
      </c>
      <c r="AT228" s="17">
        <v>72</v>
      </c>
      <c r="AU228" s="17">
        <v>109</v>
      </c>
      <c r="AV228" s="17">
        <v>168</v>
      </c>
      <c r="AW228" s="17">
        <v>234</v>
      </c>
      <c r="AX228" s="17">
        <v>341</v>
      </c>
      <c r="AY228" s="17">
        <v>505</v>
      </c>
      <c r="AZ228" s="17">
        <v>674</v>
      </c>
      <c r="BA228" s="17">
        <v>838</v>
      </c>
      <c r="BB228" s="17">
        <v>1042</v>
      </c>
      <c r="BC228" s="17">
        <v>1313</v>
      </c>
      <c r="BD228" s="17">
        <v>1616</v>
      </c>
      <c r="BE228" s="17">
        <v>2033</v>
      </c>
      <c r="BF228" s="17">
        <v>2466</v>
      </c>
      <c r="BG228" s="17">
        <v>2926</v>
      </c>
      <c r="BH228" s="17">
        <v>3302</v>
      </c>
      <c r="BI228" s="17">
        <v>3770</v>
      </c>
      <c r="BJ228" s="17">
        <v>4234</v>
      </c>
      <c r="BK228" s="17">
        <v>4608</v>
      </c>
      <c r="BL228" s="17">
        <v>4913</v>
      </c>
      <c r="BM228" s="17">
        <v>5166</v>
      </c>
      <c r="BN228" s="17">
        <v>5459</v>
      </c>
      <c r="BO228" s="17">
        <v>5766</v>
      </c>
      <c r="BP228" s="17">
        <v>6142</v>
      </c>
      <c r="BQ228" s="17">
        <v>6467</v>
      </c>
      <c r="BR228" s="17">
        <v>6810</v>
      </c>
      <c r="BS228" s="17">
        <v>7150</v>
      </c>
      <c r="BT228" s="17">
        <v>7467</v>
      </c>
      <c r="BU228" s="17">
        <v>7746</v>
      </c>
      <c r="BV228" s="17">
        <v>7979</v>
      </c>
      <c r="BW228" s="17">
        <v>8148</v>
      </c>
      <c r="BX228" s="17">
        <v>8303</v>
      </c>
      <c r="BY228" s="17">
        <v>8407</v>
      </c>
      <c r="BZ228" s="17">
        <v>8501</v>
      </c>
      <c r="CA228" s="17">
        <v>8569</v>
      </c>
      <c r="CB228" s="17">
        <v>8619</v>
      </c>
      <c r="CC228" s="17">
        <v>8659</v>
      </c>
      <c r="CD228" s="17">
        <v>8685</v>
      </c>
      <c r="CE228" s="17">
        <v>8713</v>
      </c>
      <c r="CF228" s="17">
        <v>8731</v>
      </c>
      <c r="CG228" s="17">
        <v>8752</v>
      </c>
      <c r="CH228" s="17">
        <v>8760</v>
      </c>
      <c r="CI228" s="17">
        <v>8760</v>
      </c>
      <c r="CJ228" s="17">
        <v>8760</v>
      </c>
      <c r="CK228" s="17">
        <v>8760</v>
      </c>
      <c r="CL228" s="17">
        <v>8760</v>
      </c>
      <c r="CM228" s="17">
        <v>8760</v>
      </c>
      <c r="CN228" s="17">
        <v>8760</v>
      </c>
      <c r="CO228" s="17">
        <v>8760</v>
      </c>
      <c r="CP228" s="17">
        <v>8760</v>
      </c>
      <c r="CQ228" s="17">
        <v>8760</v>
      </c>
      <c r="CR228" s="17">
        <v>8760</v>
      </c>
      <c r="CS228" s="17">
        <v>8760</v>
      </c>
      <c r="CT228" s="17">
        <v>8760</v>
      </c>
      <c r="CU228" s="17">
        <v>8760</v>
      </c>
      <c r="CV228" s="17">
        <v>8760</v>
      </c>
      <c r="CW228" s="17">
        <v>8760</v>
      </c>
      <c r="CX228" s="17">
        <v>8760</v>
      </c>
      <c r="CY228" s="17">
        <v>8760</v>
      </c>
      <c r="CZ228" s="17">
        <v>8760</v>
      </c>
      <c r="DA228" s="17">
        <v>8760</v>
      </c>
      <c r="DB228" s="17">
        <v>8760</v>
      </c>
    </row>
    <row r="229" spans="1:106" s="17" customFormat="1" x14ac:dyDescent="0.25">
      <c r="A229" s="22" t="s">
        <v>246</v>
      </c>
      <c r="B229" s="17" t="s">
        <v>240</v>
      </c>
      <c r="C229" s="17" t="s">
        <v>438</v>
      </c>
      <c r="D229" s="17" t="s">
        <v>814</v>
      </c>
      <c r="E229" s="17" t="s">
        <v>815</v>
      </c>
      <c r="F229" s="17">
        <v>102710</v>
      </c>
      <c r="G229" s="17">
        <v>0</v>
      </c>
      <c r="H229" s="17">
        <v>0</v>
      </c>
      <c r="I229" s="17">
        <v>0</v>
      </c>
      <c r="J229" s="17">
        <v>0</v>
      </c>
      <c r="K229" s="17">
        <v>0</v>
      </c>
      <c r="L229" s="17">
        <v>0</v>
      </c>
      <c r="M229" s="17">
        <v>0</v>
      </c>
      <c r="N229" s="17">
        <v>0</v>
      </c>
      <c r="O229" s="17">
        <v>0</v>
      </c>
      <c r="P229" s="17">
        <v>0</v>
      </c>
      <c r="Q229" s="17">
        <v>0</v>
      </c>
      <c r="R229" s="17">
        <v>0</v>
      </c>
      <c r="S229" s="17">
        <v>0</v>
      </c>
      <c r="T229" s="17">
        <v>0</v>
      </c>
      <c r="U229" s="17">
        <v>0</v>
      </c>
      <c r="V229" s="17">
        <v>0</v>
      </c>
      <c r="W229" s="17">
        <v>0</v>
      </c>
      <c r="X229" s="17">
        <v>0</v>
      </c>
      <c r="Y229" s="17">
        <v>0</v>
      </c>
      <c r="Z229" s="17">
        <v>0</v>
      </c>
      <c r="AA229" s="17">
        <v>0</v>
      </c>
      <c r="AB229" s="17">
        <v>0</v>
      </c>
      <c r="AC229" s="17">
        <v>0</v>
      </c>
      <c r="AD229" s="17">
        <v>0</v>
      </c>
      <c r="AE229" s="17">
        <v>0</v>
      </c>
      <c r="AF229" s="17">
        <v>0</v>
      </c>
      <c r="AG229" s="17">
        <v>0</v>
      </c>
      <c r="AH229" s="17">
        <v>0</v>
      </c>
      <c r="AI229" s="17">
        <v>0</v>
      </c>
      <c r="AJ229" s="17">
        <v>0</v>
      </c>
      <c r="AK229" s="17">
        <v>0</v>
      </c>
      <c r="AL229" s="17">
        <v>0</v>
      </c>
      <c r="AM229" s="17">
        <v>4</v>
      </c>
      <c r="AN229" s="17">
        <v>12</v>
      </c>
      <c r="AO229" s="17">
        <v>24</v>
      </c>
      <c r="AP229" s="17">
        <v>38</v>
      </c>
      <c r="AQ229" s="17">
        <v>65</v>
      </c>
      <c r="AR229" s="17">
        <v>101</v>
      </c>
      <c r="AS229" s="17">
        <v>139</v>
      </c>
      <c r="AT229" s="17">
        <v>183</v>
      </c>
      <c r="AU229" s="17">
        <v>267</v>
      </c>
      <c r="AV229" s="17">
        <v>349</v>
      </c>
      <c r="AW229" s="17">
        <v>440</v>
      </c>
      <c r="AX229" s="17">
        <v>540</v>
      </c>
      <c r="AY229" s="17">
        <v>682</v>
      </c>
      <c r="AZ229" s="17">
        <v>874</v>
      </c>
      <c r="BA229" s="17">
        <v>1120</v>
      </c>
      <c r="BB229" s="17">
        <v>1422</v>
      </c>
      <c r="BC229" s="17">
        <v>1844</v>
      </c>
      <c r="BD229" s="17">
        <v>2254</v>
      </c>
      <c r="BE229" s="17">
        <v>2799</v>
      </c>
      <c r="BF229" s="17">
        <v>3247</v>
      </c>
      <c r="BG229" s="17">
        <v>3669</v>
      </c>
      <c r="BH229" s="17">
        <v>4042</v>
      </c>
      <c r="BI229" s="17">
        <v>4415</v>
      </c>
      <c r="BJ229" s="17">
        <v>4744</v>
      </c>
      <c r="BK229" s="17">
        <v>5048</v>
      </c>
      <c r="BL229" s="17">
        <v>5377</v>
      </c>
      <c r="BM229" s="17">
        <v>5718</v>
      </c>
      <c r="BN229" s="17">
        <v>6007</v>
      </c>
      <c r="BO229" s="17">
        <v>6293</v>
      </c>
      <c r="BP229" s="17">
        <v>6577</v>
      </c>
      <c r="BQ229" s="17">
        <v>6872</v>
      </c>
      <c r="BR229" s="17">
        <v>7163</v>
      </c>
      <c r="BS229" s="17">
        <v>7427</v>
      </c>
      <c r="BT229" s="17">
        <v>7710</v>
      </c>
      <c r="BU229" s="17">
        <v>7919</v>
      </c>
      <c r="BV229" s="17">
        <v>8096</v>
      </c>
      <c r="BW229" s="17">
        <v>8278</v>
      </c>
      <c r="BX229" s="17">
        <v>8434</v>
      </c>
      <c r="BY229" s="17">
        <v>8550</v>
      </c>
      <c r="BZ229" s="17">
        <v>8625</v>
      </c>
      <c r="CA229" s="17">
        <v>8670</v>
      </c>
      <c r="CB229" s="17">
        <v>8707</v>
      </c>
      <c r="CC229" s="17">
        <v>8725</v>
      </c>
      <c r="CD229" s="17">
        <v>8748</v>
      </c>
      <c r="CE229" s="17">
        <v>8757</v>
      </c>
      <c r="CF229" s="17">
        <v>8760</v>
      </c>
      <c r="CG229" s="17">
        <v>8760</v>
      </c>
      <c r="CH229" s="17">
        <v>8760</v>
      </c>
      <c r="CI229" s="17">
        <v>8760</v>
      </c>
      <c r="CJ229" s="17">
        <v>8760</v>
      </c>
      <c r="CK229" s="17">
        <v>8760</v>
      </c>
      <c r="CL229" s="17">
        <v>8760</v>
      </c>
      <c r="CM229" s="17">
        <v>8760</v>
      </c>
      <c r="CN229" s="17">
        <v>8760</v>
      </c>
      <c r="CO229" s="17">
        <v>8760</v>
      </c>
      <c r="CP229" s="17">
        <v>8760</v>
      </c>
      <c r="CQ229" s="17">
        <v>8760</v>
      </c>
      <c r="CR229" s="17">
        <v>8760</v>
      </c>
      <c r="CS229" s="17">
        <v>8760</v>
      </c>
      <c r="CT229" s="17">
        <v>8760</v>
      </c>
      <c r="CU229" s="17">
        <v>8760</v>
      </c>
      <c r="CV229" s="17">
        <v>8760</v>
      </c>
      <c r="CW229" s="17">
        <v>8760</v>
      </c>
      <c r="CX229" s="17">
        <v>8760</v>
      </c>
      <c r="CY229" s="17">
        <v>8760</v>
      </c>
      <c r="CZ229" s="17">
        <v>8760</v>
      </c>
      <c r="DA229" s="17">
        <v>8760</v>
      </c>
      <c r="DB229" s="17">
        <v>8760</v>
      </c>
    </row>
    <row r="230" spans="1:106" s="17" customFormat="1" x14ac:dyDescent="0.25">
      <c r="A230" s="22" t="s">
        <v>247</v>
      </c>
      <c r="B230" s="17" t="s">
        <v>245</v>
      </c>
      <c r="C230" s="17" t="s">
        <v>438</v>
      </c>
      <c r="D230" s="17" t="s">
        <v>816</v>
      </c>
      <c r="E230" s="17" t="s">
        <v>817</v>
      </c>
      <c r="F230" s="17">
        <v>102642</v>
      </c>
      <c r="G230" s="17">
        <v>0</v>
      </c>
      <c r="H230" s="17">
        <v>0</v>
      </c>
      <c r="I230" s="17">
        <v>0</v>
      </c>
      <c r="J230" s="17">
        <v>0</v>
      </c>
      <c r="K230" s="17">
        <v>0</v>
      </c>
      <c r="L230" s="17">
        <v>0</v>
      </c>
      <c r="M230" s="17">
        <v>0</v>
      </c>
      <c r="N230" s="17">
        <v>0</v>
      </c>
      <c r="O230" s="17">
        <v>0</v>
      </c>
      <c r="P230" s="17">
        <v>0</v>
      </c>
      <c r="Q230" s="17">
        <v>0</v>
      </c>
      <c r="R230" s="17">
        <v>0</v>
      </c>
      <c r="S230" s="17">
        <v>0</v>
      </c>
      <c r="T230" s="17">
        <v>0</v>
      </c>
      <c r="U230" s="17">
        <v>0</v>
      </c>
      <c r="V230" s="17">
        <v>0</v>
      </c>
      <c r="W230" s="17">
        <v>0</v>
      </c>
      <c r="X230" s="17">
        <v>0</v>
      </c>
      <c r="Y230" s="17">
        <v>0</v>
      </c>
      <c r="Z230" s="17">
        <v>0</v>
      </c>
      <c r="AA230" s="17">
        <v>0</v>
      </c>
      <c r="AB230" s="17">
        <v>0</v>
      </c>
      <c r="AC230" s="17">
        <v>0</v>
      </c>
      <c r="AD230" s="17">
        <v>0</v>
      </c>
      <c r="AE230" s="17">
        <v>0</v>
      </c>
      <c r="AF230" s="17">
        <v>0</v>
      </c>
      <c r="AG230" s="17">
        <v>0</v>
      </c>
      <c r="AH230" s="17">
        <v>0</v>
      </c>
      <c r="AI230" s="17">
        <v>0</v>
      </c>
      <c r="AJ230" s="17">
        <v>0</v>
      </c>
      <c r="AK230" s="17">
        <v>0</v>
      </c>
      <c r="AL230" s="17">
        <v>0</v>
      </c>
      <c r="AM230" s="17">
        <v>0</v>
      </c>
      <c r="AN230" s="17">
        <v>3</v>
      </c>
      <c r="AO230" s="17">
        <v>8</v>
      </c>
      <c r="AP230" s="17">
        <v>24</v>
      </c>
      <c r="AQ230" s="17">
        <v>51</v>
      </c>
      <c r="AR230" s="17">
        <v>74</v>
      </c>
      <c r="AS230" s="17">
        <v>105</v>
      </c>
      <c r="AT230" s="17">
        <v>141</v>
      </c>
      <c r="AU230" s="17">
        <v>186</v>
      </c>
      <c r="AV230" s="17">
        <v>227</v>
      </c>
      <c r="AW230" s="17">
        <v>311</v>
      </c>
      <c r="AX230" s="17">
        <v>418</v>
      </c>
      <c r="AY230" s="17">
        <v>536</v>
      </c>
      <c r="AZ230" s="17">
        <v>695</v>
      </c>
      <c r="BA230" s="17">
        <v>939</v>
      </c>
      <c r="BB230" s="17">
        <v>1172</v>
      </c>
      <c r="BC230" s="17">
        <v>1459</v>
      </c>
      <c r="BD230" s="17">
        <v>1859</v>
      </c>
      <c r="BE230" s="17">
        <v>2395</v>
      </c>
      <c r="BF230" s="17">
        <v>2799</v>
      </c>
      <c r="BG230" s="17">
        <v>3137</v>
      </c>
      <c r="BH230" s="17">
        <v>3459</v>
      </c>
      <c r="BI230" s="17">
        <v>3824</v>
      </c>
      <c r="BJ230" s="17">
        <v>4216</v>
      </c>
      <c r="BK230" s="17">
        <v>4597</v>
      </c>
      <c r="BL230" s="17">
        <v>4946</v>
      </c>
      <c r="BM230" s="17">
        <v>5271</v>
      </c>
      <c r="BN230" s="17">
        <v>5595</v>
      </c>
      <c r="BO230" s="17">
        <v>5886</v>
      </c>
      <c r="BP230" s="17">
        <v>6232</v>
      </c>
      <c r="BQ230" s="17">
        <v>6565</v>
      </c>
      <c r="BR230" s="17">
        <v>6925</v>
      </c>
      <c r="BS230" s="17">
        <v>7238</v>
      </c>
      <c r="BT230" s="17">
        <v>7538</v>
      </c>
      <c r="BU230" s="17">
        <v>7837</v>
      </c>
      <c r="BV230" s="17">
        <v>8054</v>
      </c>
      <c r="BW230" s="17">
        <v>8226</v>
      </c>
      <c r="BX230" s="17">
        <v>8366</v>
      </c>
      <c r="BY230" s="17">
        <v>8495</v>
      </c>
      <c r="BZ230" s="17">
        <v>8583</v>
      </c>
      <c r="CA230" s="17">
        <v>8623</v>
      </c>
      <c r="CB230" s="17">
        <v>8668</v>
      </c>
      <c r="CC230" s="17">
        <v>8691</v>
      </c>
      <c r="CD230" s="17">
        <v>8713</v>
      </c>
      <c r="CE230" s="17">
        <v>8726</v>
      </c>
      <c r="CF230" s="17">
        <v>8741</v>
      </c>
      <c r="CG230" s="17">
        <v>8750</v>
      </c>
      <c r="CH230" s="17">
        <v>8758</v>
      </c>
      <c r="CI230" s="17">
        <v>8760</v>
      </c>
      <c r="CJ230" s="17">
        <v>8760</v>
      </c>
      <c r="CK230" s="17">
        <v>8760</v>
      </c>
      <c r="CL230" s="17">
        <v>8760</v>
      </c>
      <c r="CM230" s="17">
        <v>8760</v>
      </c>
      <c r="CN230" s="17">
        <v>8760</v>
      </c>
      <c r="CO230" s="17">
        <v>8760</v>
      </c>
      <c r="CP230" s="17">
        <v>8760</v>
      </c>
      <c r="CQ230" s="17">
        <v>8760</v>
      </c>
      <c r="CR230" s="17">
        <v>8760</v>
      </c>
      <c r="CS230" s="17">
        <v>8760</v>
      </c>
      <c r="CT230" s="17">
        <v>8760</v>
      </c>
      <c r="CU230" s="17">
        <v>8760</v>
      </c>
      <c r="CV230" s="17">
        <v>8760</v>
      </c>
      <c r="CW230" s="17">
        <v>8760</v>
      </c>
      <c r="CX230" s="17">
        <v>8760</v>
      </c>
      <c r="CY230" s="17">
        <v>8760</v>
      </c>
      <c r="CZ230" s="17">
        <v>8760</v>
      </c>
      <c r="DA230" s="17">
        <v>8760</v>
      </c>
      <c r="DB230" s="17">
        <v>8760</v>
      </c>
    </row>
    <row r="231" spans="1:106" s="17" customFormat="1" x14ac:dyDescent="0.25">
      <c r="A231" s="22" t="s">
        <v>248</v>
      </c>
      <c r="B231" s="17" t="s">
        <v>246</v>
      </c>
      <c r="C231" s="17" t="s">
        <v>438</v>
      </c>
      <c r="D231" s="17" t="s">
        <v>818</v>
      </c>
      <c r="E231" s="17" t="s">
        <v>819</v>
      </c>
      <c r="F231" s="17">
        <v>102103</v>
      </c>
      <c r="G231" s="17">
        <v>0</v>
      </c>
      <c r="H231" s="17">
        <v>0</v>
      </c>
      <c r="I231" s="17">
        <v>0</v>
      </c>
      <c r="J231" s="17">
        <v>0</v>
      </c>
      <c r="K231" s="17">
        <v>0</v>
      </c>
      <c r="L231" s="17">
        <v>0</v>
      </c>
      <c r="M231" s="17">
        <v>0</v>
      </c>
      <c r="N231" s="17">
        <v>0</v>
      </c>
      <c r="O231" s="17">
        <v>0</v>
      </c>
      <c r="P231" s="17">
        <v>0</v>
      </c>
      <c r="Q231" s="17">
        <v>0</v>
      </c>
      <c r="R231" s="17">
        <v>0</v>
      </c>
      <c r="S231" s="17">
        <v>0</v>
      </c>
      <c r="T231" s="17">
        <v>0</v>
      </c>
      <c r="U231" s="17">
        <v>0</v>
      </c>
      <c r="V231" s="17">
        <v>0</v>
      </c>
      <c r="W231" s="17">
        <v>0</v>
      </c>
      <c r="X231" s="17">
        <v>0</v>
      </c>
      <c r="Y231" s="17">
        <v>0</v>
      </c>
      <c r="Z231" s="17">
        <v>0</v>
      </c>
      <c r="AA231" s="17">
        <v>0</v>
      </c>
      <c r="AB231" s="17">
        <v>0</v>
      </c>
      <c r="AC231" s="17">
        <v>0</v>
      </c>
      <c r="AD231" s="17">
        <v>0</v>
      </c>
      <c r="AE231" s="17">
        <v>0</v>
      </c>
      <c r="AF231" s="17">
        <v>0</v>
      </c>
      <c r="AG231" s="17">
        <v>0</v>
      </c>
      <c r="AH231" s="17">
        <v>0</v>
      </c>
      <c r="AI231" s="17">
        <v>0</v>
      </c>
      <c r="AJ231" s="17">
        <v>0</v>
      </c>
      <c r="AK231" s="17">
        <v>0</v>
      </c>
      <c r="AL231" s="17">
        <v>0</v>
      </c>
      <c r="AM231" s="17">
        <v>0</v>
      </c>
      <c r="AN231" s="17">
        <v>0</v>
      </c>
      <c r="AO231" s="17">
        <v>0</v>
      </c>
      <c r="AP231" s="17">
        <v>0</v>
      </c>
      <c r="AQ231" s="17">
        <v>0</v>
      </c>
      <c r="AR231" s="17">
        <v>0</v>
      </c>
      <c r="AS231" s="17">
        <v>0</v>
      </c>
      <c r="AT231" s="17">
        <v>0</v>
      </c>
      <c r="AU231" s="17">
        <v>6</v>
      </c>
      <c r="AV231" s="17">
        <v>12</v>
      </c>
      <c r="AW231" s="17">
        <v>18</v>
      </c>
      <c r="AX231" s="17">
        <v>42</v>
      </c>
      <c r="AY231" s="17">
        <v>100</v>
      </c>
      <c r="AZ231" s="17">
        <v>175</v>
      </c>
      <c r="BA231" s="17">
        <v>275</v>
      </c>
      <c r="BB231" s="17">
        <v>482</v>
      </c>
      <c r="BC231" s="17">
        <v>780</v>
      </c>
      <c r="BD231" s="17">
        <v>1106</v>
      </c>
      <c r="BE231" s="17">
        <v>1484</v>
      </c>
      <c r="BF231" s="17">
        <v>1921</v>
      </c>
      <c r="BG231" s="17">
        <v>2406</v>
      </c>
      <c r="BH231" s="17">
        <v>2871</v>
      </c>
      <c r="BI231" s="17">
        <v>3379</v>
      </c>
      <c r="BJ231" s="17">
        <v>3808</v>
      </c>
      <c r="BK231" s="17">
        <v>4173</v>
      </c>
      <c r="BL231" s="17">
        <v>4503</v>
      </c>
      <c r="BM231" s="17">
        <v>4918</v>
      </c>
      <c r="BN231" s="17">
        <v>5277</v>
      </c>
      <c r="BO231" s="17">
        <v>5635</v>
      </c>
      <c r="BP231" s="17">
        <v>6024</v>
      </c>
      <c r="BQ231" s="17">
        <v>6445</v>
      </c>
      <c r="BR231" s="17">
        <v>6815</v>
      </c>
      <c r="BS231" s="17">
        <v>7172</v>
      </c>
      <c r="BT231" s="17">
        <v>7514</v>
      </c>
      <c r="BU231" s="17">
        <v>7849</v>
      </c>
      <c r="BV231" s="17">
        <v>8129</v>
      </c>
      <c r="BW231" s="17">
        <v>8367</v>
      </c>
      <c r="BX231" s="17">
        <v>8539</v>
      </c>
      <c r="BY231" s="17">
        <v>8634</v>
      </c>
      <c r="BZ231" s="17">
        <v>8683</v>
      </c>
      <c r="CA231" s="17">
        <v>8731</v>
      </c>
      <c r="CB231" s="17">
        <v>8757</v>
      </c>
      <c r="CC231" s="17">
        <v>8760</v>
      </c>
      <c r="CD231" s="17">
        <v>8760</v>
      </c>
      <c r="CE231" s="17">
        <v>8760</v>
      </c>
      <c r="CF231" s="17">
        <v>8760</v>
      </c>
      <c r="CG231" s="17">
        <v>8760</v>
      </c>
      <c r="CH231" s="17">
        <v>8760</v>
      </c>
      <c r="CI231" s="17">
        <v>8760</v>
      </c>
      <c r="CJ231" s="17">
        <v>8760</v>
      </c>
      <c r="CK231" s="17">
        <v>8760</v>
      </c>
      <c r="CL231" s="17">
        <v>8760</v>
      </c>
      <c r="CM231" s="17">
        <v>8760</v>
      </c>
      <c r="CN231" s="17">
        <v>8760</v>
      </c>
      <c r="CO231" s="17">
        <v>8760</v>
      </c>
      <c r="CP231" s="17">
        <v>8760</v>
      </c>
      <c r="CQ231" s="17">
        <v>8760</v>
      </c>
      <c r="CR231" s="17">
        <v>8760</v>
      </c>
      <c r="CS231" s="17">
        <v>8760</v>
      </c>
      <c r="CT231" s="17">
        <v>8760</v>
      </c>
      <c r="CU231" s="17">
        <v>8760</v>
      </c>
      <c r="CV231" s="17">
        <v>8760</v>
      </c>
      <c r="CW231" s="17">
        <v>8760</v>
      </c>
      <c r="CX231" s="17">
        <v>8760</v>
      </c>
      <c r="CY231" s="17">
        <v>8760</v>
      </c>
      <c r="CZ231" s="17">
        <v>8760</v>
      </c>
      <c r="DA231" s="17">
        <v>8760</v>
      </c>
      <c r="DB231" s="17">
        <v>8760</v>
      </c>
    </row>
    <row r="232" spans="1:106" s="17" customFormat="1" x14ac:dyDescent="0.25">
      <c r="A232" s="22" t="s">
        <v>249</v>
      </c>
      <c r="B232" s="17" t="s">
        <v>247</v>
      </c>
      <c r="C232" s="17" t="s">
        <v>438</v>
      </c>
      <c r="D232" s="17" t="s">
        <v>820</v>
      </c>
      <c r="E232" s="17" t="s">
        <v>821</v>
      </c>
      <c r="F232" s="17">
        <v>102104</v>
      </c>
      <c r="G232" s="17">
        <v>0</v>
      </c>
      <c r="H232" s="17">
        <v>0</v>
      </c>
      <c r="I232" s="17">
        <v>0</v>
      </c>
      <c r="J232" s="17">
        <v>0</v>
      </c>
      <c r="K232" s="17">
        <v>0</v>
      </c>
      <c r="L232" s="17">
        <v>0</v>
      </c>
      <c r="M232" s="17">
        <v>0</v>
      </c>
      <c r="N232" s="17">
        <v>0</v>
      </c>
      <c r="O232" s="17">
        <v>0</v>
      </c>
      <c r="P232" s="17">
        <v>0</v>
      </c>
      <c r="Q232" s="17">
        <v>0</v>
      </c>
      <c r="R232" s="17">
        <v>0</v>
      </c>
      <c r="S232" s="17">
        <v>0</v>
      </c>
      <c r="T232" s="17">
        <v>0</v>
      </c>
      <c r="U232" s="17">
        <v>0</v>
      </c>
      <c r="V232" s="17">
        <v>0</v>
      </c>
      <c r="W232" s="17">
        <v>0</v>
      </c>
      <c r="X232" s="17">
        <v>0</v>
      </c>
      <c r="Y232" s="17">
        <v>0</v>
      </c>
      <c r="Z232" s="17">
        <v>0</v>
      </c>
      <c r="AA232" s="17">
        <v>0</v>
      </c>
      <c r="AB232" s="17">
        <v>0</v>
      </c>
      <c r="AC232" s="17">
        <v>0</v>
      </c>
      <c r="AD232" s="17">
        <v>0</v>
      </c>
      <c r="AE232" s="17">
        <v>0</v>
      </c>
      <c r="AF232" s="17">
        <v>0</v>
      </c>
      <c r="AG232" s="17">
        <v>0</v>
      </c>
      <c r="AH232" s="17">
        <v>0</v>
      </c>
      <c r="AI232" s="17">
        <v>0</v>
      </c>
      <c r="AJ232" s="17">
        <v>0</v>
      </c>
      <c r="AK232" s="17">
        <v>0</v>
      </c>
      <c r="AL232" s="17">
        <v>0</v>
      </c>
      <c r="AM232" s="17">
        <v>0</v>
      </c>
      <c r="AN232" s="17">
        <v>0</v>
      </c>
      <c r="AO232" s="17">
        <v>0</v>
      </c>
      <c r="AP232" s="17">
        <v>0</v>
      </c>
      <c r="AQ232" s="17">
        <v>0</v>
      </c>
      <c r="AR232" s="17">
        <v>8</v>
      </c>
      <c r="AS232" s="17">
        <v>15</v>
      </c>
      <c r="AT232" s="17">
        <v>20</v>
      </c>
      <c r="AU232" s="17">
        <v>28</v>
      </c>
      <c r="AV232" s="17">
        <v>44</v>
      </c>
      <c r="AW232" s="17">
        <v>66</v>
      </c>
      <c r="AX232" s="17">
        <v>115</v>
      </c>
      <c r="AY232" s="17">
        <v>184</v>
      </c>
      <c r="AZ232" s="17">
        <v>269</v>
      </c>
      <c r="BA232" s="17">
        <v>392</v>
      </c>
      <c r="BB232" s="17">
        <v>539</v>
      </c>
      <c r="BC232" s="17">
        <v>803</v>
      </c>
      <c r="BD232" s="17">
        <v>1076</v>
      </c>
      <c r="BE232" s="17">
        <v>1400</v>
      </c>
      <c r="BF232" s="17">
        <v>1833</v>
      </c>
      <c r="BG232" s="17">
        <v>2244</v>
      </c>
      <c r="BH232" s="17">
        <v>2731</v>
      </c>
      <c r="BI232" s="17">
        <v>3181</v>
      </c>
      <c r="BJ232" s="17">
        <v>3666</v>
      </c>
      <c r="BK232" s="17">
        <v>4019</v>
      </c>
      <c r="BL232" s="17">
        <v>4368</v>
      </c>
      <c r="BM232" s="17">
        <v>4706</v>
      </c>
      <c r="BN232" s="17">
        <v>5053</v>
      </c>
      <c r="BO232" s="17">
        <v>5430</v>
      </c>
      <c r="BP232" s="17">
        <v>5883</v>
      </c>
      <c r="BQ232" s="17">
        <v>6281</v>
      </c>
      <c r="BR232" s="17">
        <v>6718</v>
      </c>
      <c r="BS232" s="17">
        <v>7123</v>
      </c>
      <c r="BT232" s="17">
        <v>7435</v>
      </c>
      <c r="BU232" s="17">
        <v>7725</v>
      </c>
      <c r="BV232" s="17">
        <v>8017</v>
      </c>
      <c r="BW232" s="17">
        <v>8251</v>
      </c>
      <c r="BX232" s="17">
        <v>8411</v>
      </c>
      <c r="BY232" s="17">
        <v>8533</v>
      </c>
      <c r="BZ232" s="17">
        <v>8628</v>
      </c>
      <c r="CA232" s="17">
        <v>8684</v>
      </c>
      <c r="CB232" s="17">
        <v>8735</v>
      </c>
      <c r="CC232" s="17">
        <v>8746</v>
      </c>
      <c r="CD232" s="17">
        <v>8756</v>
      </c>
      <c r="CE232" s="17">
        <v>8760</v>
      </c>
      <c r="CF232" s="17">
        <v>8760</v>
      </c>
      <c r="CG232" s="17">
        <v>8760</v>
      </c>
      <c r="CH232" s="17">
        <v>8760</v>
      </c>
      <c r="CI232" s="17">
        <v>8760</v>
      </c>
      <c r="CJ232" s="17">
        <v>8760</v>
      </c>
      <c r="CK232" s="17">
        <v>8760</v>
      </c>
      <c r="CL232" s="17">
        <v>8760</v>
      </c>
      <c r="CM232" s="17">
        <v>8760</v>
      </c>
      <c r="CN232" s="17">
        <v>8760</v>
      </c>
      <c r="CO232" s="17">
        <v>8760</v>
      </c>
      <c r="CP232" s="17">
        <v>8760</v>
      </c>
      <c r="CQ232" s="17">
        <v>8760</v>
      </c>
      <c r="CR232" s="17">
        <v>8760</v>
      </c>
      <c r="CS232" s="17">
        <v>8760</v>
      </c>
      <c r="CT232" s="17">
        <v>8760</v>
      </c>
      <c r="CU232" s="17">
        <v>8760</v>
      </c>
      <c r="CV232" s="17">
        <v>8760</v>
      </c>
      <c r="CW232" s="17">
        <v>8760</v>
      </c>
      <c r="CX232" s="17">
        <v>8760</v>
      </c>
      <c r="CY232" s="17">
        <v>8760</v>
      </c>
      <c r="CZ232" s="17">
        <v>8760</v>
      </c>
      <c r="DA232" s="17">
        <v>8760</v>
      </c>
      <c r="DB232" s="17">
        <v>8760</v>
      </c>
    </row>
    <row r="233" spans="1:106" s="17" customFormat="1" x14ac:dyDescent="0.25">
      <c r="A233" s="22" t="s">
        <v>250</v>
      </c>
      <c r="B233" s="17" t="s">
        <v>248</v>
      </c>
      <c r="C233" s="17" t="s">
        <v>438</v>
      </c>
      <c r="D233" s="17" t="s">
        <v>822</v>
      </c>
      <c r="E233" s="17" t="s">
        <v>823</v>
      </c>
      <c r="F233" s="17">
        <v>102214</v>
      </c>
      <c r="G233" s="17">
        <v>0</v>
      </c>
      <c r="H233" s="17">
        <v>0</v>
      </c>
      <c r="I233" s="17">
        <v>0</v>
      </c>
      <c r="J233" s="17">
        <v>0</v>
      </c>
      <c r="K233" s="17">
        <v>0</v>
      </c>
      <c r="L233" s="17">
        <v>0</v>
      </c>
      <c r="M233" s="17">
        <v>0</v>
      </c>
      <c r="N233" s="17">
        <v>0</v>
      </c>
      <c r="O233" s="17">
        <v>0</v>
      </c>
      <c r="P233" s="17">
        <v>0</v>
      </c>
      <c r="Q233" s="17">
        <v>0</v>
      </c>
      <c r="R233" s="17">
        <v>0</v>
      </c>
      <c r="S233" s="17">
        <v>0</v>
      </c>
      <c r="T233" s="17">
        <v>0</v>
      </c>
      <c r="U233" s="17">
        <v>0</v>
      </c>
      <c r="V233" s="17">
        <v>0</v>
      </c>
      <c r="W233" s="17">
        <v>0</v>
      </c>
      <c r="X233" s="17">
        <v>0</v>
      </c>
      <c r="Y233" s="17">
        <v>0</v>
      </c>
      <c r="Z233" s="17">
        <v>0</v>
      </c>
      <c r="AA233" s="17">
        <v>0</v>
      </c>
      <c r="AB233" s="17">
        <v>0</v>
      </c>
      <c r="AC233" s="17">
        <v>0</v>
      </c>
      <c r="AD233" s="17">
        <v>0</v>
      </c>
      <c r="AE233" s="17">
        <v>0</v>
      </c>
      <c r="AF233" s="17">
        <v>0</v>
      </c>
      <c r="AG233" s="17">
        <v>0</v>
      </c>
      <c r="AH233" s="17">
        <v>0</v>
      </c>
      <c r="AI233" s="17">
        <v>0</v>
      </c>
      <c r="AJ233" s="17">
        <v>0</v>
      </c>
      <c r="AK233" s="17">
        <v>0</v>
      </c>
      <c r="AL233" s="17">
        <v>0</v>
      </c>
      <c r="AM233" s="17">
        <v>0</v>
      </c>
      <c r="AN233" s="17">
        <v>0</v>
      </c>
      <c r="AO233" s="17">
        <v>0</v>
      </c>
      <c r="AP233" s="17">
        <v>9</v>
      </c>
      <c r="AQ233" s="17">
        <v>16</v>
      </c>
      <c r="AR233" s="17">
        <v>28</v>
      </c>
      <c r="AS233" s="17">
        <v>48</v>
      </c>
      <c r="AT233" s="17">
        <v>93</v>
      </c>
      <c r="AU233" s="17">
        <v>145</v>
      </c>
      <c r="AV233" s="17">
        <v>197</v>
      </c>
      <c r="AW233" s="17">
        <v>268</v>
      </c>
      <c r="AX233" s="17">
        <v>372</v>
      </c>
      <c r="AY233" s="17">
        <v>504</v>
      </c>
      <c r="AZ233" s="17">
        <v>672</v>
      </c>
      <c r="BA233" s="17">
        <v>884</v>
      </c>
      <c r="BB233" s="17">
        <v>1157</v>
      </c>
      <c r="BC233" s="17">
        <v>1455</v>
      </c>
      <c r="BD233" s="17">
        <v>1850</v>
      </c>
      <c r="BE233" s="17">
        <v>2370</v>
      </c>
      <c r="BF233" s="17">
        <v>2805</v>
      </c>
      <c r="BG233" s="17">
        <v>3148</v>
      </c>
      <c r="BH233" s="17">
        <v>3486</v>
      </c>
      <c r="BI233" s="17">
        <v>3824</v>
      </c>
      <c r="BJ233" s="17">
        <v>4158</v>
      </c>
      <c r="BK233" s="17">
        <v>4492</v>
      </c>
      <c r="BL233" s="17">
        <v>4832</v>
      </c>
      <c r="BM233" s="17">
        <v>5230</v>
      </c>
      <c r="BN233" s="17">
        <v>5610</v>
      </c>
      <c r="BO233" s="17">
        <v>5961</v>
      </c>
      <c r="BP233" s="17">
        <v>6350</v>
      </c>
      <c r="BQ233" s="17">
        <v>6750</v>
      </c>
      <c r="BR233" s="17">
        <v>7094</v>
      </c>
      <c r="BS233" s="17">
        <v>7406</v>
      </c>
      <c r="BT233" s="17">
        <v>7706</v>
      </c>
      <c r="BU233" s="17">
        <v>7948</v>
      </c>
      <c r="BV233" s="17">
        <v>8146</v>
      </c>
      <c r="BW233" s="17">
        <v>8319</v>
      </c>
      <c r="BX233" s="17">
        <v>8449</v>
      </c>
      <c r="BY233" s="17">
        <v>8544</v>
      </c>
      <c r="BZ233" s="17">
        <v>8600</v>
      </c>
      <c r="CA233" s="17">
        <v>8649</v>
      </c>
      <c r="CB233" s="17">
        <v>8688</v>
      </c>
      <c r="CC233" s="17">
        <v>8726</v>
      </c>
      <c r="CD233" s="17">
        <v>8739</v>
      </c>
      <c r="CE233" s="17">
        <v>8750</v>
      </c>
      <c r="CF233" s="17">
        <v>8760</v>
      </c>
      <c r="CG233" s="17">
        <v>8760</v>
      </c>
      <c r="CH233" s="17">
        <v>8760</v>
      </c>
      <c r="CI233" s="17">
        <v>8760</v>
      </c>
      <c r="CJ233" s="17">
        <v>8760</v>
      </c>
      <c r="CK233" s="17">
        <v>8760</v>
      </c>
      <c r="CL233" s="17">
        <v>8760</v>
      </c>
      <c r="CM233" s="17">
        <v>8760</v>
      </c>
      <c r="CN233" s="17">
        <v>8760</v>
      </c>
      <c r="CO233" s="17">
        <v>8760</v>
      </c>
      <c r="CP233" s="17">
        <v>8760</v>
      </c>
      <c r="CQ233" s="17">
        <v>8760</v>
      </c>
      <c r="CR233" s="17">
        <v>8760</v>
      </c>
      <c r="CS233" s="17">
        <v>8760</v>
      </c>
      <c r="CT233" s="17">
        <v>8760</v>
      </c>
      <c r="CU233" s="17">
        <v>8760</v>
      </c>
      <c r="CV233" s="17">
        <v>8760</v>
      </c>
      <c r="CW233" s="17">
        <v>8760</v>
      </c>
      <c r="CX233" s="17">
        <v>8760</v>
      </c>
      <c r="CY233" s="17">
        <v>8760</v>
      </c>
      <c r="CZ233" s="17">
        <v>8760</v>
      </c>
      <c r="DA233" s="17">
        <v>8760</v>
      </c>
      <c r="DB233" s="17">
        <v>8760</v>
      </c>
    </row>
    <row r="234" spans="1:106" s="17" customFormat="1" x14ac:dyDescent="0.25">
      <c r="A234" s="22" t="s">
        <v>251</v>
      </c>
      <c r="B234" s="17" t="s">
        <v>413</v>
      </c>
    </row>
    <row r="235" spans="1:106" s="17" customFormat="1" x14ac:dyDescent="0.25">
      <c r="A235" s="22" t="s">
        <v>252</v>
      </c>
      <c r="B235" s="17" t="s">
        <v>249</v>
      </c>
      <c r="C235" s="17" t="s">
        <v>438</v>
      </c>
      <c r="D235" s="17" t="s">
        <v>824</v>
      </c>
      <c r="E235" s="17" t="s">
        <v>825</v>
      </c>
      <c r="F235" s="17">
        <v>102911</v>
      </c>
      <c r="G235" s="17">
        <v>0</v>
      </c>
      <c r="H235" s="17">
        <v>0</v>
      </c>
      <c r="I235" s="17">
        <v>0</v>
      </c>
      <c r="J235" s="17">
        <v>0</v>
      </c>
      <c r="K235" s="17">
        <v>0</v>
      </c>
      <c r="L235" s="17">
        <v>0</v>
      </c>
      <c r="M235" s="17">
        <v>0</v>
      </c>
      <c r="N235" s="17">
        <v>0</v>
      </c>
      <c r="O235" s="17">
        <v>0</v>
      </c>
      <c r="P235" s="17">
        <v>0</v>
      </c>
      <c r="Q235" s="17">
        <v>0</v>
      </c>
      <c r="R235" s="17">
        <v>0</v>
      </c>
      <c r="S235" s="17">
        <v>0</v>
      </c>
      <c r="T235" s="17">
        <v>0</v>
      </c>
      <c r="U235" s="17">
        <v>0</v>
      </c>
      <c r="V235" s="17">
        <v>0</v>
      </c>
      <c r="W235" s="17">
        <v>0</v>
      </c>
      <c r="X235" s="17">
        <v>0</v>
      </c>
      <c r="Y235" s="17">
        <v>7</v>
      </c>
      <c r="Z235" s="17">
        <v>18</v>
      </c>
      <c r="AA235" s="17">
        <v>26</v>
      </c>
      <c r="AB235" s="17">
        <v>36</v>
      </c>
      <c r="AC235" s="17">
        <v>48</v>
      </c>
      <c r="AD235" s="17">
        <v>56</v>
      </c>
      <c r="AE235" s="17">
        <v>67</v>
      </c>
      <c r="AF235" s="17">
        <v>81</v>
      </c>
      <c r="AG235" s="17">
        <v>105</v>
      </c>
      <c r="AH235" s="17">
        <v>159</v>
      </c>
      <c r="AI235" s="17">
        <v>211</v>
      </c>
      <c r="AJ235" s="17">
        <v>271</v>
      </c>
      <c r="AK235" s="17">
        <v>320</v>
      </c>
      <c r="AL235" s="17">
        <v>372</v>
      </c>
      <c r="AM235" s="17">
        <v>443</v>
      </c>
      <c r="AN235" s="17">
        <v>534</v>
      </c>
      <c r="AO235" s="17">
        <v>606</v>
      </c>
      <c r="AP235" s="17">
        <v>701</v>
      </c>
      <c r="AQ235" s="17">
        <v>818</v>
      </c>
      <c r="AR235" s="17">
        <v>938</v>
      </c>
      <c r="AS235" s="17">
        <v>1033</v>
      </c>
      <c r="AT235" s="17">
        <v>1134</v>
      </c>
      <c r="AU235" s="17">
        <v>1251</v>
      </c>
      <c r="AV235" s="17">
        <v>1376</v>
      </c>
      <c r="AW235" s="17">
        <v>1556</v>
      </c>
      <c r="AX235" s="17">
        <v>1749</v>
      </c>
      <c r="AY235" s="17">
        <v>1962</v>
      </c>
      <c r="AZ235" s="17">
        <v>2179</v>
      </c>
      <c r="BA235" s="17">
        <v>2445</v>
      </c>
      <c r="BB235" s="17">
        <v>2729</v>
      </c>
      <c r="BC235" s="17">
        <v>3107</v>
      </c>
      <c r="BD235" s="17">
        <v>3414</v>
      </c>
      <c r="BE235" s="17">
        <v>3790</v>
      </c>
      <c r="BF235" s="17">
        <v>4128</v>
      </c>
      <c r="BG235" s="17">
        <v>4431</v>
      </c>
      <c r="BH235" s="17">
        <v>4672</v>
      </c>
      <c r="BI235" s="17">
        <v>4915</v>
      </c>
      <c r="BJ235" s="17">
        <v>5131</v>
      </c>
      <c r="BK235" s="17">
        <v>5406</v>
      </c>
      <c r="BL235" s="17">
        <v>5645</v>
      </c>
      <c r="BM235" s="17">
        <v>5924</v>
      </c>
      <c r="BN235" s="17">
        <v>6185</v>
      </c>
      <c r="BO235" s="17">
        <v>6459</v>
      </c>
      <c r="BP235" s="17">
        <v>6715</v>
      </c>
      <c r="BQ235" s="17">
        <v>6970</v>
      </c>
      <c r="BR235" s="17">
        <v>7264</v>
      </c>
      <c r="BS235" s="17">
        <v>7578</v>
      </c>
      <c r="BT235" s="17">
        <v>7797</v>
      </c>
      <c r="BU235" s="17">
        <v>8027</v>
      </c>
      <c r="BV235" s="17">
        <v>8215</v>
      </c>
      <c r="BW235" s="17">
        <v>8373</v>
      </c>
      <c r="BX235" s="17">
        <v>8478</v>
      </c>
      <c r="BY235" s="17">
        <v>8590</v>
      </c>
      <c r="BZ235" s="17">
        <v>8657</v>
      </c>
      <c r="CA235" s="17">
        <v>8689</v>
      </c>
      <c r="CB235" s="17">
        <v>8711</v>
      </c>
      <c r="CC235" s="17">
        <v>8735</v>
      </c>
      <c r="CD235" s="17">
        <v>8753</v>
      </c>
      <c r="CE235" s="17">
        <v>8759</v>
      </c>
      <c r="CF235" s="17">
        <v>8760</v>
      </c>
      <c r="CG235" s="17">
        <v>8760</v>
      </c>
      <c r="CH235" s="17">
        <v>8760</v>
      </c>
      <c r="CI235" s="17">
        <v>8760</v>
      </c>
      <c r="CJ235" s="17">
        <v>8760</v>
      </c>
      <c r="CK235" s="17">
        <v>8760</v>
      </c>
      <c r="CL235" s="17">
        <v>8760</v>
      </c>
      <c r="CM235" s="17">
        <v>8760</v>
      </c>
      <c r="CN235" s="17">
        <v>8760</v>
      </c>
      <c r="CO235" s="17">
        <v>8760</v>
      </c>
      <c r="CP235" s="17">
        <v>8760</v>
      </c>
      <c r="CQ235" s="17">
        <v>8760</v>
      </c>
      <c r="CR235" s="17">
        <v>8760</v>
      </c>
      <c r="CS235" s="17">
        <v>8760</v>
      </c>
      <c r="CT235" s="17">
        <v>8760</v>
      </c>
      <c r="CU235" s="17">
        <v>8760</v>
      </c>
      <c r="CV235" s="17">
        <v>8760</v>
      </c>
      <c r="CW235" s="17">
        <v>8760</v>
      </c>
      <c r="CX235" s="17">
        <v>8760</v>
      </c>
      <c r="CY235" s="17">
        <v>8760</v>
      </c>
      <c r="CZ235" s="17">
        <v>8760</v>
      </c>
      <c r="DA235" s="17">
        <v>8760</v>
      </c>
      <c r="DB235" s="17">
        <v>8760</v>
      </c>
    </row>
    <row r="236" spans="1:106" s="17" customFormat="1" x14ac:dyDescent="0.25">
      <c r="A236" s="22" t="s">
        <v>253</v>
      </c>
      <c r="B236" s="17" t="s">
        <v>250</v>
      </c>
      <c r="C236" s="17" t="s">
        <v>438</v>
      </c>
      <c r="D236" s="17" t="s">
        <v>826</v>
      </c>
      <c r="E236" s="17" t="s">
        <v>827</v>
      </c>
      <c r="F236" s="17">
        <v>102635</v>
      </c>
      <c r="G236" s="17">
        <v>0</v>
      </c>
      <c r="H236" s="17">
        <v>0</v>
      </c>
      <c r="I236" s="17">
        <v>0</v>
      </c>
      <c r="J236" s="17">
        <v>0</v>
      </c>
      <c r="K236" s="17">
        <v>0</v>
      </c>
      <c r="L236" s="17">
        <v>0</v>
      </c>
      <c r="M236" s="17">
        <v>0</v>
      </c>
      <c r="N236" s="17">
        <v>0</v>
      </c>
      <c r="O236" s="17">
        <v>0</v>
      </c>
      <c r="P236" s="17">
        <v>0</v>
      </c>
      <c r="Q236" s="17">
        <v>0</v>
      </c>
      <c r="R236" s="17">
        <v>0</v>
      </c>
      <c r="S236" s="17">
        <v>0</v>
      </c>
      <c r="T236" s="17">
        <v>0</v>
      </c>
      <c r="U236" s="17">
        <v>0</v>
      </c>
      <c r="V236" s="17">
        <v>0</v>
      </c>
      <c r="W236" s="17">
        <v>0</v>
      </c>
      <c r="X236" s="17">
        <v>0</v>
      </c>
      <c r="Y236" s="17">
        <v>0</v>
      </c>
      <c r="Z236" s="17">
        <v>0</v>
      </c>
      <c r="AA236" s="17">
        <v>0</v>
      </c>
      <c r="AB236" s="17">
        <v>0</v>
      </c>
      <c r="AC236" s="17">
        <v>0</v>
      </c>
      <c r="AD236" s="17">
        <v>0</v>
      </c>
      <c r="AE236" s="17">
        <v>0</v>
      </c>
      <c r="AF236" s="17">
        <v>0</v>
      </c>
      <c r="AG236" s="17">
        <v>0</v>
      </c>
      <c r="AH236" s="17">
        <v>0</v>
      </c>
      <c r="AI236" s="17">
        <v>4</v>
      </c>
      <c r="AJ236" s="17">
        <v>5</v>
      </c>
      <c r="AK236" s="17">
        <v>23</v>
      </c>
      <c r="AL236" s="17">
        <v>33</v>
      </c>
      <c r="AM236" s="17">
        <v>52</v>
      </c>
      <c r="AN236" s="17">
        <v>69</v>
      </c>
      <c r="AO236" s="17">
        <v>95</v>
      </c>
      <c r="AP236" s="17">
        <v>117</v>
      </c>
      <c r="AQ236" s="17">
        <v>158</v>
      </c>
      <c r="AR236" s="17">
        <v>182</v>
      </c>
      <c r="AS236" s="17">
        <v>226</v>
      </c>
      <c r="AT236" s="17">
        <v>277</v>
      </c>
      <c r="AU236" s="17">
        <v>347</v>
      </c>
      <c r="AV236" s="17">
        <v>431</v>
      </c>
      <c r="AW236" s="17">
        <v>536</v>
      </c>
      <c r="AX236" s="17">
        <v>698</v>
      </c>
      <c r="AY236" s="17">
        <v>899</v>
      </c>
      <c r="AZ236" s="17">
        <v>1101</v>
      </c>
      <c r="BA236" s="17">
        <v>1353</v>
      </c>
      <c r="BB236" s="17">
        <v>1677</v>
      </c>
      <c r="BC236" s="17">
        <v>1984</v>
      </c>
      <c r="BD236" s="17">
        <v>2343</v>
      </c>
      <c r="BE236" s="17">
        <v>2711</v>
      </c>
      <c r="BF236" s="17">
        <v>3121</v>
      </c>
      <c r="BG236" s="17">
        <v>3492</v>
      </c>
      <c r="BH236" s="17">
        <v>3881</v>
      </c>
      <c r="BI236" s="17">
        <v>4261</v>
      </c>
      <c r="BJ236" s="17">
        <v>4588</v>
      </c>
      <c r="BK236" s="17">
        <v>4863</v>
      </c>
      <c r="BL236" s="17">
        <v>5129</v>
      </c>
      <c r="BM236" s="17">
        <v>5421</v>
      </c>
      <c r="BN236" s="17">
        <v>5748</v>
      </c>
      <c r="BO236" s="17">
        <v>6087</v>
      </c>
      <c r="BP236" s="17">
        <v>6456</v>
      </c>
      <c r="BQ236" s="17">
        <v>6785</v>
      </c>
      <c r="BR236" s="17">
        <v>7111</v>
      </c>
      <c r="BS236" s="17">
        <v>7450</v>
      </c>
      <c r="BT236" s="17">
        <v>7725</v>
      </c>
      <c r="BU236" s="17">
        <v>7963</v>
      </c>
      <c r="BV236" s="17">
        <v>8176</v>
      </c>
      <c r="BW236" s="17">
        <v>8344</v>
      </c>
      <c r="BX236" s="17">
        <v>8481</v>
      </c>
      <c r="BY236" s="17">
        <v>8573</v>
      </c>
      <c r="BZ236" s="17">
        <v>8635</v>
      </c>
      <c r="CA236" s="17">
        <v>8691</v>
      </c>
      <c r="CB236" s="17">
        <v>8727</v>
      </c>
      <c r="CC236" s="17">
        <v>8746</v>
      </c>
      <c r="CD236" s="17">
        <v>8759</v>
      </c>
      <c r="CE236" s="17">
        <v>8760</v>
      </c>
      <c r="CF236" s="17">
        <v>8760</v>
      </c>
      <c r="CG236" s="17">
        <v>8760</v>
      </c>
      <c r="CH236" s="17">
        <v>8760</v>
      </c>
      <c r="CI236" s="17">
        <v>8760</v>
      </c>
      <c r="CJ236" s="17">
        <v>8760</v>
      </c>
      <c r="CK236" s="17">
        <v>8760</v>
      </c>
      <c r="CL236" s="17">
        <v>8760</v>
      </c>
      <c r="CM236" s="17">
        <v>8760</v>
      </c>
      <c r="CN236" s="17">
        <v>8760</v>
      </c>
      <c r="CO236" s="17">
        <v>8760</v>
      </c>
      <c r="CP236" s="17">
        <v>8760</v>
      </c>
      <c r="CQ236" s="17">
        <v>8760</v>
      </c>
      <c r="CR236" s="17">
        <v>8760</v>
      </c>
      <c r="CS236" s="17">
        <v>8760</v>
      </c>
      <c r="CT236" s="17">
        <v>8760</v>
      </c>
      <c r="CU236" s="17">
        <v>8760</v>
      </c>
      <c r="CV236" s="17">
        <v>8760</v>
      </c>
      <c r="CW236" s="17">
        <v>8760</v>
      </c>
      <c r="CX236" s="17">
        <v>8760</v>
      </c>
      <c r="CY236" s="17">
        <v>8760</v>
      </c>
      <c r="CZ236" s="17">
        <v>8760</v>
      </c>
      <c r="DA236" s="17">
        <v>8760</v>
      </c>
      <c r="DB236" s="17">
        <v>8760</v>
      </c>
    </row>
    <row r="237" spans="1:106" s="17" customFormat="1" x14ac:dyDescent="0.25">
      <c r="A237" s="22" t="s">
        <v>254</v>
      </c>
      <c r="B237" s="17" t="s">
        <v>414</v>
      </c>
    </row>
    <row r="238" spans="1:106" s="17" customFormat="1" x14ac:dyDescent="0.25">
      <c r="A238" s="22" t="s">
        <v>255</v>
      </c>
      <c r="B238" s="17" t="s">
        <v>252</v>
      </c>
      <c r="C238" s="17" t="s">
        <v>438</v>
      </c>
      <c r="D238" s="17" t="s">
        <v>828</v>
      </c>
      <c r="E238" s="17" t="s">
        <v>583</v>
      </c>
      <c r="F238" s="17">
        <v>102137</v>
      </c>
      <c r="G238" s="17">
        <v>0</v>
      </c>
      <c r="H238" s="17">
        <v>0</v>
      </c>
      <c r="I238" s="17">
        <v>0</v>
      </c>
      <c r="J238" s="17">
        <v>0</v>
      </c>
      <c r="K238" s="17">
        <v>0</v>
      </c>
      <c r="L238" s="17">
        <v>0</v>
      </c>
      <c r="M238" s="17">
        <v>0</v>
      </c>
      <c r="N238" s="17">
        <v>0</v>
      </c>
      <c r="O238" s="17">
        <v>0</v>
      </c>
      <c r="P238" s="17">
        <v>0</v>
      </c>
      <c r="Q238" s="17">
        <v>0</v>
      </c>
      <c r="R238" s="17">
        <v>0</v>
      </c>
      <c r="S238" s="17">
        <v>0</v>
      </c>
      <c r="T238" s="17">
        <v>0</v>
      </c>
      <c r="U238" s="17">
        <v>0</v>
      </c>
      <c r="V238" s="17">
        <v>0</v>
      </c>
      <c r="W238" s="17">
        <v>0</v>
      </c>
      <c r="X238" s="17">
        <v>0</v>
      </c>
      <c r="Y238" s="17">
        <v>0</v>
      </c>
      <c r="Z238" s="17">
        <v>0</v>
      </c>
      <c r="AA238" s="17">
        <v>0</v>
      </c>
      <c r="AB238" s="17">
        <v>0</v>
      </c>
      <c r="AC238" s="17">
        <v>0</v>
      </c>
      <c r="AD238" s="17">
        <v>0</v>
      </c>
      <c r="AE238" s="17">
        <v>0</v>
      </c>
      <c r="AF238" s="17">
        <v>0</v>
      </c>
      <c r="AG238" s="17">
        <v>0</v>
      </c>
      <c r="AH238" s="17">
        <v>0</v>
      </c>
      <c r="AI238" s="17">
        <v>0</v>
      </c>
      <c r="AJ238" s="17">
        <v>0</v>
      </c>
      <c r="AK238" s="17">
        <v>0</v>
      </c>
      <c r="AL238" s="17">
        <v>0</v>
      </c>
      <c r="AM238" s="17">
        <v>0</v>
      </c>
      <c r="AN238" s="17">
        <v>0</v>
      </c>
      <c r="AO238" s="17">
        <v>0</v>
      </c>
      <c r="AP238" s="17">
        <v>0</v>
      </c>
      <c r="AQ238" s="17">
        <v>7</v>
      </c>
      <c r="AR238" s="17">
        <v>11</v>
      </c>
      <c r="AS238" s="17">
        <v>13</v>
      </c>
      <c r="AT238" s="17">
        <v>20</v>
      </c>
      <c r="AU238" s="17">
        <v>36</v>
      </c>
      <c r="AV238" s="17">
        <v>54</v>
      </c>
      <c r="AW238" s="17">
        <v>88</v>
      </c>
      <c r="AX238" s="17">
        <v>116</v>
      </c>
      <c r="AY238" s="17">
        <v>153</v>
      </c>
      <c r="AZ238" s="17">
        <v>218</v>
      </c>
      <c r="BA238" s="17">
        <v>316</v>
      </c>
      <c r="BB238" s="17">
        <v>477</v>
      </c>
      <c r="BC238" s="17">
        <v>699</v>
      </c>
      <c r="BD238" s="17">
        <v>957</v>
      </c>
      <c r="BE238" s="17">
        <v>1289</v>
      </c>
      <c r="BF238" s="17">
        <v>1722</v>
      </c>
      <c r="BG238" s="17">
        <v>2195</v>
      </c>
      <c r="BH238" s="17">
        <v>2680</v>
      </c>
      <c r="BI238" s="17">
        <v>3085</v>
      </c>
      <c r="BJ238" s="17">
        <v>3478</v>
      </c>
      <c r="BK238" s="17">
        <v>3855</v>
      </c>
      <c r="BL238" s="17">
        <v>4202</v>
      </c>
      <c r="BM238" s="17">
        <v>4574</v>
      </c>
      <c r="BN238" s="17">
        <v>5015</v>
      </c>
      <c r="BO238" s="17">
        <v>5444</v>
      </c>
      <c r="BP238" s="17">
        <v>5865</v>
      </c>
      <c r="BQ238" s="17">
        <v>6334</v>
      </c>
      <c r="BR238" s="17">
        <v>6783</v>
      </c>
      <c r="BS238" s="17">
        <v>7178</v>
      </c>
      <c r="BT238" s="17">
        <v>7541</v>
      </c>
      <c r="BU238" s="17">
        <v>7860</v>
      </c>
      <c r="BV238" s="17">
        <v>8121</v>
      </c>
      <c r="BW238" s="17">
        <v>8290</v>
      </c>
      <c r="BX238" s="17">
        <v>8437</v>
      </c>
      <c r="BY238" s="17">
        <v>8540</v>
      </c>
      <c r="BZ238" s="17">
        <v>8613</v>
      </c>
      <c r="CA238" s="17">
        <v>8663</v>
      </c>
      <c r="CB238" s="17">
        <v>8699</v>
      </c>
      <c r="CC238" s="17">
        <v>8713</v>
      </c>
      <c r="CD238" s="17">
        <v>8734</v>
      </c>
      <c r="CE238" s="17">
        <v>8740</v>
      </c>
      <c r="CF238" s="17">
        <v>8752</v>
      </c>
      <c r="CG238" s="17">
        <v>8756</v>
      </c>
      <c r="CH238" s="17">
        <v>8760</v>
      </c>
      <c r="CI238" s="17">
        <v>8760</v>
      </c>
      <c r="CJ238" s="17">
        <v>8760</v>
      </c>
      <c r="CK238" s="17">
        <v>8760</v>
      </c>
      <c r="CL238" s="17">
        <v>8760</v>
      </c>
      <c r="CM238" s="17">
        <v>8760</v>
      </c>
      <c r="CN238" s="17">
        <v>8760</v>
      </c>
      <c r="CO238" s="17">
        <v>8760</v>
      </c>
      <c r="CP238" s="17">
        <v>8760</v>
      </c>
      <c r="CQ238" s="17">
        <v>8760</v>
      </c>
      <c r="CR238" s="17">
        <v>8760</v>
      </c>
      <c r="CS238" s="17">
        <v>8760</v>
      </c>
      <c r="CT238" s="17">
        <v>8760</v>
      </c>
      <c r="CU238" s="17">
        <v>8760</v>
      </c>
      <c r="CV238" s="17">
        <v>8760</v>
      </c>
      <c r="CW238" s="17">
        <v>8760</v>
      </c>
      <c r="CX238" s="17">
        <v>8760</v>
      </c>
      <c r="CY238" s="17">
        <v>8760</v>
      </c>
      <c r="CZ238" s="17">
        <v>8760</v>
      </c>
      <c r="DA238" s="17">
        <v>8760</v>
      </c>
      <c r="DB238" s="17">
        <v>8760</v>
      </c>
    </row>
    <row r="239" spans="1:106" s="17" customFormat="1" x14ac:dyDescent="0.25">
      <c r="A239" s="22" t="s">
        <v>256</v>
      </c>
      <c r="B239" s="17" t="s">
        <v>253</v>
      </c>
      <c r="C239" s="17" t="s">
        <v>438</v>
      </c>
      <c r="D239" s="17" t="s">
        <v>829</v>
      </c>
      <c r="E239" s="17" t="s">
        <v>830</v>
      </c>
      <c r="F239" s="17">
        <v>102630</v>
      </c>
      <c r="G239" s="17">
        <v>0</v>
      </c>
      <c r="H239" s="17">
        <v>0</v>
      </c>
      <c r="I239" s="17">
        <v>0</v>
      </c>
      <c r="J239" s="17">
        <v>0</v>
      </c>
      <c r="K239" s="17">
        <v>0</v>
      </c>
      <c r="L239" s="17">
        <v>0</v>
      </c>
      <c r="M239" s="17">
        <v>0</v>
      </c>
      <c r="N239" s="17">
        <v>0</v>
      </c>
      <c r="O239" s="17">
        <v>0</v>
      </c>
      <c r="P239" s="17">
        <v>0</v>
      </c>
      <c r="Q239" s="17">
        <v>0</v>
      </c>
      <c r="R239" s="17">
        <v>0</v>
      </c>
      <c r="S239" s="17">
        <v>0</v>
      </c>
      <c r="T239" s="17">
        <v>0</v>
      </c>
      <c r="U239" s="17">
        <v>0</v>
      </c>
      <c r="V239" s="17">
        <v>0</v>
      </c>
      <c r="W239" s="17">
        <v>0</v>
      </c>
      <c r="X239" s="17">
        <v>0</v>
      </c>
      <c r="Y239" s="17">
        <v>0</v>
      </c>
      <c r="Z239" s="17">
        <v>0</v>
      </c>
      <c r="AA239" s="17">
        <v>0</v>
      </c>
      <c r="AB239" s="17">
        <v>0</v>
      </c>
      <c r="AC239" s="17">
        <v>0</v>
      </c>
      <c r="AD239" s="17">
        <v>0</v>
      </c>
      <c r="AE239" s="17">
        <v>0</v>
      </c>
      <c r="AF239" s="17">
        <v>0</v>
      </c>
      <c r="AG239" s="17">
        <v>0</v>
      </c>
      <c r="AH239" s="17">
        <v>0</v>
      </c>
      <c r="AI239" s="17">
        <v>0</v>
      </c>
      <c r="AJ239" s="17">
        <v>0</v>
      </c>
      <c r="AK239" s="17">
        <v>0</v>
      </c>
      <c r="AL239" s="17">
        <v>0</v>
      </c>
      <c r="AM239" s="17">
        <v>0</v>
      </c>
      <c r="AN239" s="17">
        <v>1</v>
      </c>
      <c r="AO239" s="17">
        <v>5</v>
      </c>
      <c r="AP239" s="17">
        <v>11</v>
      </c>
      <c r="AQ239" s="17">
        <v>25</v>
      </c>
      <c r="AR239" s="17">
        <v>51</v>
      </c>
      <c r="AS239" s="17">
        <v>89</v>
      </c>
      <c r="AT239" s="17">
        <v>154</v>
      </c>
      <c r="AU239" s="17">
        <v>216</v>
      </c>
      <c r="AV239" s="17">
        <v>319</v>
      </c>
      <c r="AW239" s="17">
        <v>437</v>
      </c>
      <c r="AX239" s="17">
        <v>532</v>
      </c>
      <c r="AY239" s="17">
        <v>626</v>
      </c>
      <c r="AZ239" s="17">
        <v>781</v>
      </c>
      <c r="BA239" s="17">
        <v>968</v>
      </c>
      <c r="BB239" s="17">
        <v>1240</v>
      </c>
      <c r="BC239" s="17">
        <v>1563</v>
      </c>
      <c r="BD239" s="17">
        <v>1941</v>
      </c>
      <c r="BE239" s="17">
        <v>2465</v>
      </c>
      <c r="BF239" s="17">
        <v>2924</v>
      </c>
      <c r="BG239" s="17">
        <v>3408</v>
      </c>
      <c r="BH239" s="17">
        <v>3841</v>
      </c>
      <c r="BI239" s="17">
        <v>4224</v>
      </c>
      <c r="BJ239" s="17">
        <v>4549</v>
      </c>
      <c r="BK239" s="17">
        <v>4896</v>
      </c>
      <c r="BL239" s="17">
        <v>5197</v>
      </c>
      <c r="BM239" s="17">
        <v>5533</v>
      </c>
      <c r="BN239" s="17">
        <v>5835</v>
      </c>
      <c r="BO239" s="17">
        <v>6114</v>
      </c>
      <c r="BP239" s="17">
        <v>6446</v>
      </c>
      <c r="BQ239" s="17">
        <v>6792</v>
      </c>
      <c r="BR239" s="17">
        <v>7126</v>
      </c>
      <c r="BS239" s="17">
        <v>7417</v>
      </c>
      <c r="BT239" s="17">
        <v>7699</v>
      </c>
      <c r="BU239" s="17">
        <v>7952</v>
      </c>
      <c r="BV239" s="17">
        <v>8175</v>
      </c>
      <c r="BW239" s="17">
        <v>8326</v>
      </c>
      <c r="BX239" s="17">
        <v>8453</v>
      </c>
      <c r="BY239" s="17">
        <v>8541</v>
      </c>
      <c r="BZ239" s="17">
        <v>8602</v>
      </c>
      <c r="CA239" s="17">
        <v>8645</v>
      </c>
      <c r="CB239" s="17">
        <v>8696</v>
      </c>
      <c r="CC239" s="17">
        <v>8731</v>
      </c>
      <c r="CD239" s="17">
        <v>8754</v>
      </c>
      <c r="CE239" s="17">
        <v>8758</v>
      </c>
      <c r="CF239" s="17">
        <v>8759</v>
      </c>
      <c r="CG239" s="17">
        <v>8760</v>
      </c>
      <c r="CH239" s="17">
        <v>8760</v>
      </c>
      <c r="CI239" s="17">
        <v>8760</v>
      </c>
      <c r="CJ239" s="17">
        <v>8760</v>
      </c>
      <c r="CK239" s="17">
        <v>8760</v>
      </c>
      <c r="CL239" s="17">
        <v>8760</v>
      </c>
      <c r="CM239" s="17">
        <v>8760</v>
      </c>
      <c r="CN239" s="17">
        <v>8760</v>
      </c>
      <c r="CO239" s="17">
        <v>8760</v>
      </c>
      <c r="CP239" s="17">
        <v>8760</v>
      </c>
      <c r="CQ239" s="17">
        <v>8760</v>
      </c>
      <c r="CR239" s="17">
        <v>8760</v>
      </c>
      <c r="CS239" s="17">
        <v>8760</v>
      </c>
      <c r="CT239" s="17">
        <v>8760</v>
      </c>
      <c r="CU239" s="17">
        <v>8760</v>
      </c>
      <c r="CV239" s="17">
        <v>8760</v>
      </c>
      <c r="CW239" s="17">
        <v>8760</v>
      </c>
      <c r="CX239" s="17">
        <v>8760</v>
      </c>
      <c r="CY239" s="17">
        <v>8760</v>
      </c>
      <c r="CZ239" s="17">
        <v>8760</v>
      </c>
      <c r="DA239" s="17">
        <v>8760</v>
      </c>
      <c r="DB239" s="17">
        <v>8760</v>
      </c>
    </row>
    <row r="240" spans="1:106" s="17" customFormat="1" x14ac:dyDescent="0.25">
      <c r="A240" s="22" t="s">
        <v>257</v>
      </c>
      <c r="B240" s="17" t="s">
        <v>251</v>
      </c>
      <c r="C240" s="17" t="s">
        <v>438</v>
      </c>
      <c r="D240" s="17" t="s">
        <v>831</v>
      </c>
      <c r="E240" s="17" t="s">
        <v>832</v>
      </c>
      <c r="F240" s="17">
        <v>102216</v>
      </c>
      <c r="G240" s="17">
        <v>0</v>
      </c>
      <c r="H240" s="17">
        <v>0</v>
      </c>
      <c r="I240" s="17">
        <v>0</v>
      </c>
      <c r="J240" s="17">
        <v>0</v>
      </c>
      <c r="K240" s="17">
        <v>0</v>
      </c>
      <c r="L240" s="17">
        <v>0</v>
      </c>
      <c r="M240" s="17">
        <v>0</v>
      </c>
      <c r="N240" s="17">
        <v>0</v>
      </c>
      <c r="O240" s="17">
        <v>0</v>
      </c>
      <c r="P240" s="17">
        <v>0</v>
      </c>
      <c r="Q240" s="17">
        <v>0</v>
      </c>
      <c r="R240" s="17">
        <v>0</v>
      </c>
      <c r="S240" s="17">
        <v>0</v>
      </c>
      <c r="T240" s="17">
        <v>0</v>
      </c>
      <c r="U240" s="17">
        <v>0</v>
      </c>
      <c r="V240" s="17">
        <v>0</v>
      </c>
      <c r="W240" s="17">
        <v>0</v>
      </c>
      <c r="X240" s="17">
        <v>0</v>
      </c>
      <c r="Y240" s="17">
        <v>0</v>
      </c>
      <c r="Z240" s="17">
        <v>0</v>
      </c>
      <c r="AA240" s="17">
        <v>0</v>
      </c>
      <c r="AB240" s="17">
        <v>0</v>
      </c>
      <c r="AC240" s="17">
        <v>0</v>
      </c>
      <c r="AD240" s="17">
        <v>0</v>
      </c>
      <c r="AE240" s="17">
        <v>0</v>
      </c>
      <c r="AF240" s="17">
        <v>0</v>
      </c>
      <c r="AG240" s="17">
        <v>0</v>
      </c>
      <c r="AH240" s="17">
        <v>0</v>
      </c>
      <c r="AI240" s="17">
        <v>0</v>
      </c>
      <c r="AJ240" s="17">
        <v>4</v>
      </c>
      <c r="AK240" s="17">
        <v>5</v>
      </c>
      <c r="AL240" s="17">
        <v>13</v>
      </c>
      <c r="AM240" s="17">
        <v>22</v>
      </c>
      <c r="AN240" s="17">
        <v>27</v>
      </c>
      <c r="AO240" s="17">
        <v>36</v>
      </c>
      <c r="AP240" s="17">
        <v>44</v>
      </c>
      <c r="AQ240" s="17">
        <v>75</v>
      </c>
      <c r="AR240" s="17">
        <v>123</v>
      </c>
      <c r="AS240" s="17">
        <v>182</v>
      </c>
      <c r="AT240" s="17">
        <v>230</v>
      </c>
      <c r="AU240" s="17">
        <v>274</v>
      </c>
      <c r="AV240" s="17">
        <v>313</v>
      </c>
      <c r="AW240" s="17">
        <v>375</v>
      </c>
      <c r="AX240" s="17">
        <v>460</v>
      </c>
      <c r="AY240" s="17">
        <v>564</v>
      </c>
      <c r="AZ240" s="17">
        <v>713</v>
      </c>
      <c r="BA240" s="17">
        <v>903</v>
      </c>
      <c r="BB240" s="17">
        <v>1174</v>
      </c>
      <c r="BC240" s="17">
        <v>1537</v>
      </c>
      <c r="BD240" s="17">
        <v>1955</v>
      </c>
      <c r="BE240" s="17">
        <v>2472</v>
      </c>
      <c r="BF240" s="17">
        <v>2915</v>
      </c>
      <c r="BG240" s="17">
        <v>3297</v>
      </c>
      <c r="BH240" s="17">
        <v>3650</v>
      </c>
      <c r="BI240" s="17">
        <v>3956</v>
      </c>
      <c r="BJ240" s="17">
        <v>4271</v>
      </c>
      <c r="BK240" s="17">
        <v>4646</v>
      </c>
      <c r="BL240" s="17">
        <v>4939</v>
      </c>
      <c r="BM240" s="17">
        <v>5247</v>
      </c>
      <c r="BN240" s="17">
        <v>5612</v>
      </c>
      <c r="BO240" s="17">
        <v>5975</v>
      </c>
      <c r="BP240" s="17">
        <v>6317</v>
      </c>
      <c r="BQ240" s="17">
        <v>6668</v>
      </c>
      <c r="BR240" s="17">
        <v>7020</v>
      </c>
      <c r="BS240" s="17">
        <v>7349</v>
      </c>
      <c r="BT240" s="17">
        <v>7667</v>
      </c>
      <c r="BU240" s="17">
        <v>7905</v>
      </c>
      <c r="BV240" s="17">
        <v>8133</v>
      </c>
      <c r="BW240" s="17">
        <v>8313</v>
      </c>
      <c r="BX240" s="17">
        <v>8450</v>
      </c>
      <c r="BY240" s="17">
        <v>8531</v>
      </c>
      <c r="BZ240" s="17">
        <v>8600</v>
      </c>
      <c r="CA240" s="17">
        <v>8647</v>
      </c>
      <c r="CB240" s="17">
        <v>8679</v>
      </c>
      <c r="CC240" s="17">
        <v>8707</v>
      </c>
      <c r="CD240" s="17">
        <v>8734</v>
      </c>
      <c r="CE240" s="17">
        <v>8752</v>
      </c>
      <c r="CF240" s="17">
        <v>8758</v>
      </c>
      <c r="CG240" s="17">
        <v>8760</v>
      </c>
      <c r="CH240" s="17">
        <v>8760</v>
      </c>
      <c r="CI240" s="17">
        <v>8760</v>
      </c>
      <c r="CJ240" s="17">
        <v>8760</v>
      </c>
      <c r="CK240" s="17">
        <v>8760</v>
      </c>
      <c r="CL240" s="17">
        <v>8760</v>
      </c>
      <c r="CM240" s="17">
        <v>8760</v>
      </c>
      <c r="CN240" s="17">
        <v>8760</v>
      </c>
      <c r="CO240" s="17">
        <v>8760</v>
      </c>
      <c r="CP240" s="17">
        <v>8760</v>
      </c>
      <c r="CQ240" s="17">
        <v>8760</v>
      </c>
      <c r="CR240" s="17">
        <v>8760</v>
      </c>
      <c r="CS240" s="17">
        <v>8760</v>
      </c>
      <c r="CT240" s="17">
        <v>8760</v>
      </c>
      <c r="CU240" s="17">
        <v>8760</v>
      </c>
      <c r="CV240" s="17">
        <v>8760</v>
      </c>
      <c r="CW240" s="17">
        <v>8760</v>
      </c>
      <c r="CX240" s="17">
        <v>8760</v>
      </c>
      <c r="CY240" s="17">
        <v>8760</v>
      </c>
      <c r="CZ240" s="17">
        <v>8760</v>
      </c>
      <c r="DA240" s="17">
        <v>8760</v>
      </c>
      <c r="DB240" s="17">
        <v>8760</v>
      </c>
    </row>
    <row r="241" spans="1:106" s="17" customFormat="1" x14ac:dyDescent="0.25">
      <c r="A241" s="22" t="s">
        <v>258</v>
      </c>
      <c r="B241" s="17" t="s">
        <v>254</v>
      </c>
      <c r="C241" s="17" t="s">
        <v>438</v>
      </c>
      <c r="D241" s="17" t="s">
        <v>833</v>
      </c>
      <c r="E241" s="17" t="s">
        <v>834</v>
      </c>
      <c r="F241" s="17">
        <v>102726</v>
      </c>
      <c r="G241" s="17">
        <v>0</v>
      </c>
      <c r="H241" s="17">
        <v>0</v>
      </c>
      <c r="I241" s="17">
        <v>0</v>
      </c>
      <c r="J241" s="17">
        <v>0</v>
      </c>
      <c r="K241" s="17">
        <v>0</v>
      </c>
      <c r="L241" s="17">
        <v>0</v>
      </c>
      <c r="M241" s="17">
        <v>0</v>
      </c>
      <c r="N241" s="17">
        <v>0</v>
      </c>
      <c r="O241" s="17">
        <v>0</v>
      </c>
      <c r="P241" s="17">
        <v>0</v>
      </c>
      <c r="Q241" s="17">
        <v>0</v>
      </c>
      <c r="R241" s="17">
        <v>0</v>
      </c>
      <c r="S241" s="17">
        <v>0</v>
      </c>
      <c r="T241" s="17">
        <v>0</v>
      </c>
      <c r="U241" s="17">
        <v>0</v>
      </c>
      <c r="V241" s="17">
        <v>0</v>
      </c>
      <c r="W241" s="17">
        <v>0</v>
      </c>
      <c r="X241" s="17">
        <v>0</v>
      </c>
      <c r="Y241" s="17">
        <v>0</v>
      </c>
      <c r="Z241" s="17">
        <v>0</v>
      </c>
      <c r="AA241" s="17">
        <v>0</v>
      </c>
      <c r="AB241" s="17">
        <v>1</v>
      </c>
      <c r="AC241" s="17">
        <v>5</v>
      </c>
      <c r="AD241" s="17">
        <v>8</v>
      </c>
      <c r="AE241" s="17">
        <v>13</v>
      </c>
      <c r="AF241" s="17">
        <v>18</v>
      </c>
      <c r="AG241" s="17">
        <v>24</v>
      </c>
      <c r="AH241" s="17">
        <v>28</v>
      </c>
      <c r="AI241" s="17">
        <v>30</v>
      </c>
      <c r="AJ241" s="17">
        <v>44</v>
      </c>
      <c r="AK241" s="17">
        <v>52</v>
      </c>
      <c r="AL241" s="17">
        <v>68</v>
      </c>
      <c r="AM241" s="17">
        <v>84</v>
      </c>
      <c r="AN241" s="17">
        <v>103</v>
      </c>
      <c r="AO241" s="17">
        <v>130</v>
      </c>
      <c r="AP241" s="17">
        <v>157</v>
      </c>
      <c r="AQ241" s="17">
        <v>199</v>
      </c>
      <c r="AR241" s="17">
        <v>249</v>
      </c>
      <c r="AS241" s="17">
        <v>306</v>
      </c>
      <c r="AT241" s="17">
        <v>384</v>
      </c>
      <c r="AU241" s="17">
        <v>459</v>
      </c>
      <c r="AV241" s="17">
        <v>559</v>
      </c>
      <c r="AW241" s="17">
        <v>685</v>
      </c>
      <c r="AX241" s="17">
        <v>809</v>
      </c>
      <c r="AY241" s="17">
        <v>952</v>
      </c>
      <c r="AZ241" s="17">
        <v>1149</v>
      </c>
      <c r="BA241" s="17">
        <v>1403</v>
      </c>
      <c r="BB241" s="17">
        <v>1679</v>
      </c>
      <c r="BC241" s="17">
        <v>2008</v>
      </c>
      <c r="BD241" s="17">
        <v>2407</v>
      </c>
      <c r="BE241" s="17">
        <v>2845</v>
      </c>
      <c r="BF241" s="17">
        <v>3242</v>
      </c>
      <c r="BG241" s="17">
        <v>3572</v>
      </c>
      <c r="BH241" s="17">
        <v>3928</v>
      </c>
      <c r="BI241" s="17">
        <v>4308</v>
      </c>
      <c r="BJ241" s="17">
        <v>4588</v>
      </c>
      <c r="BK241" s="17">
        <v>4905</v>
      </c>
      <c r="BL241" s="17">
        <v>5212</v>
      </c>
      <c r="BM241" s="17">
        <v>5542</v>
      </c>
      <c r="BN241" s="17">
        <v>5898</v>
      </c>
      <c r="BO241" s="17">
        <v>6297</v>
      </c>
      <c r="BP241" s="17">
        <v>6606</v>
      </c>
      <c r="BQ241" s="17">
        <v>6933</v>
      </c>
      <c r="BR241" s="17">
        <v>7268</v>
      </c>
      <c r="BS241" s="17">
        <v>7544</v>
      </c>
      <c r="BT241" s="17">
        <v>7811</v>
      </c>
      <c r="BU241" s="17">
        <v>8006</v>
      </c>
      <c r="BV241" s="17">
        <v>8181</v>
      </c>
      <c r="BW241" s="17">
        <v>8324</v>
      </c>
      <c r="BX241" s="17">
        <v>8441</v>
      </c>
      <c r="BY241" s="17">
        <v>8534</v>
      </c>
      <c r="BZ241" s="17">
        <v>8612</v>
      </c>
      <c r="CA241" s="17">
        <v>8675</v>
      </c>
      <c r="CB241" s="17">
        <v>8704</v>
      </c>
      <c r="CC241" s="17">
        <v>8718</v>
      </c>
      <c r="CD241" s="17">
        <v>8737</v>
      </c>
      <c r="CE241" s="17">
        <v>8748</v>
      </c>
      <c r="CF241" s="17">
        <v>8757</v>
      </c>
      <c r="CG241" s="17">
        <v>8760</v>
      </c>
      <c r="CH241" s="17">
        <v>8760</v>
      </c>
      <c r="CI241" s="17">
        <v>8760</v>
      </c>
      <c r="CJ241" s="17">
        <v>8760</v>
      </c>
      <c r="CK241" s="17">
        <v>8760</v>
      </c>
      <c r="CL241" s="17">
        <v>8760</v>
      </c>
      <c r="CM241" s="17">
        <v>8760</v>
      </c>
      <c r="CN241" s="17">
        <v>8760</v>
      </c>
      <c r="CO241" s="17">
        <v>8760</v>
      </c>
      <c r="CP241" s="17">
        <v>8760</v>
      </c>
      <c r="CQ241" s="17">
        <v>8760</v>
      </c>
      <c r="CR241" s="17">
        <v>8760</v>
      </c>
      <c r="CS241" s="17">
        <v>8760</v>
      </c>
      <c r="CT241" s="17">
        <v>8760</v>
      </c>
      <c r="CU241" s="17">
        <v>8760</v>
      </c>
      <c r="CV241" s="17">
        <v>8760</v>
      </c>
      <c r="CW241" s="17">
        <v>8760</v>
      </c>
      <c r="CX241" s="17">
        <v>8760</v>
      </c>
      <c r="CY241" s="17">
        <v>8760</v>
      </c>
      <c r="CZ241" s="17">
        <v>8760</v>
      </c>
      <c r="DA241" s="17">
        <v>8760</v>
      </c>
      <c r="DB241" s="17">
        <v>8760</v>
      </c>
    </row>
    <row r="242" spans="1:106" s="17" customFormat="1" x14ac:dyDescent="0.25">
      <c r="A242" s="22" t="s">
        <v>259</v>
      </c>
      <c r="B242" s="17" t="s">
        <v>258</v>
      </c>
      <c r="C242" s="17" t="s">
        <v>438</v>
      </c>
      <c r="D242" s="17" t="s">
        <v>835</v>
      </c>
      <c r="E242" s="17" t="s">
        <v>836</v>
      </c>
      <c r="F242" s="17">
        <v>102812</v>
      </c>
      <c r="G242" s="17">
        <v>0</v>
      </c>
      <c r="H242" s="17">
        <v>0</v>
      </c>
      <c r="I242" s="17">
        <v>0</v>
      </c>
      <c r="J242" s="17">
        <v>0</v>
      </c>
      <c r="K242" s="17">
        <v>0</v>
      </c>
      <c r="L242" s="17">
        <v>0</v>
      </c>
      <c r="M242" s="17">
        <v>0</v>
      </c>
      <c r="N242" s="17">
        <v>0</v>
      </c>
      <c r="O242" s="17">
        <v>0</v>
      </c>
      <c r="P242" s="17">
        <v>0</v>
      </c>
      <c r="Q242" s="17">
        <v>0</v>
      </c>
      <c r="R242" s="17">
        <v>0</v>
      </c>
      <c r="S242" s="17">
        <v>0</v>
      </c>
      <c r="T242" s="17">
        <v>0</v>
      </c>
      <c r="U242" s="17">
        <v>0</v>
      </c>
      <c r="V242" s="17">
        <v>0</v>
      </c>
      <c r="W242" s="17">
        <v>0</v>
      </c>
      <c r="X242" s="17">
        <v>0</v>
      </c>
      <c r="Y242" s="17">
        <v>0</v>
      </c>
      <c r="Z242" s="17">
        <v>3</v>
      </c>
      <c r="AA242" s="17">
        <v>8</v>
      </c>
      <c r="AB242" s="17">
        <v>19</v>
      </c>
      <c r="AC242" s="17">
        <v>23</v>
      </c>
      <c r="AD242" s="17">
        <v>28</v>
      </c>
      <c r="AE242" s="17">
        <v>32</v>
      </c>
      <c r="AF242" s="17">
        <v>46</v>
      </c>
      <c r="AG242" s="17">
        <v>70</v>
      </c>
      <c r="AH242" s="17">
        <v>98</v>
      </c>
      <c r="AI242" s="17">
        <v>152</v>
      </c>
      <c r="AJ242" s="17">
        <v>186</v>
      </c>
      <c r="AK242" s="17">
        <v>231</v>
      </c>
      <c r="AL242" s="17">
        <v>265</v>
      </c>
      <c r="AM242" s="17">
        <v>320</v>
      </c>
      <c r="AN242" s="17">
        <v>373</v>
      </c>
      <c r="AO242" s="17">
        <v>445</v>
      </c>
      <c r="AP242" s="17">
        <v>501</v>
      </c>
      <c r="AQ242" s="17">
        <v>580</v>
      </c>
      <c r="AR242" s="17">
        <v>671</v>
      </c>
      <c r="AS242" s="17">
        <v>755</v>
      </c>
      <c r="AT242" s="17">
        <v>844</v>
      </c>
      <c r="AU242" s="17">
        <v>990</v>
      </c>
      <c r="AV242" s="17">
        <v>1126</v>
      </c>
      <c r="AW242" s="17">
        <v>1281</v>
      </c>
      <c r="AX242" s="17">
        <v>1472</v>
      </c>
      <c r="AY242" s="17">
        <v>1660</v>
      </c>
      <c r="AZ242" s="17">
        <v>1867</v>
      </c>
      <c r="BA242" s="17">
        <v>2125</v>
      </c>
      <c r="BB242" s="17">
        <v>2460</v>
      </c>
      <c r="BC242" s="17">
        <v>2831</v>
      </c>
      <c r="BD242" s="17">
        <v>3236</v>
      </c>
      <c r="BE242" s="17">
        <v>3639</v>
      </c>
      <c r="BF242" s="17">
        <v>4026</v>
      </c>
      <c r="BG242" s="17">
        <v>4379</v>
      </c>
      <c r="BH242" s="17">
        <v>4683</v>
      </c>
      <c r="BI242" s="17">
        <v>4927</v>
      </c>
      <c r="BJ242" s="17">
        <v>5194</v>
      </c>
      <c r="BK242" s="17">
        <v>5490</v>
      </c>
      <c r="BL242" s="17">
        <v>5772</v>
      </c>
      <c r="BM242" s="17">
        <v>6071</v>
      </c>
      <c r="BN242" s="17">
        <v>6387</v>
      </c>
      <c r="BO242" s="17">
        <v>6701</v>
      </c>
      <c r="BP242" s="17">
        <v>7004</v>
      </c>
      <c r="BQ242" s="17">
        <v>7264</v>
      </c>
      <c r="BR242" s="17">
        <v>7543</v>
      </c>
      <c r="BS242" s="17">
        <v>7795</v>
      </c>
      <c r="BT242" s="17">
        <v>8022</v>
      </c>
      <c r="BU242" s="17">
        <v>8204</v>
      </c>
      <c r="BV242" s="17">
        <v>8367</v>
      </c>
      <c r="BW242" s="17">
        <v>8469</v>
      </c>
      <c r="BX242" s="17">
        <v>8576</v>
      </c>
      <c r="BY242" s="17">
        <v>8633</v>
      </c>
      <c r="BZ242" s="17">
        <v>8687</v>
      </c>
      <c r="CA242" s="17">
        <v>8718</v>
      </c>
      <c r="CB242" s="17">
        <v>8739</v>
      </c>
      <c r="CC242" s="17">
        <v>8747</v>
      </c>
      <c r="CD242" s="17">
        <v>8758</v>
      </c>
      <c r="CE242" s="17">
        <v>8760</v>
      </c>
      <c r="CF242" s="17">
        <v>8760</v>
      </c>
      <c r="CG242" s="17">
        <v>8760</v>
      </c>
      <c r="CH242" s="17">
        <v>8760</v>
      </c>
      <c r="CI242" s="17">
        <v>8760</v>
      </c>
      <c r="CJ242" s="17">
        <v>8760</v>
      </c>
      <c r="CK242" s="17">
        <v>8760</v>
      </c>
      <c r="CL242" s="17">
        <v>8760</v>
      </c>
      <c r="CM242" s="17">
        <v>8760</v>
      </c>
      <c r="CN242" s="17">
        <v>8760</v>
      </c>
      <c r="CO242" s="17">
        <v>8760</v>
      </c>
      <c r="CP242" s="17">
        <v>8760</v>
      </c>
      <c r="CQ242" s="17">
        <v>8760</v>
      </c>
      <c r="CR242" s="17">
        <v>8760</v>
      </c>
      <c r="CS242" s="17">
        <v>8760</v>
      </c>
      <c r="CT242" s="17">
        <v>8760</v>
      </c>
      <c r="CU242" s="17">
        <v>8760</v>
      </c>
      <c r="CV242" s="17">
        <v>8760</v>
      </c>
      <c r="CW242" s="17">
        <v>8760</v>
      </c>
      <c r="CX242" s="17">
        <v>8760</v>
      </c>
      <c r="CY242" s="17">
        <v>8760</v>
      </c>
      <c r="CZ242" s="17">
        <v>8760</v>
      </c>
      <c r="DA242" s="17">
        <v>8760</v>
      </c>
      <c r="DB242" s="17">
        <v>8760</v>
      </c>
    </row>
    <row r="243" spans="1:106" s="17" customFormat="1" x14ac:dyDescent="0.25">
      <c r="A243" s="22" t="s">
        <v>260</v>
      </c>
      <c r="B243" s="17" t="s">
        <v>259</v>
      </c>
      <c r="C243" s="17" t="s">
        <v>438</v>
      </c>
      <c r="D243" s="17" t="s">
        <v>837</v>
      </c>
      <c r="E243" s="17" t="s">
        <v>838</v>
      </c>
      <c r="F243" s="17">
        <v>102628</v>
      </c>
      <c r="G243" s="17">
        <v>0</v>
      </c>
      <c r="H243" s="17">
        <v>0</v>
      </c>
      <c r="I243" s="17">
        <v>0</v>
      </c>
      <c r="J243" s="17">
        <v>0</v>
      </c>
      <c r="K243" s="17">
        <v>0</v>
      </c>
      <c r="L243" s="17">
        <v>0</v>
      </c>
      <c r="M243" s="17">
        <v>0</v>
      </c>
      <c r="N243" s="17">
        <v>0</v>
      </c>
      <c r="O243" s="17">
        <v>0</v>
      </c>
      <c r="P243" s="17">
        <v>0</v>
      </c>
      <c r="Q243" s="17">
        <v>0</v>
      </c>
      <c r="R243" s="17">
        <v>0</v>
      </c>
      <c r="S243" s="17">
        <v>0</v>
      </c>
      <c r="T243" s="17">
        <v>0</v>
      </c>
      <c r="U243" s="17">
        <v>0</v>
      </c>
      <c r="V243" s="17">
        <v>0</v>
      </c>
      <c r="W243" s="17">
        <v>0</v>
      </c>
      <c r="X243" s="17">
        <v>0</v>
      </c>
      <c r="Y243" s="17">
        <v>0</v>
      </c>
      <c r="Z243" s="17">
        <v>0</v>
      </c>
      <c r="AA243" s="17">
        <v>0</v>
      </c>
      <c r="AB243" s="17">
        <v>0</v>
      </c>
      <c r="AC243" s="17">
        <v>0</v>
      </c>
      <c r="AD243" s="17">
        <v>0</v>
      </c>
      <c r="AE243" s="17">
        <v>0</v>
      </c>
      <c r="AF243" s="17">
        <v>0</v>
      </c>
      <c r="AG243" s="17">
        <v>0</v>
      </c>
      <c r="AH243" s="17">
        <v>0</v>
      </c>
      <c r="AI243" s="17">
        <v>0</v>
      </c>
      <c r="AJ243" s="17">
        <v>0</v>
      </c>
      <c r="AK243" s="17">
        <v>0</v>
      </c>
      <c r="AL243" s="17">
        <v>0</v>
      </c>
      <c r="AM243" s="17">
        <v>0</v>
      </c>
      <c r="AN243" s="17">
        <v>7</v>
      </c>
      <c r="AO243" s="17">
        <v>11</v>
      </c>
      <c r="AP243" s="17">
        <v>17</v>
      </c>
      <c r="AQ243" s="17">
        <v>29</v>
      </c>
      <c r="AR243" s="17">
        <v>54</v>
      </c>
      <c r="AS243" s="17">
        <v>82</v>
      </c>
      <c r="AT243" s="17">
        <v>112</v>
      </c>
      <c r="AU243" s="17">
        <v>171</v>
      </c>
      <c r="AV243" s="17">
        <v>230</v>
      </c>
      <c r="AW243" s="17">
        <v>326</v>
      </c>
      <c r="AX243" s="17">
        <v>424</v>
      </c>
      <c r="AY243" s="17">
        <v>558</v>
      </c>
      <c r="AZ243" s="17">
        <v>698</v>
      </c>
      <c r="BA243" s="17">
        <v>842</v>
      </c>
      <c r="BB243" s="17">
        <v>1042</v>
      </c>
      <c r="BC243" s="17">
        <v>1315</v>
      </c>
      <c r="BD243" s="17">
        <v>1667</v>
      </c>
      <c r="BE243" s="17">
        <v>2167</v>
      </c>
      <c r="BF243" s="17">
        <v>2609</v>
      </c>
      <c r="BG243" s="17">
        <v>3012</v>
      </c>
      <c r="BH243" s="17">
        <v>3357</v>
      </c>
      <c r="BI243" s="17">
        <v>3795</v>
      </c>
      <c r="BJ243" s="17">
        <v>4225</v>
      </c>
      <c r="BK243" s="17">
        <v>4575</v>
      </c>
      <c r="BL243" s="17">
        <v>4889</v>
      </c>
      <c r="BM243" s="17">
        <v>5170</v>
      </c>
      <c r="BN243" s="17">
        <v>5463</v>
      </c>
      <c r="BO243" s="17">
        <v>5737</v>
      </c>
      <c r="BP243" s="17">
        <v>6067</v>
      </c>
      <c r="BQ243" s="17">
        <v>6395</v>
      </c>
      <c r="BR243" s="17">
        <v>6762</v>
      </c>
      <c r="BS243" s="17">
        <v>7166</v>
      </c>
      <c r="BT243" s="17">
        <v>7470</v>
      </c>
      <c r="BU243" s="17">
        <v>7744</v>
      </c>
      <c r="BV243" s="17">
        <v>7995</v>
      </c>
      <c r="BW243" s="17">
        <v>8180</v>
      </c>
      <c r="BX243" s="17">
        <v>8336</v>
      </c>
      <c r="BY243" s="17">
        <v>8466</v>
      </c>
      <c r="BZ243" s="17">
        <v>8575</v>
      </c>
      <c r="CA243" s="17">
        <v>8640</v>
      </c>
      <c r="CB243" s="17">
        <v>8690</v>
      </c>
      <c r="CC243" s="17">
        <v>8722</v>
      </c>
      <c r="CD243" s="17">
        <v>8738</v>
      </c>
      <c r="CE243" s="17">
        <v>8743</v>
      </c>
      <c r="CF243" s="17">
        <v>8752</v>
      </c>
      <c r="CG243" s="17">
        <v>8757</v>
      </c>
      <c r="CH243" s="17">
        <v>8760</v>
      </c>
      <c r="CI243" s="17">
        <v>8760</v>
      </c>
      <c r="CJ243" s="17">
        <v>8760</v>
      </c>
      <c r="CK243" s="17">
        <v>8760</v>
      </c>
      <c r="CL243" s="17">
        <v>8760</v>
      </c>
      <c r="CM243" s="17">
        <v>8760</v>
      </c>
      <c r="CN243" s="17">
        <v>8760</v>
      </c>
      <c r="CO243" s="17">
        <v>8760</v>
      </c>
      <c r="CP243" s="17">
        <v>8760</v>
      </c>
      <c r="CQ243" s="17">
        <v>8760</v>
      </c>
      <c r="CR243" s="17">
        <v>8760</v>
      </c>
      <c r="CS243" s="17">
        <v>8760</v>
      </c>
      <c r="CT243" s="17">
        <v>8760</v>
      </c>
      <c r="CU243" s="17">
        <v>8760</v>
      </c>
      <c r="CV243" s="17">
        <v>8760</v>
      </c>
      <c r="CW243" s="17">
        <v>8760</v>
      </c>
      <c r="CX243" s="17">
        <v>8760</v>
      </c>
      <c r="CY243" s="17">
        <v>8760</v>
      </c>
      <c r="CZ243" s="17">
        <v>8760</v>
      </c>
      <c r="DA243" s="17">
        <v>8760</v>
      </c>
      <c r="DB243" s="17">
        <v>8760</v>
      </c>
    </row>
    <row r="244" spans="1:106" s="17" customFormat="1" x14ac:dyDescent="0.25">
      <c r="A244" s="22" t="s">
        <v>261</v>
      </c>
      <c r="B244" s="17" t="s">
        <v>260</v>
      </c>
      <c r="C244" s="17" t="s">
        <v>438</v>
      </c>
      <c r="D244" s="17" t="s">
        <v>839</v>
      </c>
      <c r="E244" s="17" t="s">
        <v>840</v>
      </c>
      <c r="F244" s="17">
        <v>102641</v>
      </c>
      <c r="G244" s="17">
        <v>0</v>
      </c>
      <c r="H244" s="17">
        <v>0</v>
      </c>
      <c r="I244" s="17">
        <v>0</v>
      </c>
      <c r="J244" s="17">
        <v>0</v>
      </c>
      <c r="K244" s="17">
        <v>0</v>
      </c>
      <c r="L244" s="17">
        <v>0</v>
      </c>
      <c r="M244" s="17">
        <v>0</v>
      </c>
      <c r="N244" s="17">
        <v>0</v>
      </c>
      <c r="O244" s="17">
        <v>0</v>
      </c>
      <c r="P244" s="17">
        <v>0</v>
      </c>
      <c r="Q244" s="17">
        <v>0</v>
      </c>
      <c r="R244" s="17">
        <v>0</v>
      </c>
      <c r="S244" s="17">
        <v>0</v>
      </c>
      <c r="T244" s="17">
        <v>0</v>
      </c>
      <c r="U244" s="17">
        <v>0</v>
      </c>
      <c r="V244" s="17">
        <v>0</v>
      </c>
      <c r="W244" s="17">
        <v>0</v>
      </c>
      <c r="X244" s="17">
        <v>0</v>
      </c>
      <c r="Y244" s="17">
        <v>0</v>
      </c>
      <c r="Z244" s="17">
        <v>0</v>
      </c>
      <c r="AA244" s="17">
        <v>0</v>
      </c>
      <c r="AB244" s="17">
        <v>0</v>
      </c>
      <c r="AC244" s="17">
        <v>0</v>
      </c>
      <c r="AD244" s="17">
        <v>0</v>
      </c>
      <c r="AE244" s="17">
        <v>0</v>
      </c>
      <c r="AF244" s="17">
        <v>0</v>
      </c>
      <c r="AG244" s="17">
        <v>0</v>
      </c>
      <c r="AH244" s="17">
        <v>0</v>
      </c>
      <c r="AI244" s="17">
        <v>0</v>
      </c>
      <c r="AJ244" s="17">
        <v>0</v>
      </c>
      <c r="AK244" s="17">
        <v>0</v>
      </c>
      <c r="AL244" s="17">
        <v>0</v>
      </c>
      <c r="AM244" s="17">
        <v>0</v>
      </c>
      <c r="AN244" s="17">
        <v>0</v>
      </c>
      <c r="AO244" s="17">
        <v>6</v>
      </c>
      <c r="AP244" s="17">
        <v>14</v>
      </c>
      <c r="AQ244" s="17">
        <v>16</v>
      </c>
      <c r="AR244" s="17">
        <v>19</v>
      </c>
      <c r="AS244" s="17">
        <v>27</v>
      </c>
      <c r="AT244" s="17">
        <v>39</v>
      </c>
      <c r="AU244" s="17">
        <v>53</v>
      </c>
      <c r="AV244" s="17">
        <v>95</v>
      </c>
      <c r="AW244" s="17">
        <v>148</v>
      </c>
      <c r="AX244" s="17">
        <v>245</v>
      </c>
      <c r="AY244" s="17">
        <v>380</v>
      </c>
      <c r="AZ244" s="17">
        <v>548</v>
      </c>
      <c r="BA244" s="17">
        <v>716</v>
      </c>
      <c r="BB244" s="17">
        <v>949</v>
      </c>
      <c r="BC244" s="17">
        <v>1232</v>
      </c>
      <c r="BD244" s="17">
        <v>1564</v>
      </c>
      <c r="BE244" s="17">
        <v>2022</v>
      </c>
      <c r="BF244" s="17">
        <v>2535</v>
      </c>
      <c r="BG244" s="17">
        <v>2968</v>
      </c>
      <c r="BH244" s="17">
        <v>3396</v>
      </c>
      <c r="BI244" s="17">
        <v>3810</v>
      </c>
      <c r="BJ244" s="17">
        <v>4194</v>
      </c>
      <c r="BK244" s="17">
        <v>4534</v>
      </c>
      <c r="BL244" s="17">
        <v>4864</v>
      </c>
      <c r="BM244" s="17">
        <v>5177</v>
      </c>
      <c r="BN244" s="17">
        <v>5490</v>
      </c>
      <c r="BO244" s="17">
        <v>5794</v>
      </c>
      <c r="BP244" s="17">
        <v>6137</v>
      </c>
      <c r="BQ244" s="17">
        <v>6446</v>
      </c>
      <c r="BR244" s="17">
        <v>6823</v>
      </c>
      <c r="BS244" s="17">
        <v>7178</v>
      </c>
      <c r="BT244" s="17">
        <v>7510</v>
      </c>
      <c r="BU244" s="17">
        <v>7843</v>
      </c>
      <c r="BV244" s="17">
        <v>8096</v>
      </c>
      <c r="BW244" s="17">
        <v>8308</v>
      </c>
      <c r="BX244" s="17">
        <v>8454</v>
      </c>
      <c r="BY244" s="17">
        <v>8586</v>
      </c>
      <c r="BZ244" s="17">
        <v>8677</v>
      </c>
      <c r="CA244" s="17">
        <v>8724</v>
      </c>
      <c r="CB244" s="17">
        <v>8751</v>
      </c>
      <c r="CC244" s="17">
        <v>8759</v>
      </c>
      <c r="CD244" s="17">
        <v>8760</v>
      </c>
      <c r="CE244" s="17">
        <v>8760</v>
      </c>
      <c r="CF244" s="17">
        <v>8760</v>
      </c>
      <c r="CG244" s="17">
        <v>8760</v>
      </c>
      <c r="CH244" s="17">
        <v>8760</v>
      </c>
      <c r="CI244" s="17">
        <v>8760</v>
      </c>
      <c r="CJ244" s="17">
        <v>8760</v>
      </c>
      <c r="CK244" s="17">
        <v>8760</v>
      </c>
      <c r="CL244" s="17">
        <v>8760</v>
      </c>
      <c r="CM244" s="17">
        <v>8760</v>
      </c>
      <c r="CN244" s="17">
        <v>8760</v>
      </c>
      <c r="CO244" s="17">
        <v>8760</v>
      </c>
      <c r="CP244" s="17">
        <v>8760</v>
      </c>
      <c r="CQ244" s="17">
        <v>8760</v>
      </c>
      <c r="CR244" s="17">
        <v>8760</v>
      </c>
      <c r="CS244" s="17">
        <v>8760</v>
      </c>
      <c r="CT244" s="17">
        <v>8760</v>
      </c>
      <c r="CU244" s="17">
        <v>8760</v>
      </c>
      <c r="CV244" s="17">
        <v>8760</v>
      </c>
      <c r="CW244" s="17">
        <v>8760</v>
      </c>
      <c r="CX244" s="17">
        <v>8760</v>
      </c>
      <c r="CY244" s="17">
        <v>8760</v>
      </c>
      <c r="CZ244" s="17">
        <v>8760</v>
      </c>
      <c r="DA244" s="17">
        <v>8760</v>
      </c>
      <c r="DB244" s="17">
        <v>8760</v>
      </c>
    </row>
    <row r="245" spans="1:106" s="17" customFormat="1" x14ac:dyDescent="0.25">
      <c r="A245" s="22" t="s">
        <v>262</v>
      </c>
      <c r="B245" s="17" t="s">
        <v>262</v>
      </c>
      <c r="C245" s="17" t="s">
        <v>438</v>
      </c>
      <c r="D245" s="17" t="s">
        <v>841</v>
      </c>
      <c r="E245" s="17" t="s">
        <v>842</v>
      </c>
      <c r="F245" s="17">
        <v>102910</v>
      </c>
      <c r="G245" s="17">
        <v>0</v>
      </c>
      <c r="H245" s="17">
        <v>0</v>
      </c>
      <c r="I245" s="17">
        <v>0</v>
      </c>
      <c r="J245" s="17">
        <v>0</v>
      </c>
      <c r="K245" s="17">
        <v>0</v>
      </c>
      <c r="L245" s="17">
        <v>0</v>
      </c>
      <c r="M245" s="17">
        <v>0</v>
      </c>
      <c r="N245" s="17">
        <v>0</v>
      </c>
      <c r="O245" s="17">
        <v>0</v>
      </c>
      <c r="P245" s="17">
        <v>0</v>
      </c>
      <c r="Q245" s="17">
        <v>0</v>
      </c>
      <c r="R245" s="17">
        <v>0</v>
      </c>
      <c r="S245" s="17">
        <v>0</v>
      </c>
      <c r="T245" s="17">
        <v>1</v>
      </c>
      <c r="U245" s="17">
        <v>1</v>
      </c>
      <c r="V245" s="17">
        <v>3</v>
      </c>
      <c r="W245" s="17">
        <v>5</v>
      </c>
      <c r="X245" s="17">
        <v>13</v>
      </c>
      <c r="Y245" s="17">
        <v>18</v>
      </c>
      <c r="Z245" s="17">
        <v>25</v>
      </c>
      <c r="AA245" s="17">
        <v>31</v>
      </c>
      <c r="AB245" s="17">
        <v>45</v>
      </c>
      <c r="AC245" s="17">
        <v>61</v>
      </c>
      <c r="AD245" s="17">
        <v>80</v>
      </c>
      <c r="AE245" s="17">
        <v>102</v>
      </c>
      <c r="AF245" s="17">
        <v>132</v>
      </c>
      <c r="AG245" s="17">
        <v>154</v>
      </c>
      <c r="AH245" s="17">
        <v>189</v>
      </c>
      <c r="AI245" s="17">
        <v>243</v>
      </c>
      <c r="AJ245" s="17">
        <v>310</v>
      </c>
      <c r="AK245" s="17">
        <v>372</v>
      </c>
      <c r="AL245" s="17">
        <v>436</v>
      </c>
      <c r="AM245" s="17">
        <v>495</v>
      </c>
      <c r="AN245" s="17">
        <v>578</v>
      </c>
      <c r="AO245" s="17">
        <v>673</v>
      </c>
      <c r="AP245" s="17">
        <v>758</v>
      </c>
      <c r="AQ245" s="17">
        <v>877</v>
      </c>
      <c r="AR245" s="17">
        <v>1022</v>
      </c>
      <c r="AS245" s="17">
        <v>1164</v>
      </c>
      <c r="AT245" s="17">
        <v>1314</v>
      </c>
      <c r="AU245" s="17">
        <v>1466</v>
      </c>
      <c r="AV245" s="17">
        <v>1629</v>
      </c>
      <c r="AW245" s="17">
        <v>1824</v>
      </c>
      <c r="AX245" s="17">
        <v>2047</v>
      </c>
      <c r="AY245" s="17">
        <v>2350</v>
      </c>
      <c r="AZ245" s="17">
        <v>2669</v>
      </c>
      <c r="BA245" s="17">
        <v>2980</v>
      </c>
      <c r="BB245" s="17">
        <v>3319</v>
      </c>
      <c r="BC245" s="17">
        <v>3670</v>
      </c>
      <c r="BD245" s="17">
        <v>4041</v>
      </c>
      <c r="BE245" s="17">
        <v>4452</v>
      </c>
      <c r="BF245" s="17">
        <v>4804</v>
      </c>
      <c r="BG245" s="17">
        <v>5141</v>
      </c>
      <c r="BH245" s="17">
        <v>5431</v>
      </c>
      <c r="BI245" s="17">
        <v>5698</v>
      </c>
      <c r="BJ245" s="17">
        <v>5935</v>
      </c>
      <c r="BK245" s="17">
        <v>6187</v>
      </c>
      <c r="BL245" s="17">
        <v>6457</v>
      </c>
      <c r="BM245" s="17">
        <v>6757</v>
      </c>
      <c r="BN245" s="17">
        <v>6998</v>
      </c>
      <c r="BO245" s="17">
        <v>7263</v>
      </c>
      <c r="BP245" s="17">
        <v>7492</v>
      </c>
      <c r="BQ245" s="17">
        <v>7685</v>
      </c>
      <c r="BR245" s="17">
        <v>7879</v>
      </c>
      <c r="BS245" s="17">
        <v>8057</v>
      </c>
      <c r="BT245" s="17">
        <v>8226</v>
      </c>
      <c r="BU245" s="17">
        <v>8369</v>
      </c>
      <c r="BV245" s="17">
        <v>8486</v>
      </c>
      <c r="BW245" s="17">
        <v>8573</v>
      </c>
      <c r="BX245" s="17">
        <v>8628</v>
      </c>
      <c r="BY245" s="17">
        <v>8673</v>
      </c>
      <c r="BZ245" s="17">
        <v>8707</v>
      </c>
      <c r="CA245" s="17">
        <v>8721</v>
      </c>
      <c r="CB245" s="17">
        <v>8737</v>
      </c>
      <c r="CC245" s="17">
        <v>8743</v>
      </c>
      <c r="CD245" s="17">
        <v>8755</v>
      </c>
      <c r="CE245" s="17">
        <v>8760</v>
      </c>
      <c r="CF245" s="17">
        <v>8760</v>
      </c>
      <c r="CG245" s="17">
        <v>8760</v>
      </c>
      <c r="CH245" s="17">
        <v>8760</v>
      </c>
      <c r="CI245" s="17">
        <v>8760</v>
      </c>
      <c r="CJ245" s="17">
        <v>8760</v>
      </c>
      <c r="CK245" s="17">
        <v>8760</v>
      </c>
      <c r="CL245" s="17">
        <v>8760</v>
      </c>
      <c r="CM245" s="17">
        <v>8760</v>
      </c>
      <c r="CN245" s="17">
        <v>8760</v>
      </c>
      <c r="CO245" s="17">
        <v>8760</v>
      </c>
      <c r="CP245" s="17">
        <v>8760</v>
      </c>
      <c r="CQ245" s="17">
        <v>8760</v>
      </c>
      <c r="CR245" s="17">
        <v>8760</v>
      </c>
      <c r="CS245" s="17">
        <v>8760</v>
      </c>
      <c r="CT245" s="17">
        <v>8760</v>
      </c>
      <c r="CU245" s="17">
        <v>8760</v>
      </c>
      <c r="CV245" s="17">
        <v>8760</v>
      </c>
      <c r="CW245" s="17">
        <v>8760</v>
      </c>
      <c r="CX245" s="17">
        <v>8760</v>
      </c>
      <c r="CY245" s="17">
        <v>8760</v>
      </c>
      <c r="CZ245" s="17">
        <v>8760</v>
      </c>
      <c r="DA245" s="17">
        <v>8760</v>
      </c>
      <c r="DB245" s="17">
        <v>8760</v>
      </c>
    </row>
    <row r="246" spans="1:106" s="17" customFormat="1" x14ac:dyDescent="0.25">
      <c r="A246" s="22" t="s">
        <v>263</v>
      </c>
      <c r="B246" s="17" t="s">
        <v>263</v>
      </c>
      <c r="C246" s="17" t="s">
        <v>438</v>
      </c>
      <c r="D246" s="17" t="s">
        <v>843</v>
      </c>
      <c r="E246" s="17" t="s">
        <v>844</v>
      </c>
      <c r="F246" s="17">
        <v>102235</v>
      </c>
      <c r="G246" s="17">
        <v>0</v>
      </c>
      <c r="H246" s="17">
        <v>0</v>
      </c>
      <c r="I246" s="17">
        <v>0</v>
      </c>
      <c r="J246" s="17">
        <v>0</v>
      </c>
      <c r="K246" s="17">
        <v>0</v>
      </c>
      <c r="L246" s="17">
        <v>0</v>
      </c>
      <c r="M246" s="17">
        <v>0</v>
      </c>
      <c r="N246" s="17">
        <v>0</v>
      </c>
      <c r="O246" s="17">
        <v>0</v>
      </c>
      <c r="P246" s="17">
        <v>0</v>
      </c>
      <c r="Q246" s="17">
        <v>0</v>
      </c>
      <c r="R246" s="17">
        <v>0</v>
      </c>
      <c r="S246" s="17">
        <v>0</v>
      </c>
      <c r="T246" s="17">
        <v>0</v>
      </c>
      <c r="U246" s="17">
        <v>0</v>
      </c>
      <c r="V246" s="17">
        <v>0</v>
      </c>
      <c r="W246" s="17">
        <v>0</v>
      </c>
      <c r="X246" s="17">
        <v>0</v>
      </c>
      <c r="Y246" s="17">
        <v>0</v>
      </c>
      <c r="Z246" s="17">
        <v>0</v>
      </c>
      <c r="AA246" s="17">
        <v>0</v>
      </c>
      <c r="AB246" s="17">
        <v>0</v>
      </c>
      <c r="AC246" s="17">
        <v>0</v>
      </c>
      <c r="AD246" s="17">
        <v>0</v>
      </c>
      <c r="AE246" s="17">
        <v>0</v>
      </c>
      <c r="AF246" s="17">
        <v>0</v>
      </c>
      <c r="AG246" s="17">
        <v>0</v>
      </c>
      <c r="AH246" s="17">
        <v>0</v>
      </c>
      <c r="AI246" s="17">
        <v>0</v>
      </c>
      <c r="AJ246" s="17">
        <v>0</v>
      </c>
      <c r="AK246" s="17">
        <v>0</v>
      </c>
      <c r="AL246" s="17">
        <v>0</v>
      </c>
      <c r="AM246" s="17">
        <v>0</v>
      </c>
      <c r="AN246" s="17">
        <v>0</v>
      </c>
      <c r="AO246" s="17">
        <v>0</v>
      </c>
      <c r="AP246" s="17">
        <v>0</v>
      </c>
      <c r="AQ246" s="17">
        <v>0</v>
      </c>
      <c r="AR246" s="17">
        <v>0</v>
      </c>
      <c r="AS246" s="17">
        <v>0</v>
      </c>
      <c r="AT246" s="17">
        <v>2</v>
      </c>
      <c r="AU246" s="17">
        <v>22</v>
      </c>
      <c r="AV246" s="17">
        <v>79</v>
      </c>
      <c r="AW246" s="17">
        <v>111</v>
      </c>
      <c r="AX246" s="17">
        <v>154</v>
      </c>
      <c r="AY246" s="17">
        <v>199</v>
      </c>
      <c r="AZ246" s="17">
        <v>269</v>
      </c>
      <c r="BA246" s="17">
        <v>340</v>
      </c>
      <c r="BB246" s="17">
        <v>431</v>
      </c>
      <c r="BC246" s="17">
        <v>620</v>
      </c>
      <c r="BD246" s="17">
        <v>901</v>
      </c>
      <c r="BE246" s="17">
        <v>1291</v>
      </c>
      <c r="BF246" s="17">
        <v>1710</v>
      </c>
      <c r="BG246" s="17">
        <v>2256</v>
      </c>
      <c r="BH246" s="17">
        <v>2785</v>
      </c>
      <c r="BI246" s="17">
        <v>3293</v>
      </c>
      <c r="BJ246" s="17">
        <v>3679</v>
      </c>
      <c r="BK246" s="17">
        <v>3994</v>
      </c>
      <c r="BL246" s="17">
        <v>4248</v>
      </c>
      <c r="BM246" s="17">
        <v>4639</v>
      </c>
      <c r="BN246" s="17">
        <v>4945</v>
      </c>
      <c r="BO246" s="17">
        <v>5294</v>
      </c>
      <c r="BP246" s="17">
        <v>5748</v>
      </c>
      <c r="BQ246" s="17">
        <v>6157</v>
      </c>
      <c r="BR246" s="17">
        <v>6578</v>
      </c>
      <c r="BS246" s="17">
        <v>6994</v>
      </c>
      <c r="BT246" s="17">
        <v>7456</v>
      </c>
      <c r="BU246" s="17">
        <v>7858</v>
      </c>
      <c r="BV246" s="17">
        <v>8188</v>
      </c>
      <c r="BW246" s="17">
        <v>8393</v>
      </c>
      <c r="BX246" s="17">
        <v>8547</v>
      </c>
      <c r="BY246" s="17">
        <v>8651</v>
      </c>
      <c r="BZ246" s="17">
        <v>8704</v>
      </c>
      <c r="CA246" s="17">
        <v>8735</v>
      </c>
      <c r="CB246" s="17">
        <v>8749</v>
      </c>
      <c r="CC246" s="17">
        <v>8760</v>
      </c>
      <c r="CD246" s="17">
        <v>8760</v>
      </c>
      <c r="CE246" s="17">
        <v>8760</v>
      </c>
      <c r="CF246" s="17">
        <v>8760</v>
      </c>
      <c r="CG246" s="17">
        <v>8760</v>
      </c>
      <c r="CH246" s="17">
        <v>8760</v>
      </c>
      <c r="CI246" s="17">
        <v>8760</v>
      </c>
      <c r="CJ246" s="17">
        <v>8760</v>
      </c>
      <c r="CK246" s="17">
        <v>8760</v>
      </c>
      <c r="CL246" s="17">
        <v>8760</v>
      </c>
      <c r="CM246" s="17">
        <v>8760</v>
      </c>
      <c r="CN246" s="17">
        <v>8760</v>
      </c>
      <c r="CO246" s="17">
        <v>8760</v>
      </c>
      <c r="CP246" s="17">
        <v>8760</v>
      </c>
      <c r="CQ246" s="17">
        <v>8760</v>
      </c>
      <c r="CR246" s="17">
        <v>8760</v>
      </c>
      <c r="CS246" s="17">
        <v>8760</v>
      </c>
      <c r="CT246" s="17">
        <v>8760</v>
      </c>
      <c r="CU246" s="17">
        <v>8760</v>
      </c>
      <c r="CV246" s="17">
        <v>8760</v>
      </c>
      <c r="CW246" s="17">
        <v>8760</v>
      </c>
      <c r="CX246" s="17">
        <v>8760</v>
      </c>
      <c r="CY246" s="17">
        <v>8760</v>
      </c>
      <c r="CZ246" s="17">
        <v>8760</v>
      </c>
      <c r="DA246" s="17">
        <v>8760</v>
      </c>
      <c r="DB246" s="17">
        <v>8760</v>
      </c>
    </row>
    <row r="247" spans="1:106" s="17" customFormat="1" x14ac:dyDescent="0.25">
      <c r="A247" s="22" t="s">
        <v>264</v>
      </c>
      <c r="B247" s="17" t="s">
        <v>264</v>
      </c>
      <c r="C247" s="17" t="s">
        <v>438</v>
      </c>
      <c r="D247" s="17" t="s">
        <v>845</v>
      </c>
      <c r="E247" s="17" t="s">
        <v>846</v>
      </c>
      <c r="F247" s="17">
        <v>102136</v>
      </c>
      <c r="G247" s="17">
        <v>0</v>
      </c>
      <c r="H247" s="17">
        <v>0</v>
      </c>
      <c r="I247" s="17">
        <v>0</v>
      </c>
      <c r="J247" s="17">
        <v>0</v>
      </c>
      <c r="K247" s="17">
        <v>0</v>
      </c>
      <c r="L247" s="17">
        <v>0</v>
      </c>
      <c r="M247" s="17">
        <v>0</v>
      </c>
      <c r="N247" s="17">
        <v>0</v>
      </c>
      <c r="O247" s="17">
        <v>0</v>
      </c>
      <c r="P247" s="17">
        <v>0</v>
      </c>
      <c r="Q247" s="17">
        <v>0</v>
      </c>
      <c r="R247" s="17">
        <v>0</v>
      </c>
      <c r="S247" s="17">
        <v>0</v>
      </c>
      <c r="T247" s="17">
        <v>0</v>
      </c>
      <c r="U247" s="17">
        <v>0</v>
      </c>
      <c r="V247" s="17">
        <v>0</v>
      </c>
      <c r="W247" s="17">
        <v>0</v>
      </c>
      <c r="X247" s="17">
        <v>0</v>
      </c>
      <c r="Y247" s="17">
        <v>0</v>
      </c>
      <c r="Z247" s="17">
        <v>0</v>
      </c>
      <c r="AA247" s="17">
        <v>0</v>
      </c>
      <c r="AB247" s="17">
        <v>0</v>
      </c>
      <c r="AC247" s="17">
        <v>0</v>
      </c>
      <c r="AD247" s="17">
        <v>0</v>
      </c>
      <c r="AE247" s="17">
        <v>0</v>
      </c>
      <c r="AF247" s="17">
        <v>0</v>
      </c>
      <c r="AG247" s="17">
        <v>0</v>
      </c>
      <c r="AH247" s="17">
        <v>0</v>
      </c>
      <c r="AI247" s="17">
        <v>0</v>
      </c>
      <c r="AJ247" s="17">
        <v>0</v>
      </c>
      <c r="AK247" s="17">
        <v>0</v>
      </c>
      <c r="AL247" s="17">
        <v>0</v>
      </c>
      <c r="AM247" s="17">
        <v>0</v>
      </c>
      <c r="AN247" s="17">
        <v>0</v>
      </c>
      <c r="AO247" s="17">
        <v>0</v>
      </c>
      <c r="AP247" s="17">
        <v>0</v>
      </c>
      <c r="AQ247" s="17">
        <v>0</v>
      </c>
      <c r="AR247" s="17">
        <v>7</v>
      </c>
      <c r="AS247" s="17">
        <v>12</v>
      </c>
      <c r="AT247" s="17">
        <v>18</v>
      </c>
      <c r="AU247" s="17">
        <v>25</v>
      </c>
      <c r="AV247" s="17">
        <v>39</v>
      </c>
      <c r="AW247" s="17">
        <v>54</v>
      </c>
      <c r="AX247" s="17">
        <v>70</v>
      </c>
      <c r="AY247" s="17">
        <v>90</v>
      </c>
      <c r="AZ247" s="17">
        <v>138</v>
      </c>
      <c r="BA247" s="17">
        <v>211</v>
      </c>
      <c r="BB247" s="17">
        <v>370</v>
      </c>
      <c r="BC247" s="17">
        <v>598</v>
      </c>
      <c r="BD247" s="17">
        <v>880</v>
      </c>
      <c r="BE247" s="17">
        <v>1227</v>
      </c>
      <c r="BF247" s="17">
        <v>1641</v>
      </c>
      <c r="BG247" s="17">
        <v>2055</v>
      </c>
      <c r="BH247" s="17">
        <v>2591</v>
      </c>
      <c r="BI247" s="17">
        <v>3245</v>
      </c>
      <c r="BJ247" s="17">
        <v>3733</v>
      </c>
      <c r="BK247" s="17">
        <v>4099</v>
      </c>
      <c r="BL247" s="17">
        <v>4432</v>
      </c>
      <c r="BM247" s="17">
        <v>4773</v>
      </c>
      <c r="BN247" s="17">
        <v>5143</v>
      </c>
      <c r="BO247" s="17">
        <v>5486</v>
      </c>
      <c r="BP247" s="17">
        <v>5907</v>
      </c>
      <c r="BQ247" s="17">
        <v>6349</v>
      </c>
      <c r="BR247" s="17">
        <v>6759</v>
      </c>
      <c r="BS247" s="17">
        <v>7208</v>
      </c>
      <c r="BT247" s="17">
        <v>7576</v>
      </c>
      <c r="BU247" s="17">
        <v>7921</v>
      </c>
      <c r="BV247" s="17">
        <v>8162</v>
      </c>
      <c r="BW247" s="17">
        <v>8325</v>
      </c>
      <c r="BX247" s="17">
        <v>8458</v>
      </c>
      <c r="BY247" s="17">
        <v>8573</v>
      </c>
      <c r="BZ247" s="17">
        <v>8633</v>
      </c>
      <c r="CA247" s="17">
        <v>8663</v>
      </c>
      <c r="CB247" s="17">
        <v>8687</v>
      </c>
      <c r="CC247" s="17">
        <v>8710</v>
      </c>
      <c r="CD247" s="17">
        <v>8736</v>
      </c>
      <c r="CE247" s="17">
        <v>8747</v>
      </c>
      <c r="CF247" s="17">
        <v>8754</v>
      </c>
      <c r="CG247" s="17">
        <v>8760</v>
      </c>
      <c r="CH247" s="17">
        <v>8760</v>
      </c>
      <c r="CI247" s="17">
        <v>8760</v>
      </c>
      <c r="CJ247" s="17">
        <v>8760</v>
      </c>
      <c r="CK247" s="17">
        <v>8760</v>
      </c>
      <c r="CL247" s="17">
        <v>8760</v>
      </c>
      <c r="CM247" s="17">
        <v>8760</v>
      </c>
      <c r="CN247" s="17">
        <v>8760</v>
      </c>
      <c r="CO247" s="17">
        <v>8760</v>
      </c>
      <c r="CP247" s="17">
        <v>8760</v>
      </c>
      <c r="CQ247" s="17">
        <v>8760</v>
      </c>
      <c r="CR247" s="17">
        <v>8760</v>
      </c>
      <c r="CS247" s="17">
        <v>8760</v>
      </c>
      <c r="CT247" s="17">
        <v>8760</v>
      </c>
      <c r="CU247" s="17">
        <v>8760</v>
      </c>
      <c r="CV247" s="17">
        <v>8760</v>
      </c>
      <c r="CW247" s="17">
        <v>8760</v>
      </c>
      <c r="CX247" s="17">
        <v>8760</v>
      </c>
      <c r="CY247" s="17">
        <v>8760</v>
      </c>
      <c r="CZ247" s="17">
        <v>8760</v>
      </c>
      <c r="DA247" s="17">
        <v>8760</v>
      </c>
      <c r="DB247" s="17">
        <v>8760</v>
      </c>
    </row>
    <row r="248" spans="1:106" s="17" customFormat="1" x14ac:dyDescent="0.25">
      <c r="A248" s="22" t="s">
        <v>265</v>
      </c>
      <c r="B248" s="17" t="s">
        <v>415</v>
      </c>
    </row>
    <row r="249" spans="1:106" s="17" customFormat="1" x14ac:dyDescent="0.25">
      <c r="A249" s="22" t="s">
        <v>266</v>
      </c>
      <c r="B249" s="17" t="s">
        <v>265</v>
      </c>
      <c r="C249" s="17" t="s">
        <v>438</v>
      </c>
      <c r="D249" s="17" t="s">
        <v>847</v>
      </c>
      <c r="E249" s="17" t="s">
        <v>848</v>
      </c>
      <c r="F249" s="17">
        <v>102208</v>
      </c>
      <c r="G249" s="17">
        <v>0</v>
      </c>
      <c r="H249" s="17">
        <v>0</v>
      </c>
      <c r="I249" s="17">
        <v>0</v>
      </c>
      <c r="J249" s="17">
        <v>0</v>
      </c>
      <c r="K249" s="17">
        <v>0</v>
      </c>
      <c r="L249" s="17">
        <v>0</v>
      </c>
      <c r="M249" s="17">
        <v>0</v>
      </c>
      <c r="N249" s="17">
        <v>0</v>
      </c>
      <c r="O249" s="17">
        <v>0</v>
      </c>
      <c r="P249" s="17">
        <v>0</v>
      </c>
      <c r="Q249" s="17">
        <v>0</v>
      </c>
      <c r="R249" s="17">
        <v>0</v>
      </c>
      <c r="S249" s="17">
        <v>0</v>
      </c>
      <c r="T249" s="17">
        <v>0</v>
      </c>
      <c r="U249" s="17">
        <v>0</v>
      </c>
      <c r="V249" s="17">
        <v>0</v>
      </c>
      <c r="W249" s="17">
        <v>0</v>
      </c>
      <c r="X249" s="17">
        <v>0</v>
      </c>
      <c r="Y249" s="17">
        <v>0</v>
      </c>
      <c r="Z249" s="17">
        <v>0</v>
      </c>
      <c r="AA249" s="17">
        <v>0</v>
      </c>
      <c r="AB249" s="17">
        <v>0</v>
      </c>
      <c r="AC249" s="17">
        <v>0</v>
      </c>
      <c r="AD249" s="17">
        <v>0</v>
      </c>
      <c r="AE249" s="17">
        <v>0</v>
      </c>
      <c r="AF249" s="17">
        <v>0</v>
      </c>
      <c r="AG249" s="17">
        <v>0</v>
      </c>
      <c r="AH249" s="17">
        <v>0</v>
      </c>
      <c r="AI249" s="17">
        <v>0</v>
      </c>
      <c r="AJ249" s="17">
        <v>0</v>
      </c>
      <c r="AK249" s="17">
        <v>0</v>
      </c>
      <c r="AL249" s="17">
        <v>0</v>
      </c>
      <c r="AM249" s="17">
        <v>0</v>
      </c>
      <c r="AN249" s="17">
        <v>0</v>
      </c>
      <c r="AO249" s="17">
        <v>0</v>
      </c>
      <c r="AP249" s="17">
        <v>0</v>
      </c>
      <c r="AQ249" s="17">
        <v>0</v>
      </c>
      <c r="AR249" s="17">
        <v>1</v>
      </c>
      <c r="AS249" s="17">
        <v>11</v>
      </c>
      <c r="AT249" s="17">
        <v>24</v>
      </c>
      <c r="AU249" s="17">
        <v>51</v>
      </c>
      <c r="AV249" s="17">
        <v>90</v>
      </c>
      <c r="AW249" s="17">
        <v>121</v>
      </c>
      <c r="AX249" s="17">
        <v>167</v>
      </c>
      <c r="AY249" s="17">
        <v>243</v>
      </c>
      <c r="AZ249" s="17">
        <v>323</v>
      </c>
      <c r="BA249" s="17">
        <v>410</v>
      </c>
      <c r="BB249" s="17">
        <v>566</v>
      </c>
      <c r="BC249" s="17">
        <v>811</v>
      </c>
      <c r="BD249" s="17">
        <v>1155</v>
      </c>
      <c r="BE249" s="17">
        <v>1571</v>
      </c>
      <c r="BF249" s="17">
        <v>1986</v>
      </c>
      <c r="BG249" s="17">
        <v>2426</v>
      </c>
      <c r="BH249" s="17">
        <v>2862</v>
      </c>
      <c r="BI249" s="17">
        <v>3329</v>
      </c>
      <c r="BJ249" s="17">
        <v>3705</v>
      </c>
      <c r="BK249" s="17">
        <v>4074</v>
      </c>
      <c r="BL249" s="17">
        <v>4434</v>
      </c>
      <c r="BM249" s="17">
        <v>4784</v>
      </c>
      <c r="BN249" s="17">
        <v>5147</v>
      </c>
      <c r="BO249" s="17">
        <v>5564</v>
      </c>
      <c r="BP249" s="17">
        <v>5990</v>
      </c>
      <c r="BQ249" s="17">
        <v>6403</v>
      </c>
      <c r="BR249" s="17">
        <v>6774</v>
      </c>
      <c r="BS249" s="17">
        <v>7173</v>
      </c>
      <c r="BT249" s="17">
        <v>7551</v>
      </c>
      <c r="BU249" s="17">
        <v>7914</v>
      </c>
      <c r="BV249" s="17">
        <v>8167</v>
      </c>
      <c r="BW249" s="17">
        <v>8341</v>
      </c>
      <c r="BX249" s="17">
        <v>8453</v>
      </c>
      <c r="BY249" s="17">
        <v>8539</v>
      </c>
      <c r="BZ249" s="17">
        <v>8615</v>
      </c>
      <c r="CA249" s="17">
        <v>8660</v>
      </c>
      <c r="CB249" s="17">
        <v>8696</v>
      </c>
      <c r="CC249" s="17">
        <v>8721</v>
      </c>
      <c r="CD249" s="17">
        <v>8738</v>
      </c>
      <c r="CE249" s="17">
        <v>8746</v>
      </c>
      <c r="CF249" s="17">
        <v>8756</v>
      </c>
      <c r="CG249" s="17">
        <v>8760</v>
      </c>
      <c r="CH249" s="17">
        <v>8760</v>
      </c>
      <c r="CI249" s="17">
        <v>8760</v>
      </c>
      <c r="CJ249" s="17">
        <v>8760</v>
      </c>
      <c r="CK249" s="17">
        <v>8760</v>
      </c>
      <c r="CL249" s="17">
        <v>8760</v>
      </c>
      <c r="CM249" s="17">
        <v>8760</v>
      </c>
      <c r="CN249" s="17">
        <v>8760</v>
      </c>
      <c r="CO249" s="17">
        <v>8760</v>
      </c>
      <c r="CP249" s="17">
        <v>8760</v>
      </c>
      <c r="CQ249" s="17">
        <v>8760</v>
      </c>
      <c r="CR249" s="17">
        <v>8760</v>
      </c>
      <c r="CS249" s="17">
        <v>8760</v>
      </c>
      <c r="CT249" s="17">
        <v>8760</v>
      </c>
      <c r="CU249" s="17">
        <v>8760</v>
      </c>
      <c r="CV249" s="17">
        <v>8760</v>
      </c>
      <c r="CW249" s="17">
        <v>8760</v>
      </c>
      <c r="CX249" s="17">
        <v>8760</v>
      </c>
      <c r="CY249" s="17">
        <v>8760</v>
      </c>
      <c r="CZ249" s="17">
        <v>8760</v>
      </c>
      <c r="DA249" s="17">
        <v>8760</v>
      </c>
      <c r="DB249" s="17">
        <v>8760</v>
      </c>
    </row>
    <row r="250" spans="1:106" s="17" customFormat="1" x14ac:dyDescent="0.25">
      <c r="A250" s="22" t="s">
        <v>267</v>
      </c>
      <c r="B250" s="17" t="s">
        <v>267</v>
      </c>
      <c r="C250" s="17" t="s">
        <v>438</v>
      </c>
      <c r="D250" s="17" t="s">
        <v>849</v>
      </c>
      <c r="E250" s="17" t="s">
        <v>850</v>
      </c>
      <c r="F250" s="17">
        <v>102612</v>
      </c>
      <c r="G250" s="17">
        <v>0</v>
      </c>
      <c r="H250" s="17">
        <v>0</v>
      </c>
      <c r="I250" s="17">
        <v>0</v>
      </c>
      <c r="J250" s="17">
        <v>0</v>
      </c>
      <c r="K250" s="17">
        <v>0</v>
      </c>
      <c r="L250" s="17">
        <v>0</v>
      </c>
      <c r="M250" s="17">
        <v>0</v>
      </c>
      <c r="N250" s="17">
        <v>0</v>
      </c>
      <c r="O250" s="17">
        <v>0</v>
      </c>
      <c r="P250" s="17">
        <v>0</v>
      </c>
      <c r="Q250" s="17">
        <v>0</v>
      </c>
      <c r="R250" s="17">
        <v>0</v>
      </c>
      <c r="S250" s="17">
        <v>0</v>
      </c>
      <c r="T250" s="17">
        <v>0</v>
      </c>
      <c r="U250" s="17">
        <v>0</v>
      </c>
      <c r="V250" s="17">
        <v>0</v>
      </c>
      <c r="W250" s="17">
        <v>0</v>
      </c>
      <c r="X250" s="17">
        <v>0</v>
      </c>
      <c r="Y250" s="17">
        <v>0</v>
      </c>
      <c r="Z250" s="17">
        <v>0</v>
      </c>
      <c r="AA250" s="17">
        <v>0</v>
      </c>
      <c r="AB250" s="17">
        <v>0</v>
      </c>
      <c r="AC250" s="17">
        <v>0</v>
      </c>
      <c r="AD250" s="17">
        <v>0</v>
      </c>
      <c r="AE250" s="17">
        <v>0</v>
      </c>
      <c r="AF250" s="17">
        <v>0</v>
      </c>
      <c r="AG250" s="17">
        <v>0</v>
      </c>
      <c r="AH250" s="17">
        <v>0</v>
      </c>
      <c r="AI250" s="17">
        <v>0</v>
      </c>
      <c r="AJ250" s="17">
        <v>0</v>
      </c>
      <c r="AK250" s="17">
        <v>0</v>
      </c>
      <c r="AL250" s="17">
        <v>0</v>
      </c>
      <c r="AM250" s="17">
        <v>0</v>
      </c>
      <c r="AN250" s="17">
        <v>3</v>
      </c>
      <c r="AO250" s="17">
        <v>11</v>
      </c>
      <c r="AP250" s="17">
        <v>15</v>
      </c>
      <c r="AQ250" s="17">
        <v>18</v>
      </c>
      <c r="AR250" s="17">
        <v>23</v>
      </c>
      <c r="AS250" s="17">
        <v>33</v>
      </c>
      <c r="AT250" s="17">
        <v>39</v>
      </c>
      <c r="AU250" s="17">
        <v>66</v>
      </c>
      <c r="AV250" s="17">
        <v>103</v>
      </c>
      <c r="AW250" s="17">
        <v>159</v>
      </c>
      <c r="AX250" s="17">
        <v>263</v>
      </c>
      <c r="AY250" s="17">
        <v>412</v>
      </c>
      <c r="AZ250" s="17">
        <v>575</v>
      </c>
      <c r="BA250" s="17">
        <v>737</v>
      </c>
      <c r="BB250" s="17">
        <v>974</v>
      </c>
      <c r="BC250" s="17">
        <v>1278</v>
      </c>
      <c r="BD250" s="17">
        <v>1611</v>
      </c>
      <c r="BE250" s="17">
        <v>2077</v>
      </c>
      <c r="BF250" s="17">
        <v>2568</v>
      </c>
      <c r="BG250" s="17">
        <v>3022</v>
      </c>
      <c r="BH250" s="17">
        <v>3459</v>
      </c>
      <c r="BI250" s="17">
        <v>3868</v>
      </c>
      <c r="BJ250" s="17">
        <v>4245</v>
      </c>
      <c r="BK250" s="17">
        <v>4596</v>
      </c>
      <c r="BL250" s="17">
        <v>4936</v>
      </c>
      <c r="BM250" s="17">
        <v>5281</v>
      </c>
      <c r="BN250" s="17">
        <v>5583</v>
      </c>
      <c r="BO250" s="17">
        <v>5897</v>
      </c>
      <c r="BP250" s="17">
        <v>6231</v>
      </c>
      <c r="BQ250" s="17">
        <v>6554</v>
      </c>
      <c r="BR250" s="17">
        <v>6912</v>
      </c>
      <c r="BS250" s="17">
        <v>7277</v>
      </c>
      <c r="BT250" s="17">
        <v>7608</v>
      </c>
      <c r="BU250" s="17">
        <v>7917</v>
      </c>
      <c r="BV250" s="17">
        <v>8177</v>
      </c>
      <c r="BW250" s="17">
        <v>8351</v>
      </c>
      <c r="BX250" s="17">
        <v>8506</v>
      </c>
      <c r="BY250" s="17">
        <v>8618</v>
      </c>
      <c r="BZ250" s="17">
        <v>8691</v>
      </c>
      <c r="CA250" s="17">
        <v>8731</v>
      </c>
      <c r="CB250" s="17">
        <v>8752</v>
      </c>
      <c r="CC250" s="17">
        <v>8760</v>
      </c>
      <c r="CD250" s="17">
        <v>8760</v>
      </c>
      <c r="CE250" s="17">
        <v>8760</v>
      </c>
      <c r="CF250" s="17">
        <v>8760</v>
      </c>
      <c r="CG250" s="17">
        <v>8760</v>
      </c>
      <c r="CH250" s="17">
        <v>8760</v>
      </c>
      <c r="CI250" s="17">
        <v>8760</v>
      </c>
      <c r="CJ250" s="17">
        <v>8760</v>
      </c>
      <c r="CK250" s="17">
        <v>8760</v>
      </c>
      <c r="CL250" s="17">
        <v>8760</v>
      </c>
      <c r="CM250" s="17">
        <v>8760</v>
      </c>
      <c r="CN250" s="17">
        <v>8760</v>
      </c>
      <c r="CO250" s="17">
        <v>8760</v>
      </c>
      <c r="CP250" s="17">
        <v>8760</v>
      </c>
      <c r="CQ250" s="17">
        <v>8760</v>
      </c>
      <c r="CR250" s="17">
        <v>8760</v>
      </c>
      <c r="CS250" s="17">
        <v>8760</v>
      </c>
      <c r="CT250" s="17">
        <v>8760</v>
      </c>
      <c r="CU250" s="17">
        <v>8760</v>
      </c>
      <c r="CV250" s="17">
        <v>8760</v>
      </c>
      <c r="CW250" s="17">
        <v>8760</v>
      </c>
      <c r="CX250" s="17">
        <v>8760</v>
      </c>
      <c r="CY250" s="17">
        <v>8760</v>
      </c>
      <c r="CZ250" s="17">
        <v>8760</v>
      </c>
      <c r="DA250" s="17">
        <v>8760</v>
      </c>
      <c r="DB250" s="17">
        <v>8760</v>
      </c>
    </row>
    <row r="251" spans="1:106" s="17" customFormat="1" x14ac:dyDescent="0.25">
      <c r="A251" s="22" t="s">
        <v>268</v>
      </c>
      <c r="B251" s="17" t="s">
        <v>266</v>
      </c>
      <c r="C251" s="17" t="s">
        <v>438</v>
      </c>
      <c r="D251" s="17" t="s">
        <v>851</v>
      </c>
      <c r="E251" s="17" t="s">
        <v>852</v>
      </c>
      <c r="F251" s="17">
        <v>102613</v>
      </c>
      <c r="G251" s="17">
        <v>0</v>
      </c>
      <c r="H251" s="17">
        <v>0</v>
      </c>
      <c r="I251" s="17">
        <v>0</v>
      </c>
      <c r="J251" s="17">
        <v>0</v>
      </c>
      <c r="K251" s="17">
        <v>0</v>
      </c>
      <c r="L251" s="17">
        <v>0</v>
      </c>
      <c r="M251" s="17">
        <v>0</v>
      </c>
      <c r="N251" s="17">
        <v>0</v>
      </c>
      <c r="O251" s="17">
        <v>0</v>
      </c>
      <c r="P251" s="17">
        <v>0</v>
      </c>
      <c r="Q251" s="17">
        <v>0</v>
      </c>
      <c r="R251" s="17">
        <v>0</v>
      </c>
      <c r="S251" s="17">
        <v>0</v>
      </c>
      <c r="T251" s="17">
        <v>0</v>
      </c>
      <c r="U251" s="17">
        <v>0</v>
      </c>
      <c r="V251" s="17">
        <v>0</v>
      </c>
      <c r="W251" s="17">
        <v>0</v>
      </c>
      <c r="X251" s="17">
        <v>0</v>
      </c>
      <c r="Y251" s="17">
        <v>0</v>
      </c>
      <c r="Z251" s="17">
        <v>0</v>
      </c>
      <c r="AA251" s="17">
        <v>0</v>
      </c>
      <c r="AB251" s="17">
        <v>0</v>
      </c>
      <c r="AC251" s="17">
        <v>0</v>
      </c>
      <c r="AD251" s="17">
        <v>0</v>
      </c>
      <c r="AE251" s="17">
        <v>0</v>
      </c>
      <c r="AF251" s="17">
        <v>0</v>
      </c>
      <c r="AG251" s="17">
        <v>0</v>
      </c>
      <c r="AH251" s="17">
        <v>0</v>
      </c>
      <c r="AI251" s="17">
        <v>0</v>
      </c>
      <c r="AJ251" s="17">
        <v>0</v>
      </c>
      <c r="AK251" s="17">
        <v>0</v>
      </c>
      <c r="AL251" s="17">
        <v>0</v>
      </c>
      <c r="AM251" s="17">
        <v>13</v>
      </c>
      <c r="AN251" s="17">
        <v>20</v>
      </c>
      <c r="AO251" s="17">
        <v>31</v>
      </c>
      <c r="AP251" s="17">
        <v>57</v>
      </c>
      <c r="AQ251" s="17">
        <v>71</v>
      </c>
      <c r="AR251" s="17">
        <v>84</v>
      </c>
      <c r="AS251" s="17">
        <v>103</v>
      </c>
      <c r="AT251" s="17">
        <v>130</v>
      </c>
      <c r="AU251" s="17">
        <v>174</v>
      </c>
      <c r="AV251" s="17">
        <v>244</v>
      </c>
      <c r="AW251" s="17">
        <v>357</v>
      </c>
      <c r="AX251" s="17">
        <v>453</v>
      </c>
      <c r="AY251" s="17">
        <v>593</v>
      </c>
      <c r="AZ251" s="17">
        <v>727</v>
      </c>
      <c r="BA251" s="17">
        <v>866</v>
      </c>
      <c r="BB251" s="17">
        <v>1133</v>
      </c>
      <c r="BC251" s="17">
        <v>1442</v>
      </c>
      <c r="BD251" s="17">
        <v>1751</v>
      </c>
      <c r="BE251" s="17">
        <v>2178</v>
      </c>
      <c r="BF251" s="17">
        <v>2627</v>
      </c>
      <c r="BG251" s="17">
        <v>3034</v>
      </c>
      <c r="BH251" s="17">
        <v>3430</v>
      </c>
      <c r="BI251" s="17">
        <v>3784</v>
      </c>
      <c r="BJ251" s="17">
        <v>4112</v>
      </c>
      <c r="BK251" s="17">
        <v>4455</v>
      </c>
      <c r="BL251" s="17">
        <v>4794</v>
      </c>
      <c r="BM251" s="17">
        <v>5107</v>
      </c>
      <c r="BN251" s="17">
        <v>5450</v>
      </c>
      <c r="BO251" s="17">
        <v>5775</v>
      </c>
      <c r="BP251" s="17">
        <v>6119</v>
      </c>
      <c r="BQ251" s="17">
        <v>6432</v>
      </c>
      <c r="BR251" s="17">
        <v>6816</v>
      </c>
      <c r="BS251" s="17">
        <v>7157</v>
      </c>
      <c r="BT251" s="17">
        <v>7480</v>
      </c>
      <c r="BU251" s="17">
        <v>7788</v>
      </c>
      <c r="BV251" s="17">
        <v>8034</v>
      </c>
      <c r="BW251" s="17">
        <v>8215</v>
      </c>
      <c r="BX251" s="17">
        <v>8365</v>
      </c>
      <c r="BY251" s="17">
        <v>8482</v>
      </c>
      <c r="BZ251" s="17">
        <v>8565</v>
      </c>
      <c r="CA251" s="17">
        <v>8624</v>
      </c>
      <c r="CB251" s="17">
        <v>8664</v>
      </c>
      <c r="CC251" s="17">
        <v>8693</v>
      </c>
      <c r="CD251" s="17">
        <v>8729</v>
      </c>
      <c r="CE251" s="17">
        <v>8742</v>
      </c>
      <c r="CF251" s="17">
        <v>8752</v>
      </c>
      <c r="CG251" s="17">
        <v>8756</v>
      </c>
      <c r="CH251" s="17">
        <v>8759</v>
      </c>
      <c r="CI251" s="17">
        <v>8760</v>
      </c>
      <c r="CJ251" s="17">
        <v>8760</v>
      </c>
      <c r="CK251" s="17">
        <v>8760</v>
      </c>
      <c r="CL251" s="17">
        <v>8760</v>
      </c>
      <c r="CM251" s="17">
        <v>8760</v>
      </c>
      <c r="CN251" s="17">
        <v>8760</v>
      </c>
      <c r="CO251" s="17">
        <v>8760</v>
      </c>
      <c r="CP251" s="17">
        <v>8760</v>
      </c>
      <c r="CQ251" s="17">
        <v>8760</v>
      </c>
      <c r="CR251" s="17">
        <v>8760</v>
      </c>
      <c r="CS251" s="17">
        <v>8760</v>
      </c>
      <c r="CT251" s="17">
        <v>8760</v>
      </c>
      <c r="CU251" s="17">
        <v>8760</v>
      </c>
      <c r="CV251" s="17">
        <v>8760</v>
      </c>
      <c r="CW251" s="17">
        <v>8760</v>
      </c>
      <c r="CX251" s="17">
        <v>8760</v>
      </c>
      <c r="CY251" s="17">
        <v>8760</v>
      </c>
      <c r="CZ251" s="17">
        <v>8760</v>
      </c>
      <c r="DA251" s="17">
        <v>8760</v>
      </c>
      <c r="DB251" s="17">
        <v>8760</v>
      </c>
    </row>
    <row r="252" spans="1:106" s="17" customFormat="1" x14ac:dyDescent="0.25">
      <c r="A252" s="22" t="s">
        <v>269</v>
      </c>
      <c r="B252" s="17" t="s">
        <v>268</v>
      </c>
      <c r="C252" s="17" t="s">
        <v>438</v>
      </c>
      <c r="D252" s="17" t="s">
        <v>533</v>
      </c>
      <c r="E252" s="17" t="s">
        <v>853</v>
      </c>
      <c r="F252" s="17">
        <v>102534</v>
      </c>
      <c r="G252" s="17">
        <v>0</v>
      </c>
      <c r="H252" s="17">
        <v>0</v>
      </c>
      <c r="I252" s="17">
        <v>0</v>
      </c>
      <c r="J252" s="17">
        <v>0</v>
      </c>
      <c r="K252" s="17">
        <v>0</v>
      </c>
      <c r="L252" s="17">
        <v>0</v>
      </c>
      <c r="M252" s="17">
        <v>0</v>
      </c>
      <c r="N252" s="17">
        <v>0</v>
      </c>
      <c r="O252" s="17">
        <v>0</v>
      </c>
      <c r="P252" s="17">
        <v>0</v>
      </c>
      <c r="Q252" s="17">
        <v>0</v>
      </c>
      <c r="R252" s="17">
        <v>0</v>
      </c>
      <c r="S252" s="17">
        <v>0</v>
      </c>
      <c r="T252" s="17">
        <v>0</v>
      </c>
      <c r="U252" s="17">
        <v>0</v>
      </c>
      <c r="V252" s="17">
        <v>0</v>
      </c>
      <c r="W252" s="17">
        <v>0</v>
      </c>
      <c r="X252" s="17">
        <v>0</v>
      </c>
      <c r="Y252" s="17">
        <v>0</v>
      </c>
      <c r="Z252" s="17">
        <v>0</v>
      </c>
      <c r="AA252" s="17">
        <v>0</v>
      </c>
      <c r="AB252" s="17">
        <v>0</v>
      </c>
      <c r="AC252" s="17">
        <v>0</v>
      </c>
      <c r="AD252" s="17">
        <v>0</v>
      </c>
      <c r="AE252" s="17">
        <v>0</v>
      </c>
      <c r="AF252" s="17">
        <v>0</v>
      </c>
      <c r="AG252" s="17">
        <v>0</v>
      </c>
      <c r="AH252" s="17">
        <v>0</v>
      </c>
      <c r="AI252" s="17">
        <v>4</v>
      </c>
      <c r="AJ252" s="17">
        <v>16</v>
      </c>
      <c r="AK252" s="17">
        <v>30</v>
      </c>
      <c r="AL252" s="17">
        <v>52</v>
      </c>
      <c r="AM252" s="17">
        <v>64</v>
      </c>
      <c r="AN252" s="17">
        <v>94</v>
      </c>
      <c r="AO252" s="17">
        <v>113</v>
      </c>
      <c r="AP252" s="17">
        <v>140</v>
      </c>
      <c r="AQ252" s="17">
        <v>164</v>
      </c>
      <c r="AR252" s="17">
        <v>194</v>
      </c>
      <c r="AS252" s="17">
        <v>244</v>
      </c>
      <c r="AT252" s="17">
        <v>302</v>
      </c>
      <c r="AU252" s="17">
        <v>364</v>
      </c>
      <c r="AV252" s="17">
        <v>450</v>
      </c>
      <c r="AW252" s="17">
        <v>553</v>
      </c>
      <c r="AX252" s="17">
        <v>679</v>
      </c>
      <c r="AY252" s="17">
        <v>843</v>
      </c>
      <c r="AZ252" s="17">
        <v>1044</v>
      </c>
      <c r="BA252" s="17">
        <v>1299</v>
      </c>
      <c r="BB252" s="17">
        <v>1584</v>
      </c>
      <c r="BC252" s="17">
        <v>1871</v>
      </c>
      <c r="BD252" s="17">
        <v>2266</v>
      </c>
      <c r="BE252" s="17">
        <v>2692</v>
      </c>
      <c r="BF252" s="17">
        <v>3075</v>
      </c>
      <c r="BG252" s="17">
        <v>3493</v>
      </c>
      <c r="BH252" s="17">
        <v>3834</v>
      </c>
      <c r="BI252" s="17">
        <v>4148</v>
      </c>
      <c r="BJ252" s="17">
        <v>4469</v>
      </c>
      <c r="BK252" s="17">
        <v>4849</v>
      </c>
      <c r="BL252" s="17">
        <v>5207</v>
      </c>
      <c r="BM252" s="17">
        <v>5530</v>
      </c>
      <c r="BN252" s="17">
        <v>5909</v>
      </c>
      <c r="BO252" s="17">
        <v>6279</v>
      </c>
      <c r="BP252" s="17">
        <v>6639</v>
      </c>
      <c r="BQ252" s="17">
        <v>6935</v>
      </c>
      <c r="BR252" s="17">
        <v>7254</v>
      </c>
      <c r="BS252" s="17">
        <v>7545</v>
      </c>
      <c r="BT252" s="17">
        <v>7817</v>
      </c>
      <c r="BU252" s="17">
        <v>8056</v>
      </c>
      <c r="BV252" s="17">
        <v>8225</v>
      </c>
      <c r="BW252" s="17">
        <v>8413</v>
      </c>
      <c r="BX252" s="17">
        <v>8540</v>
      </c>
      <c r="BY252" s="17">
        <v>8634</v>
      </c>
      <c r="BZ252" s="17">
        <v>8709</v>
      </c>
      <c r="CA252" s="17">
        <v>8736</v>
      </c>
      <c r="CB252" s="17">
        <v>8748</v>
      </c>
      <c r="CC252" s="17">
        <v>8756</v>
      </c>
      <c r="CD252" s="17">
        <v>8760</v>
      </c>
      <c r="CE252" s="17">
        <v>8760</v>
      </c>
      <c r="CF252" s="17">
        <v>8760</v>
      </c>
      <c r="CG252" s="17">
        <v>8760</v>
      </c>
      <c r="CH252" s="17">
        <v>8760</v>
      </c>
      <c r="CI252" s="17">
        <v>8760</v>
      </c>
      <c r="CJ252" s="17">
        <v>8760</v>
      </c>
      <c r="CK252" s="17">
        <v>8760</v>
      </c>
      <c r="CL252" s="17">
        <v>8760</v>
      </c>
      <c r="CM252" s="17">
        <v>8760</v>
      </c>
      <c r="CN252" s="17">
        <v>8760</v>
      </c>
      <c r="CO252" s="17">
        <v>8760</v>
      </c>
      <c r="CP252" s="17">
        <v>8760</v>
      </c>
      <c r="CQ252" s="17">
        <v>8760</v>
      </c>
      <c r="CR252" s="17">
        <v>8760</v>
      </c>
      <c r="CS252" s="17">
        <v>8760</v>
      </c>
      <c r="CT252" s="17">
        <v>8760</v>
      </c>
      <c r="CU252" s="17">
        <v>8760</v>
      </c>
      <c r="CV252" s="17">
        <v>8760</v>
      </c>
      <c r="CW252" s="17">
        <v>8760</v>
      </c>
      <c r="CX252" s="17">
        <v>8760</v>
      </c>
      <c r="CY252" s="17">
        <v>8760</v>
      </c>
      <c r="CZ252" s="17">
        <v>8760</v>
      </c>
      <c r="DA252" s="17">
        <v>8760</v>
      </c>
      <c r="DB252" s="17">
        <v>8760</v>
      </c>
    </row>
    <row r="253" spans="1:106" s="17" customFormat="1" x14ac:dyDescent="0.25">
      <c r="A253" s="22" t="s">
        <v>270</v>
      </c>
      <c r="B253" s="17" t="s">
        <v>269</v>
      </c>
      <c r="C253" s="17" t="s">
        <v>438</v>
      </c>
      <c r="D253" s="17" t="s">
        <v>854</v>
      </c>
      <c r="E253" s="17" t="s">
        <v>855</v>
      </c>
      <c r="F253" s="17">
        <v>102808</v>
      </c>
      <c r="G253" s="17">
        <v>0</v>
      </c>
      <c r="H253" s="17">
        <v>0</v>
      </c>
      <c r="I253" s="17">
        <v>0</v>
      </c>
      <c r="J253" s="17">
        <v>0</v>
      </c>
      <c r="K253" s="17">
        <v>0</v>
      </c>
      <c r="L253" s="17">
        <v>0</v>
      </c>
      <c r="M253" s="17">
        <v>0</v>
      </c>
      <c r="N253" s="17">
        <v>0</v>
      </c>
      <c r="O253" s="17">
        <v>0</v>
      </c>
      <c r="P253" s="17">
        <v>0</v>
      </c>
      <c r="Q253" s="17">
        <v>0</v>
      </c>
      <c r="R253" s="17">
        <v>0</v>
      </c>
      <c r="S253" s="17">
        <v>0</v>
      </c>
      <c r="T253" s="17">
        <v>0</v>
      </c>
      <c r="U253" s="17">
        <v>0</v>
      </c>
      <c r="V253" s="17">
        <v>0</v>
      </c>
      <c r="W253" s="17">
        <v>0</v>
      </c>
      <c r="X253" s="17">
        <v>0</v>
      </c>
      <c r="Y253" s="17">
        <v>0</v>
      </c>
      <c r="Z253" s="17">
        <v>0</v>
      </c>
      <c r="AA253" s="17">
        <v>0</v>
      </c>
      <c r="AB253" s="17">
        <v>0</v>
      </c>
      <c r="AC253" s="17">
        <v>0</v>
      </c>
      <c r="AD253" s="17">
        <v>0</v>
      </c>
      <c r="AE253" s="17">
        <v>0</v>
      </c>
      <c r="AF253" s="17">
        <v>0</v>
      </c>
      <c r="AG253" s="17">
        <v>0</v>
      </c>
      <c r="AH253" s="17">
        <v>1</v>
      </c>
      <c r="AI253" s="17">
        <v>10</v>
      </c>
      <c r="AJ253" s="17">
        <v>25</v>
      </c>
      <c r="AK253" s="17">
        <v>55</v>
      </c>
      <c r="AL253" s="17">
        <v>102</v>
      </c>
      <c r="AM253" s="17">
        <v>127</v>
      </c>
      <c r="AN253" s="17">
        <v>152</v>
      </c>
      <c r="AO253" s="17">
        <v>188</v>
      </c>
      <c r="AP253" s="17">
        <v>222</v>
      </c>
      <c r="AQ253" s="17">
        <v>258</v>
      </c>
      <c r="AR253" s="17">
        <v>314</v>
      </c>
      <c r="AS253" s="17">
        <v>369</v>
      </c>
      <c r="AT253" s="17">
        <v>463</v>
      </c>
      <c r="AU253" s="17">
        <v>604</v>
      </c>
      <c r="AV253" s="17">
        <v>752</v>
      </c>
      <c r="AW253" s="17">
        <v>931</v>
      </c>
      <c r="AX253" s="17">
        <v>1184</v>
      </c>
      <c r="AY253" s="17">
        <v>1456</v>
      </c>
      <c r="AZ253" s="17">
        <v>1741</v>
      </c>
      <c r="BA253" s="17">
        <v>2109</v>
      </c>
      <c r="BB253" s="17">
        <v>2576</v>
      </c>
      <c r="BC253" s="17">
        <v>2981</v>
      </c>
      <c r="BD253" s="17">
        <v>3490</v>
      </c>
      <c r="BE253" s="17">
        <v>3941</v>
      </c>
      <c r="BF253" s="17">
        <v>4370</v>
      </c>
      <c r="BG253" s="17">
        <v>4781</v>
      </c>
      <c r="BH253" s="17">
        <v>5182</v>
      </c>
      <c r="BI253" s="17">
        <v>5575</v>
      </c>
      <c r="BJ253" s="17">
        <v>5906</v>
      </c>
      <c r="BK253" s="17">
        <v>6253</v>
      </c>
      <c r="BL253" s="17">
        <v>6603</v>
      </c>
      <c r="BM253" s="17">
        <v>6942</v>
      </c>
      <c r="BN253" s="17">
        <v>7253</v>
      </c>
      <c r="BO253" s="17">
        <v>7554</v>
      </c>
      <c r="BP253" s="17">
        <v>7815</v>
      </c>
      <c r="BQ253" s="17">
        <v>8029</v>
      </c>
      <c r="BR253" s="17">
        <v>8216</v>
      </c>
      <c r="BS253" s="17">
        <v>8345</v>
      </c>
      <c r="BT253" s="17">
        <v>8462</v>
      </c>
      <c r="BU253" s="17">
        <v>8534</v>
      </c>
      <c r="BV253" s="17">
        <v>8591</v>
      </c>
      <c r="BW253" s="17">
        <v>8636</v>
      </c>
      <c r="BX253" s="17">
        <v>8672</v>
      </c>
      <c r="BY253" s="17">
        <v>8699</v>
      </c>
      <c r="BZ253" s="17">
        <v>8718</v>
      </c>
      <c r="CA253" s="17">
        <v>8734</v>
      </c>
      <c r="CB253" s="17">
        <v>8739</v>
      </c>
      <c r="CC253" s="17">
        <v>8745</v>
      </c>
      <c r="CD253" s="17">
        <v>8756</v>
      </c>
      <c r="CE253" s="17">
        <v>8759</v>
      </c>
      <c r="CF253" s="17">
        <v>8760</v>
      </c>
      <c r="CG253" s="17">
        <v>8760</v>
      </c>
      <c r="CH253" s="17">
        <v>8760</v>
      </c>
      <c r="CI253" s="17">
        <v>8760</v>
      </c>
      <c r="CJ253" s="17">
        <v>8760</v>
      </c>
      <c r="CK253" s="17">
        <v>8760</v>
      </c>
      <c r="CL253" s="17">
        <v>8760</v>
      </c>
      <c r="CM253" s="17">
        <v>8760</v>
      </c>
      <c r="CN253" s="17">
        <v>8760</v>
      </c>
      <c r="CO253" s="17">
        <v>8760</v>
      </c>
      <c r="CP253" s="17">
        <v>8760</v>
      </c>
      <c r="CQ253" s="17">
        <v>8760</v>
      </c>
      <c r="CR253" s="17">
        <v>8760</v>
      </c>
      <c r="CS253" s="17">
        <v>8760</v>
      </c>
      <c r="CT253" s="17">
        <v>8760</v>
      </c>
      <c r="CU253" s="17">
        <v>8760</v>
      </c>
      <c r="CV253" s="17">
        <v>8760</v>
      </c>
      <c r="CW253" s="17">
        <v>8760</v>
      </c>
      <c r="CX253" s="17">
        <v>8760</v>
      </c>
      <c r="CY253" s="17">
        <v>8760</v>
      </c>
      <c r="CZ253" s="17">
        <v>8760</v>
      </c>
      <c r="DA253" s="17">
        <v>8760</v>
      </c>
      <c r="DB253" s="17">
        <v>8760</v>
      </c>
    </row>
    <row r="254" spans="1:106" s="17" customFormat="1" x14ac:dyDescent="0.25">
      <c r="A254" s="22" t="s">
        <v>271</v>
      </c>
      <c r="B254" s="17" t="s">
        <v>270</v>
      </c>
      <c r="C254" s="17" t="s">
        <v>438</v>
      </c>
      <c r="D254" s="17" t="s">
        <v>856</v>
      </c>
      <c r="E254" s="17" t="s">
        <v>857</v>
      </c>
      <c r="F254" s="17">
        <v>102909</v>
      </c>
      <c r="G254" s="17">
        <v>0</v>
      </c>
      <c r="H254" s="17">
        <v>0</v>
      </c>
      <c r="I254" s="17">
        <v>0</v>
      </c>
      <c r="J254" s="17">
        <v>0</v>
      </c>
      <c r="K254" s="17">
        <v>0</v>
      </c>
      <c r="L254" s="17">
        <v>0</v>
      </c>
      <c r="M254" s="17">
        <v>0</v>
      </c>
      <c r="N254" s="17">
        <v>0</v>
      </c>
      <c r="O254" s="17">
        <v>0</v>
      </c>
      <c r="P254" s="17">
        <v>0</v>
      </c>
      <c r="Q254" s="17">
        <v>0</v>
      </c>
      <c r="R254" s="17">
        <v>0</v>
      </c>
      <c r="S254" s="17">
        <v>0</v>
      </c>
      <c r="T254" s="17">
        <v>0</v>
      </c>
      <c r="U254" s="17">
        <v>0</v>
      </c>
      <c r="V254" s="17">
        <v>0</v>
      </c>
      <c r="W254" s="17">
        <v>0</v>
      </c>
      <c r="X254" s="17">
        <v>1</v>
      </c>
      <c r="Y254" s="17">
        <v>3</v>
      </c>
      <c r="Z254" s="17">
        <v>26</v>
      </c>
      <c r="AA254" s="17">
        <v>50</v>
      </c>
      <c r="AB254" s="17">
        <v>63</v>
      </c>
      <c r="AC254" s="17">
        <v>79</v>
      </c>
      <c r="AD254" s="17">
        <v>129</v>
      </c>
      <c r="AE254" s="17">
        <v>169</v>
      </c>
      <c r="AF254" s="17">
        <v>204</v>
      </c>
      <c r="AG254" s="17">
        <v>228</v>
      </c>
      <c r="AH254" s="17">
        <v>264</v>
      </c>
      <c r="AI254" s="17">
        <v>304</v>
      </c>
      <c r="AJ254" s="17">
        <v>348</v>
      </c>
      <c r="AK254" s="17">
        <v>394</v>
      </c>
      <c r="AL254" s="17">
        <v>482</v>
      </c>
      <c r="AM254" s="17">
        <v>560</v>
      </c>
      <c r="AN254" s="17">
        <v>626</v>
      </c>
      <c r="AO254" s="17">
        <v>730</v>
      </c>
      <c r="AP254" s="17">
        <v>806</v>
      </c>
      <c r="AQ254" s="17">
        <v>891</v>
      </c>
      <c r="AR254" s="17">
        <v>967</v>
      </c>
      <c r="AS254" s="17">
        <v>1053</v>
      </c>
      <c r="AT254" s="17">
        <v>1164</v>
      </c>
      <c r="AU254" s="17">
        <v>1323</v>
      </c>
      <c r="AV254" s="17">
        <v>1468</v>
      </c>
      <c r="AW254" s="17">
        <v>1667</v>
      </c>
      <c r="AX254" s="17">
        <v>1881</v>
      </c>
      <c r="AY254" s="17">
        <v>2084</v>
      </c>
      <c r="AZ254" s="17">
        <v>2343</v>
      </c>
      <c r="BA254" s="17">
        <v>2603</v>
      </c>
      <c r="BB254" s="17">
        <v>2920</v>
      </c>
      <c r="BC254" s="17">
        <v>3256</v>
      </c>
      <c r="BD254" s="17">
        <v>3667</v>
      </c>
      <c r="BE254" s="17">
        <v>4052</v>
      </c>
      <c r="BF254" s="17">
        <v>4367</v>
      </c>
      <c r="BG254" s="17">
        <v>4685</v>
      </c>
      <c r="BH254" s="17">
        <v>5000</v>
      </c>
      <c r="BI254" s="17">
        <v>5297</v>
      </c>
      <c r="BJ254" s="17">
        <v>5623</v>
      </c>
      <c r="BK254" s="17">
        <v>5880</v>
      </c>
      <c r="BL254" s="17">
        <v>6160</v>
      </c>
      <c r="BM254" s="17">
        <v>6528</v>
      </c>
      <c r="BN254" s="17">
        <v>6917</v>
      </c>
      <c r="BO254" s="17">
        <v>7254</v>
      </c>
      <c r="BP254" s="17">
        <v>7565</v>
      </c>
      <c r="BQ254" s="17">
        <v>7813</v>
      </c>
      <c r="BR254" s="17">
        <v>8026</v>
      </c>
      <c r="BS254" s="17">
        <v>8192</v>
      </c>
      <c r="BT254" s="17">
        <v>8338</v>
      </c>
      <c r="BU254" s="17">
        <v>8465</v>
      </c>
      <c r="BV254" s="17">
        <v>8560</v>
      </c>
      <c r="BW254" s="17">
        <v>8614</v>
      </c>
      <c r="BX254" s="17">
        <v>8665</v>
      </c>
      <c r="BY254" s="17">
        <v>8703</v>
      </c>
      <c r="BZ254" s="17">
        <v>8726</v>
      </c>
      <c r="CA254" s="17">
        <v>8739</v>
      </c>
      <c r="CB254" s="17">
        <v>8748</v>
      </c>
      <c r="CC254" s="17">
        <v>8751</v>
      </c>
      <c r="CD254" s="17">
        <v>8753</v>
      </c>
      <c r="CE254" s="17">
        <v>8756</v>
      </c>
      <c r="CF254" s="17">
        <v>8758</v>
      </c>
      <c r="CG254" s="17">
        <v>8759</v>
      </c>
      <c r="CH254" s="17">
        <v>8760</v>
      </c>
      <c r="CI254" s="17">
        <v>8760</v>
      </c>
      <c r="CJ254" s="17">
        <v>8760</v>
      </c>
      <c r="CK254" s="17">
        <v>8760</v>
      </c>
      <c r="CL254" s="17">
        <v>8760</v>
      </c>
      <c r="CM254" s="17">
        <v>8760</v>
      </c>
      <c r="CN254" s="17">
        <v>8760</v>
      </c>
      <c r="CO254" s="17">
        <v>8760</v>
      </c>
      <c r="CP254" s="17">
        <v>8760</v>
      </c>
      <c r="CQ254" s="17">
        <v>8760</v>
      </c>
      <c r="CR254" s="17">
        <v>8760</v>
      </c>
      <c r="CS254" s="17">
        <v>8760</v>
      </c>
      <c r="CT254" s="17">
        <v>8760</v>
      </c>
      <c r="CU254" s="17">
        <v>8760</v>
      </c>
      <c r="CV254" s="17">
        <v>8760</v>
      </c>
      <c r="CW254" s="17">
        <v>8760</v>
      </c>
      <c r="CX254" s="17">
        <v>8760</v>
      </c>
      <c r="CY254" s="17">
        <v>8760</v>
      </c>
      <c r="CZ254" s="17">
        <v>8760</v>
      </c>
      <c r="DA254" s="17">
        <v>8760</v>
      </c>
      <c r="DB254" s="17">
        <v>8760</v>
      </c>
    </row>
    <row r="255" spans="1:106" s="17" customFormat="1" x14ac:dyDescent="0.25">
      <c r="A255" s="22" t="s">
        <v>272</v>
      </c>
      <c r="B255" s="17" t="s">
        <v>271</v>
      </c>
      <c r="C255" s="17" t="s">
        <v>438</v>
      </c>
      <c r="D255" s="17" t="s">
        <v>858</v>
      </c>
      <c r="E255" s="17" t="s">
        <v>859</v>
      </c>
      <c r="F255" s="17">
        <v>102416</v>
      </c>
      <c r="G255" s="17">
        <v>0</v>
      </c>
      <c r="H255" s="17">
        <v>0</v>
      </c>
      <c r="I255" s="17">
        <v>0</v>
      </c>
      <c r="J255" s="17">
        <v>0</v>
      </c>
      <c r="K255" s="17">
        <v>0</v>
      </c>
      <c r="L255" s="17">
        <v>0</v>
      </c>
      <c r="M255" s="17">
        <v>0</v>
      </c>
      <c r="N255" s="17">
        <v>0</v>
      </c>
      <c r="O255" s="17">
        <v>0</v>
      </c>
      <c r="P255" s="17">
        <v>0</v>
      </c>
      <c r="Q255" s="17">
        <v>0</v>
      </c>
      <c r="R255" s="17">
        <v>0</v>
      </c>
      <c r="S255" s="17">
        <v>0</v>
      </c>
      <c r="T255" s="17">
        <v>0</v>
      </c>
      <c r="U255" s="17">
        <v>0</v>
      </c>
      <c r="V255" s="17">
        <v>0</v>
      </c>
      <c r="W255" s="17">
        <v>0</v>
      </c>
      <c r="X255" s="17">
        <v>0</v>
      </c>
      <c r="Y255" s="17">
        <v>0</v>
      </c>
      <c r="Z255" s="17">
        <v>0</v>
      </c>
      <c r="AA255" s="17">
        <v>0</v>
      </c>
      <c r="AB255" s="17">
        <v>0</v>
      </c>
      <c r="AC255" s="17">
        <v>0</v>
      </c>
      <c r="AD255" s="17">
        <v>0</v>
      </c>
      <c r="AE255" s="17">
        <v>0</v>
      </c>
      <c r="AF255" s="17">
        <v>0</v>
      </c>
      <c r="AG255" s="17">
        <v>0</v>
      </c>
      <c r="AH255" s="17">
        <v>0</v>
      </c>
      <c r="AI255" s="17">
        <v>0</v>
      </c>
      <c r="AJ255" s="17">
        <v>0</v>
      </c>
      <c r="AK255" s="17">
        <v>3</v>
      </c>
      <c r="AL255" s="17">
        <v>8</v>
      </c>
      <c r="AM255" s="17">
        <v>20</v>
      </c>
      <c r="AN255" s="17">
        <v>34</v>
      </c>
      <c r="AO255" s="17">
        <v>49</v>
      </c>
      <c r="AP255" s="17">
        <v>66</v>
      </c>
      <c r="AQ255" s="17">
        <v>82</v>
      </c>
      <c r="AR255" s="17">
        <v>120</v>
      </c>
      <c r="AS255" s="17">
        <v>165</v>
      </c>
      <c r="AT255" s="17">
        <v>214</v>
      </c>
      <c r="AU255" s="17">
        <v>297</v>
      </c>
      <c r="AV255" s="17">
        <v>375</v>
      </c>
      <c r="AW255" s="17">
        <v>492</v>
      </c>
      <c r="AX255" s="17">
        <v>647</v>
      </c>
      <c r="AY255" s="17">
        <v>817</v>
      </c>
      <c r="AZ255" s="17">
        <v>991</v>
      </c>
      <c r="BA255" s="17">
        <v>1229</v>
      </c>
      <c r="BB255" s="17">
        <v>1417</v>
      </c>
      <c r="BC255" s="17">
        <v>1699</v>
      </c>
      <c r="BD255" s="17">
        <v>2023</v>
      </c>
      <c r="BE255" s="17">
        <v>2464</v>
      </c>
      <c r="BF255" s="17">
        <v>2841</v>
      </c>
      <c r="BG255" s="17">
        <v>3207</v>
      </c>
      <c r="BH255" s="17">
        <v>3541</v>
      </c>
      <c r="BI255" s="17">
        <v>3869</v>
      </c>
      <c r="BJ255" s="17">
        <v>4205</v>
      </c>
      <c r="BK255" s="17">
        <v>4558</v>
      </c>
      <c r="BL255" s="17">
        <v>4862</v>
      </c>
      <c r="BM255" s="17">
        <v>5149</v>
      </c>
      <c r="BN255" s="17">
        <v>5414</v>
      </c>
      <c r="BO255" s="17">
        <v>5727</v>
      </c>
      <c r="BP255" s="17">
        <v>6085</v>
      </c>
      <c r="BQ255" s="17">
        <v>6452</v>
      </c>
      <c r="BR255" s="17">
        <v>6828</v>
      </c>
      <c r="BS255" s="17">
        <v>7184</v>
      </c>
      <c r="BT255" s="17">
        <v>7516</v>
      </c>
      <c r="BU255" s="17">
        <v>7811</v>
      </c>
      <c r="BV255" s="17">
        <v>8058</v>
      </c>
      <c r="BW255" s="17">
        <v>8261</v>
      </c>
      <c r="BX255" s="17">
        <v>8415</v>
      </c>
      <c r="BY255" s="17">
        <v>8527</v>
      </c>
      <c r="BZ255" s="17">
        <v>8605</v>
      </c>
      <c r="CA255" s="17">
        <v>8647</v>
      </c>
      <c r="CB255" s="17">
        <v>8692</v>
      </c>
      <c r="CC255" s="17">
        <v>8734</v>
      </c>
      <c r="CD255" s="17">
        <v>8752</v>
      </c>
      <c r="CE255" s="17">
        <v>8760</v>
      </c>
      <c r="CF255" s="17">
        <v>8760</v>
      </c>
      <c r="CG255" s="17">
        <v>8760</v>
      </c>
      <c r="CH255" s="17">
        <v>8760</v>
      </c>
      <c r="CI255" s="17">
        <v>8760</v>
      </c>
      <c r="CJ255" s="17">
        <v>8760</v>
      </c>
      <c r="CK255" s="17">
        <v>8760</v>
      </c>
      <c r="CL255" s="17">
        <v>8760</v>
      </c>
      <c r="CM255" s="17">
        <v>8760</v>
      </c>
      <c r="CN255" s="17">
        <v>8760</v>
      </c>
      <c r="CO255" s="17">
        <v>8760</v>
      </c>
      <c r="CP255" s="17">
        <v>8760</v>
      </c>
      <c r="CQ255" s="17">
        <v>8760</v>
      </c>
      <c r="CR255" s="17">
        <v>8760</v>
      </c>
      <c r="CS255" s="17">
        <v>8760</v>
      </c>
      <c r="CT255" s="17">
        <v>8760</v>
      </c>
      <c r="CU255" s="17">
        <v>8760</v>
      </c>
      <c r="CV255" s="17">
        <v>8760</v>
      </c>
      <c r="CW255" s="17">
        <v>8760</v>
      </c>
      <c r="CX255" s="17">
        <v>8760</v>
      </c>
      <c r="CY255" s="17">
        <v>8760</v>
      </c>
      <c r="CZ255" s="17">
        <v>8760</v>
      </c>
      <c r="DA255" s="17">
        <v>8760</v>
      </c>
      <c r="DB255" s="17">
        <v>8760</v>
      </c>
    </row>
    <row r="256" spans="1:106" s="17" customFormat="1" x14ac:dyDescent="0.25">
      <c r="A256" s="22" t="s">
        <v>273</v>
      </c>
      <c r="B256" s="17" t="s">
        <v>272</v>
      </c>
      <c r="C256" s="17" t="s">
        <v>438</v>
      </c>
      <c r="D256" s="17" t="s">
        <v>860</v>
      </c>
      <c r="E256" s="17" t="s">
        <v>861</v>
      </c>
      <c r="F256" s="17">
        <v>102221</v>
      </c>
      <c r="G256" s="17">
        <v>0</v>
      </c>
      <c r="H256" s="17">
        <v>0</v>
      </c>
      <c r="I256" s="17">
        <v>0</v>
      </c>
      <c r="J256" s="17">
        <v>0</v>
      </c>
      <c r="K256" s="17">
        <v>0</v>
      </c>
      <c r="L256" s="17">
        <v>0</v>
      </c>
      <c r="M256" s="17">
        <v>0</v>
      </c>
      <c r="N256" s="17">
        <v>0</v>
      </c>
      <c r="O256" s="17">
        <v>0</v>
      </c>
      <c r="P256" s="17">
        <v>0</v>
      </c>
      <c r="Q256" s="17">
        <v>0</v>
      </c>
      <c r="R256" s="17">
        <v>0</v>
      </c>
      <c r="S256" s="17">
        <v>0</v>
      </c>
      <c r="T256" s="17">
        <v>0</v>
      </c>
      <c r="U256" s="17">
        <v>0</v>
      </c>
      <c r="V256" s="17">
        <v>0</v>
      </c>
      <c r="W256" s="17">
        <v>0</v>
      </c>
      <c r="X256" s="17">
        <v>0</v>
      </c>
      <c r="Y256" s="17">
        <v>0</v>
      </c>
      <c r="Z256" s="17">
        <v>0</v>
      </c>
      <c r="AA256" s="17">
        <v>0</v>
      </c>
      <c r="AB256" s="17">
        <v>0</v>
      </c>
      <c r="AC256" s="17">
        <v>0</v>
      </c>
      <c r="AD256" s="17">
        <v>0</v>
      </c>
      <c r="AE256" s="17">
        <v>0</v>
      </c>
      <c r="AF256" s="17">
        <v>0</v>
      </c>
      <c r="AG256" s="17">
        <v>0</v>
      </c>
      <c r="AH256" s="17">
        <v>0</v>
      </c>
      <c r="AI256" s="17">
        <v>0</v>
      </c>
      <c r="AJ256" s="17">
        <v>0</v>
      </c>
      <c r="AK256" s="17">
        <v>0</v>
      </c>
      <c r="AL256" s="17">
        <v>0</v>
      </c>
      <c r="AM256" s="17">
        <v>0</v>
      </c>
      <c r="AN256" s="17">
        <v>3</v>
      </c>
      <c r="AO256" s="17">
        <v>11</v>
      </c>
      <c r="AP256" s="17">
        <v>15</v>
      </c>
      <c r="AQ256" s="17">
        <v>25</v>
      </c>
      <c r="AR256" s="17">
        <v>39</v>
      </c>
      <c r="AS256" s="17">
        <v>51</v>
      </c>
      <c r="AT256" s="17">
        <v>71</v>
      </c>
      <c r="AU256" s="17">
        <v>111</v>
      </c>
      <c r="AV256" s="17">
        <v>140</v>
      </c>
      <c r="AW256" s="17">
        <v>185</v>
      </c>
      <c r="AX256" s="17">
        <v>242</v>
      </c>
      <c r="AY256" s="17">
        <v>312</v>
      </c>
      <c r="AZ256" s="17">
        <v>404</v>
      </c>
      <c r="BA256" s="17">
        <v>521</v>
      </c>
      <c r="BB256" s="17">
        <v>717</v>
      </c>
      <c r="BC256" s="17">
        <v>985</v>
      </c>
      <c r="BD256" s="17">
        <v>1303</v>
      </c>
      <c r="BE256" s="17">
        <v>1722</v>
      </c>
      <c r="BF256" s="17">
        <v>2172</v>
      </c>
      <c r="BG256" s="17">
        <v>2660</v>
      </c>
      <c r="BH256" s="17">
        <v>3070</v>
      </c>
      <c r="BI256" s="17">
        <v>3519</v>
      </c>
      <c r="BJ256" s="17">
        <v>3942</v>
      </c>
      <c r="BK256" s="17">
        <v>4285</v>
      </c>
      <c r="BL256" s="17">
        <v>4667</v>
      </c>
      <c r="BM256" s="17">
        <v>5053</v>
      </c>
      <c r="BN256" s="17">
        <v>5448</v>
      </c>
      <c r="BO256" s="17">
        <v>5788</v>
      </c>
      <c r="BP256" s="17">
        <v>6099</v>
      </c>
      <c r="BQ256" s="17">
        <v>6422</v>
      </c>
      <c r="BR256" s="17">
        <v>6772</v>
      </c>
      <c r="BS256" s="17">
        <v>7155</v>
      </c>
      <c r="BT256" s="17">
        <v>7558</v>
      </c>
      <c r="BU256" s="17">
        <v>7896</v>
      </c>
      <c r="BV256" s="17">
        <v>8167</v>
      </c>
      <c r="BW256" s="17">
        <v>8351</v>
      </c>
      <c r="BX256" s="17">
        <v>8487</v>
      </c>
      <c r="BY256" s="17">
        <v>8580</v>
      </c>
      <c r="BZ256" s="17">
        <v>8660</v>
      </c>
      <c r="CA256" s="17">
        <v>8718</v>
      </c>
      <c r="CB256" s="17">
        <v>8740</v>
      </c>
      <c r="CC256" s="17">
        <v>8748</v>
      </c>
      <c r="CD256" s="17">
        <v>8754</v>
      </c>
      <c r="CE256" s="17">
        <v>8756</v>
      </c>
      <c r="CF256" s="17">
        <v>8760</v>
      </c>
      <c r="CG256" s="17">
        <v>8760</v>
      </c>
      <c r="CH256" s="17">
        <v>8760</v>
      </c>
      <c r="CI256" s="17">
        <v>8760</v>
      </c>
      <c r="CJ256" s="17">
        <v>8760</v>
      </c>
      <c r="CK256" s="17">
        <v>8760</v>
      </c>
      <c r="CL256" s="17">
        <v>8760</v>
      </c>
      <c r="CM256" s="17">
        <v>8760</v>
      </c>
      <c r="CN256" s="17">
        <v>8760</v>
      </c>
      <c r="CO256" s="17">
        <v>8760</v>
      </c>
      <c r="CP256" s="17">
        <v>8760</v>
      </c>
      <c r="CQ256" s="17">
        <v>8760</v>
      </c>
      <c r="CR256" s="17">
        <v>8760</v>
      </c>
      <c r="CS256" s="17">
        <v>8760</v>
      </c>
      <c r="CT256" s="17">
        <v>8760</v>
      </c>
      <c r="CU256" s="17">
        <v>8760</v>
      </c>
      <c r="CV256" s="17">
        <v>8760</v>
      </c>
      <c r="CW256" s="17">
        <v>8760</v>
      </c>
      <c r="CX256" s="17">
        <v>8760</v>
      </c>
      <c r="CY256" s="17">
        <v>8760</v>
      </c>
      <c r="CZ256" s="17">
        <v>8760</v>
      </c>
      <c r="DA256" s="17">
        <v>8760</v>
      </c>
      <c r="DB256" s="17">
        <v>8760</v>
      </c>
    </row>
    <row r="257" spans="1:106" s="17" customFormat="1" x14ac:dyDescent="0.25">
      <c r="A257" s="22" t="s">
        <v>274</v>
      </c>
      <c r="B257" s="17" t="s">
        <v>273</v>
      </c>
      <c r="C257" s="17" t="s">
        <v>438</v>
      </c>
      <c r="D257" s="17" t="s">
        <v>862</v>
      </c>
      <c r="E257" s="17" t="s">
        <v>863</v>
      </c>
      <c r="F257" s="17">
        <v>102814</v>
      </c>
      <c r="G257" s="17">
        <v>0</v>
      </c>
      <c r="H257" s="17">
        <v>0</v>
      </c>
      <c r="I257" s="17">
        <v>0</v>
      </c>
      <c r="J257" s="17">
        <v>0</v>
      </c>
      <c r="K257" s="17">
        <v>0</v>
      </c>
      <c r="L257" s="17">
        <v>0</v>
      </c>
      <c r="M257" s="17">
        <v>0</v>
      </c>
      <c r="N257" s="17">
        <v>0</v>
      </c>
      <c r="O257" s="17">
        <v>0</v>
      </c>
      <c r="P257" s="17">
        <v>0</v>
      </c>
      <c r="Q257" s="17">
        <v>0</v>
      </c>
      <c r="R257" s="17">
        <v>0</v>
      </c>
      <c r="S257" s="17">
        <v>0</v>
      </c>
      <c r="T257" s="17">
        <v>0</v>
      </c>
      <c r="U257" s="17">
        <v>0</v>
      </c>
      <c r="V257" s="17">
        <v>0</v>
      </c>
      <c r="W257" s="17">
        <v>0</v>
      </c>
      <c r="X257" s="17">
        <v>0</v>
      </c>
      <c r="Y257" s="17">
        <v>0</v>
      </c>
      <c r="Z257" s="17">
        <v>0</v>
      </c>
      <c r="AA257" s="17">
        <v>0</v>
      </c>
      <c r="AB257" s="17">
        <v>0</v>
      </c>
      <c r="AC257" s="17">
        <v>0</v>
      </c>
      <c r="AD257" s="17">
        <v>0</v>
      </c>
      <c r="AE257" s="17">
        <v>0</v>
      </c>
      <c r="AF257" s="17">
        <v>0</v>
      </c>
      <c r="AG257" s="17">
        <v>17</v>
      </c>
      <c r="AH257" s="17">
        <v>35</v>
      </c>
      <c r="AI257" s="17">
        <v>60</v>
      </c>
      <c r="AJ257" s="17">
        <v>82</v>
      </c>
      <c r="AK257" s="17">
        <v>103</v>
      </c>
      <c r="AL257" s="17">
        <v>119</v>
      </c>
      <c r="AM257" s="17">
        <v>144</v>
      </c>
      <c r="AN257" s="17">
        <v>192</v>
      </c>
      <c r="AO257" s="17">
        <v>243</v>
      </c>
      <c r="AP257" s="17">
        <v>296</v>
      </c>
      <c r="AQ257" s="17">
        <v>350</v>
      </c>
      <c r="AR257" s="17">
        <v>423</v>
      </c>
      <c r="AS257" s="17">
        <v>516</v>
      </c>
      <c r="AT257" s="17">
        <v>629</v>
      </c>
      <c r="AU257" s="17">
        <v>754</v>
      </c>
      <c r="AV257" s="17">
        <v>934</v>
      </c>
      <c r="AW257" s="17">
        <v>1200</v>
      </c>
      <c r="AX257" s="17">
        <v>1436</v>
      </c>
      <c r="AY257" s="17">
        <v>1656</v>
      </c>
      <c r="AZ257" s="17">
        <v>1921</v>
      </c>
      <c r="BA257" s="17">
        <v>2202</v>
      </c>
      <c r="BB257" s="17">
        <v>2561</v>
      </c>
      <c r="BC257" s="17">
        <v>2898</v>
      </c>
      <c r="BD257" s="17">
        <v>3359</v>
      </c>
      <c r="BE257" s="17">
        <v>3750</v>
      </c>
      <c r="BF257" s="17">
        <v>4127</v>
      </c>
      <c r="BG257" s="17">
        <v>4511</v>
      </c>
      <c r="BH257" s="17">
        <v>4877</v>
      </c>
      <c r="BI257" s="17">
        <v>5233</v>
      </c>
      <c r="BJ257" s="17">
        <v>5513</v>
      </c>
      <c r="BK257" s="17">
        <v>5834</v>
      </c>
      <c r="BL257" s="17">
        <v>6134</v>
      </c>
      <c r="BM257" s="17">
        <v>6420</v>
      </c>
      <c r="BN257" s="17">
        <v>6725</v>
      </c>
      <c r="BO257" s="17">
        <v>7134</v>
      </c>
      <c r="BP257" s="17">
        <v>7451</v>
      </c>
      <c r="BQ257" s="17">
        <v>7716</v>
      </c>
      <c r="BR257" s="17">
        <v>7975</v>
      </c>
      <c r="BS257" s="17">
        <v>8177</v>
      </c>
      <c r="BT257" s="17">
        <v>8317</v>
      </c>
      <c r="BU257" s="17">
        <v>8447</v>
      </c>
      <c r="BV257" s="17">
        <v>8550</v>
      </c>
      <c r="BW257" s="17">
        <v>8621</v>
      </c>
      <c r="BX257" s="17">
        <v>8671</v>
      </c>
      <c r="BY257" s="17">
        <v>8704</v>
      </c>
      <c r="BZ257" s="17">
        <v>8733</v>
      </c>
      <c r="CA257" s="17">
        <v>8747</v>
      </c>
      <c r="CB257" s="17">
        <v>8754</v>
      </c>
      <c r="CC257" s="17">
        <v>8760</v>
      </c>
      <c r="CD257" s="17">
        <v>8760</v>
      </c>
      <c r="CE257" s="17">
        <v>8760</v>
      </c>
      <c r="CF257" s="17">
        <v>8760</v>
      </c>
      <c r="CG257" s="17">
        <v>8760</v>
      </c>
      <c r="CH257" s="17">
        <v>8760</v>
      </c>
      <c r="CI257" s="17">
        <v>8760</v>
      </c>
      <c r="CJ257" s="17">
        <v>8760</v>
      </c>
      <c r="CK257" s="17">
        <v>8760</v>
      </c>
      <c r="CL257" s="17">
        <v>8760</v>
      </c>
      <c r="CM257" s="17">
        <v>8760</v>
      </c>
      <c r="CN257" s="17">
        <v>8760</v>
      </c>
      <c r="CO257" s="17">
        <v>8760</v>
      </c>
      <c r="CP257" s="17">
        <v>8760</v>
      </c>
      <c r="CQ257" s="17">
        <v>8760</v>
      </c>
      <c r="CR257" s="17">
        <v>8760</v>
      </c>
      <c r="CS257" s="17">
        <v>8760</v>
      </c>
      <c r="CT257" s="17">
        <v>8760</v>
      </c>
      <c r="CU257" s="17">
        <v>8760</v>
      </c>
      <c r="CV257" s="17">
        <v>8760</v>
      </c>
      <c r="CW257" s="17">
        <v>8760</v>
      </c>
      <c r="CX257" s="17">
        <v>8760</v>
      </c>
      <c r="CY257" s="17">
        <v>8760</v>
      </c>
      <c r="CZ257" s="17">
        <v>8760</v>
      </c>
      <c r="DA257" s="17">
        <v>8760</v>
      </c>
      <c r="DB257" s="17">
        <v>8760</v>
      </c>
    </row>
    <row r="258" spans="1:106" s="17" customFormat="1" x14ac:dyDescent="0.25">
      <c r="A258" s="22" t="s">
        <v>275</v>
      </c>
      <c r="B258" s="17" t="s">
        <v>274</v>
      </c>
      <c r="C258" s="17" t="s">
        <v>438</v>
      </c>
      <c r="D258" s="17" t="s">
        <v>864</v>
      </c>
      <c r="E258" s="17" t="s">
        <v>865</v>
      </c>
      <c r="F258" s="17">
        <v>102640</v>
      </c>
      <c r="G258" s="17">
        <v>0</v>
      </c>
      <c r="H258" s="17">
        <v>0</v>
      </c>
      <c r="I258" s="17">
        <v>0</v>
      </c>
      <c r="J258" s="17">
        <v>0</v>
      </c>
      <c r="K258" s="17">
        <v>0</v>
      </c>
      <c r="L258" s="17">
        <v>0</v>
      </c>
      <c r="M258" s="17">
        <v>0</v>
      </c>
      <c r="N258" s="17">
        <v>0</v>
      </c>
      <c r="O258" s="17">
        <v>0</v>
      </c>
      <c r="P258" s="17">
        <v>0</v>
      </c>
      <c r="Q258" s="17">
        <v>0</v>
      </c>
      <c r="R258" s="17">
        <v>0</v>
      </c>
      <c r="S258" s="17">
        <v>0</v>
      </c>
      <c r="T258" s="17">
        <v>0</v>
      </c>
      <c r="U258" s="17">
        <v>0</v>
      </c>
      <c r="V258" s="17">
        <v>0</v>
      </c>
      <c r="W258" s="17">
        <v>0</v>
      </c>
      <c r="X258" s="17">
        <v>0</v>
      </c>
      <c r="Y258" s="17">
        <v>0</v>
      </c>
      <c r="Z258" s="17">
        <v>0</v>
      </c>
      <c r="AA258" s="17">
        <v>0</v>
      </c>
      <c r="AB258" s="17">
        <v>0</v>
      </c>
      <c r="AC258" s="17">
        <v>0</v>
      </c>
      <c r="AD258" s="17">
        <v>0</v>
      </c>
      <c r="AE258" s="17">
        <v>0</v>
      </c>
      <c r="AF258" s="17">
        <v>0</v>
      </c>
      <c r="AG258" s="17">
        <v>0</v>
      </c>
      <c r="AH258" s="17">
        <v>0</v>
      </c>
      <c r="AI258" s="17">
        <v>0</v>
      </c>
      <c r="AJ258" s="17">
        <v>0</v>
      </c>
      <c r="AK258" s="17">
        <v>0</v>
      </c>
      <c r="AL258" s="17">
        <v>0</v>
      </c>
      <c r="AM258" s="17">
        <v>0</v>
      </c>
      <c r="AN258" s="17">
        <v>0</v>
      </c>
      <c r="AO258" s="17">
        <v>5</v>
      </c>
      <c r="AP258" s="17">
        <v>16</v>
      </c>
      <c r="AQ258" s="17">
        <v>25</v>
      </c>
      <c r="AR258" s="17">
        <v>40</v>
      </c>
      <c r="AS258" s="17">
        <v>65</v>
      </c>
      <c r="AT258" s="17">
        <v>100</v>
      </c>
      <c r="AU258" s="17">
        <v>148</v>
      </c>
      <c r="AV258" s="17">
        <v>215</v>
      </c>
      <c r="AW258" s="17">
        <v>309</v>
      </c>
      <c r="AX258" s="17">
        <v>396</v>
      </c>
      <c r="AY258" s="17">
        <v>520</v>
      </c>
      <c r="AZ258" s="17">
        <v>669</v>
      </c>
      <c r="BA258" s="17">
        <v>805</v>
      </c>
      <c r="BB258" s="17">
        <v>1006</v>
      </c>
      <c r="BC258" s="17">
        <v>1248</v>
      </c>
      <c r="BD258" s="17">
        <v>1582</v>
      </c>
      <c r="BE258" s="17">
        <v>2078</v>
      </c>
      <c r="BF258" s="17">
        <v>2537</v>
      </c>
      <c r="BG258" s="17">
        <v>2965</v>
      </c>
      <c r="BH258" s="17">
        <v>3307</v>
      </c>
      <c r="BI258" s="17">
        <v>3721</v>
      </c>
      <c r="BJ258" s="17">
        <v>4191</v>
      </c>
      <c r="BK258" s="17">
        <v>4538</v>
      </c>
      <c r="BL258" s="17">
        <v>4883</v>
      </c>
      <c r="BM258" s="17">
        <v>5166</v>
      </c>
      <c r="BN258" s="17">
        <v>5461</v>
      </c>
      <c r="BO258" s="17">
        <v>5744</v>
      </c>
      <c r="BP258" s="17">
        <v>6066</v>
      </c>
      <c r="BQ258" s="17">
        <v>6410</v>
      </c>
      <c r="BR258" s="17">
        <v>6778</v>
      </c>
      <c r="BS258" s="17">
        <v>7178</v>
      </c>
      <c r="BT258" s="17">
        <v>7480</v>
      </c>
      <c r="BU258" s="17">
        <v>7760</v>
      </c>
      <c r="BV258" s="17">
        <v>8008</v>
      </c>
      <c r="BW258" s="17">
        <v>8190</v>
      </c>
      <c r="BX258" s="17">
        <v>8354</v>
      </c>
      <c r="BY258" s="17">
        <v>8480</v>
      </c>
      <c r="BZ258" s="17">
        <v>8581</v>
      </c>
      <c r="CA258" s="17">
        <v>8650</v>
      </c>
      <c r="CB258" s="17">
        <v>8696</v>
      </c>
      <c r="CC258" s="17">
        <v>8726</v>
      </c>
      <c r="CD258" s="17">
        <v>8743</v>
      </c>
      <c r="CE258" s="17">
        <v>8748</v>
      </c>
      <c r="CF258" s="17">
        <v>8752</v>
      </c>
      <c r="CG258" s="17">
        <v>8757</v>
      </c>
      <c r="CH258" s="17">
        <v>8760</v>
      </c>
      <c r="CI258" s="17">
        <v>8760</v>
      </c>
      <c r="CJ258" s="17">
        <v>8760</v>
      </c>
      <c r="CK258" s="17">
        <v>8760</v>
      </c>
      <c r="CL258" s="17">
        <v>8760</v>
      </c>
      <c r="CM258" s="17">
        <v>8760</v>
      </c>
      <c r="CN258" s="17">
        <v>8760</v>
      </c>
      <c r="CO258" s="17">
        <v>8760</v>
      </c>
      <c r="CP258" s="17">
        <v>8760</v>
      </c>
      <c r="CQ258" s="17">
        <v>8760</v>
      </c>
      <c r="CR258" s="17">
        <v>8760</v>
      </c>
      <c r="CS258" s="17">
        <v>8760</v>
      </c>
      <c r="CT258" s="17">
        <v>8760</v>
      </c>
      <c r="CU258" s="17">
        <v>8760</v>
      </c>
      <c r="CV258" s="17">
        <v>8760</v>
      </c>
      <c r="CW258" s="17">
        <v>8760</v>
      </c>
      <c r="CX258" s="17">
        <v>8760</v>
      </c>
      <c r="CY258" s="17">
        <v>8760</v>
      </c>
      <c r="CZ258" s="17">
        <v>8760</v>
      </c>
      <c r="DA258" s="17">
        <v>8760</v>
      </c>
      <c r="DB258" s="17">
        <v>8760</v>
      </c>
    </row>
    <row r="259" spans="1:106" s="17" customFormat="1" x14ac:dyDescent="0.25">
      <c r="A259" s="22" t="s">
        <v>276</v>
      </c>
      <c r="B259" s="17" t="s">
        <v>275</v>
      </c>
      <c r="C259" s="17" t="s">
        <v>438</v>
      </c>
      <c r="D259" s="17" t="s">
        <v>866</v>
      </c>
      <c r="E259" s="17" t="s">
        <v>867</v>
      </c>
      <c r="F259" s="17">
        <v>102805</v>
      </c>
      <c r="G259" s="17">
        <v>0</v>
      </c>
      <c r="H259" s="17">
        <v>0</v>
      </c>
      <c r="I259" s="17">
        <v>0</v>
      </c>
      <c r="J259" s="17">
        <v>0</v>
      </c>
      <c r="K259" s="17">
        <v>0</v>
      </c>
      <c r="L259" s="17">
        <v>0</v>
      </c>
      <c r="M259" s="17">
        <v>0</v>
      </c>
      <c r="N259" s="17">
        <v>0</v>
      </c>
      <c r="O259" s="17">
        <v>0</v>
      </c>
      <c r="P259" s="17">
        <v>0</v>
      </c>
      <c r="Q259" s="17">
        <v>0</v>
      </c>
      <c r="R259" s="17">
        <v>0</v>
      </c>
      <c r="S259" s="17">
        <v>0</v>
      </c>
      <c r="T259" s="17">
        <v>0</v>
      </c>
      <c r="U259" s="17">
        <v>0</v>
      </c>
      <c r="V259" s="17">
        <v>0</v>
      </c>
      <c r="W259" s="17">
        <v>0</v>
      </c>
      <c r="X259" s="17">
        <v>0</v>
      </c>
      <c r="Y259" s="17">
        <v>0</v>
      </c>
      <c r="Z259" s="17">
        <v>0</v>
      </c>
      <c r="AA259" s="17">
        <v>0</v>
      </c>
      <c r="AB259" s="17">
        <v>0</v>
      </c>
      <c r="AC259" s="17">
        <v>0</v>
      </c>
      <c r="AD259" s="17">
        <v>0</v>
      </c>
      <c r="AE259" s="17">
        <v>0</v>
      </c>
      <c r="AF259" s="17">
        <v>1</v>
      </c>
      <c r="AG259" s="17">
        <v>2</v>
      </c>
      <c r="AH259" s="17">
        <v>5</v>
      </c>
      <c r="AI259" s="17">
        <v>13</v>
      </c>
      <c r="AJ259" s="17">
        <v>25</v>
      </c>
      <c r="AK259" s="17">
        <v>43</v>
      </c>
      <c r="AL259" s="17">
        <v>62</v>
      </c>
      <c r="AM259" s="17">
        <v>81</v>
      </c>
      <c r="AN259" s="17">
        <v>115</v>
      </c>
      <c r="AO259" s="17">
        <v>180</v>
      </c>
      <c r="AP259" s="17">
        <v>260</v>
      </c>
      <c r="AQ259" s="17">
        <v>329</v>
      </c>
      <c r="AR259" s="17">
        <v>416</v>
      </c>
      <c r="AS259" s="17">
        <v>506</v>
      </c>
      <c r="AT259" s="17">
        <v>635</v>
      </c>
      <c r="AU259" s="17">
        <v>749</v>
      </c>
      <c r="AV259" s="17">
        <v>864</v>
      </c>
      <c r="AW259" s="17">
        <v>996</v>
      </c>
      <c r="AX259" s="17">
        <v>1139</v>
      </c>
      <c r="AY259" s="17">
        <v>1339</v>
      </c>
      <c r="AZ259" s="17">
        <v>1540</v>
      </c>
      <c r="BA259" s="17">
        <v>1741</v>
      </c>
      <c r="BB259" s="17">
        <v>2006</v>
      </c>
      <c r="BC259" s="17">
        <v>2344</v>
      </c>
      <c r="BD259" s="17">
        <v>2754</v>
      </c>
      <c r="BE259" s="17">
        <v>3257</v>
      </c>
      <c r="BF259" s="17">
        <v>3627</v>
      </c>
      <c r="BG259" s="17">
        <v>3990</v>
      </c>
      <c r="BH259" s="17">
        <v>4339</v>
      </c>
      <c r="BI259" s="17">
        <v>4659</v>
      </c>
      <c r="BJ259" s="17">
        <v>4968</v>
      </c>
      <c r="BK259" s="17">
        <v>5265</v>
      </c>
      <c r="BL259" s="17">
        <v>5528</v>
      </c>
      <c r="BM259" s="17">
        <v>5812</v>
      </c>
      <c r="BN259" s="17">
        <v>6109</v>
      </c>
      <c r="BO259" s="17">
        <v>6454</v>
      </c>
      <c r="BP259" s="17">
        <v>6812</v>
      </c>
      <c r="BQ259" s="17">
        <v>7132</v>
      </c>
      <c r="BR259" s="17">
        <v>7440</v>
      </c>
      <c r="BS259" s="17">
        <v>7757</v>
      </c>
      <c r="BT259" s="17">
        <v>7998</v>
      </c>
      <c r="BU259" s="17">
        <v>8176</v>
      </c>
      <c r="BV259" s="17">
        <v>8350</v>
      </c>
      <c r="BW259" s="17">
        <v>8482</v>
      </c>
      <c r="BX259" s="17">
        <v>8571</v>
      </c>
      <c r="BY259" s="17">
        <v>8641</v>
      </c>
      <c r="BZ259" s="17">
        <v>8686</v>
      </c>
      <c r="CA259" s="17">
        <v>8721</v>
      </c>
      <c r="CB259" s="17">
        <v>8738</v>
      </c>
      <c r="CC259" s="17">
        <v>8755</v>
      </c>
      <c r="CD259" s="17">
        <v>8760</v>
      </c>
      <c r="CE259" s="17">
        <v>8760</v>
      </c>
      <c r="CF259" s="17">
        <v>8760</v>
      </c>
      <c r="CG259" s="17">
        <v>8760</v>
      </c>
      <c r="CH259" s="17">
        <v>8760</v>
      </c>
      <c r="CI259" s="17">
        <v>8760</v>
      </c>
      <c r="CJ259" s="17">
        <v>8760</v>
      </c>
      <c r="CK259" s="17">
        <v>8760</v>
      </c>
      <c r="CL259" s="17">
        <v>8760</v>
      </c>
      <c r="CM259" s="17">
        <v>8760</v>
      </c>
      <c r="CN259" s="17">
        <v>8760</v>
      </c>
      <c r="CO259" s="17">
        <v>8760</v>
      </c>
      <c r="CP259" s="17">
        <v>8760</v>
      </c>
      <c r="CQ259" s="17">
        <v>8760</v>
      </c>
      <c r="CR259" s="17">
        <v>8760</v>
      </c>
      <c r="CS259" s="17">
        <v>8760</v>
      </c>
      <c r="CT259" s="17">
        <v>8760</v>
      </c>
      <c r="CU259" s="17">
        <v>8760</v>
      </c>
      <c r="CV259" s="17">
        <v>8760</v>
      </c>
      <c r="CW259" s="17">
        <v>8760</v>
      </c>
      <c r="CX259" s="17">
        <v>8760</v>
      </c>
      <c r="CY259" s="17">
        <v>8760</v>
      </c>
      <c r="CZ259" s="17">
        <v>8760</v>
      </c>
      <c r="DA259" s="17">
        <v>8760</v>
      </c>
      <c r="DB259" s="17">
        <v>8760</v>
      </c>
    </row>
    <row r="260" spans="1:106" s="17" customFormat="1" x14ac:dyDescent="0.25">
      <c r="A260" s="22" t="s">
        <v>277</v>
      </c>
      <c r="B260" s="17" t="s">
        <v>276</v>
      </c>
      <c r="C260" s="17" t="s">
        <v>438</v>
      </c>
      <c r="D260" s="17" t="s">
        <v>868</v>
      </c>
      <c r="E260" s="17" t="s">
        <v>869</v>
      </c>
      <c r="F260" s="17">
        <v>102504</v>
      </c>
      <c r="G260" s="17">
        <v>0</v>
      </c>
      <c r="H260" s="17">
        <v>0</v>
      </c>
      <c r="I260" s="17">
        <v>0</v>
      </c>
      <c r="J260" s="17">
        <v>0</v>
      </c>
      <c r="K260" s="17">
        <v>0</v>
      </c>
      <c r="L260" s="17">
        <v>0</v>
      </c>
      <c r="M260" s="17">
        <v>0</v>
      </c>
      <c r="N260" s="17">
        <v>0</v>
      </c>
      <c r="O260" s="17">
        <v>0</v>
      </c>
      <c r="P260" s="17">
        <v>0</v>
      </c>
      <c r="Q260" s="17">
        <v>0</v>
      </c>
      <c r="R260" s="17">
        <v>0</v>
      </c>
      <c r="S260" s="17">
        <v>0</v>
      </c>
      <c r="T260" s="17">
        <v>0</v>
      </c>
      <c r="U260" s="17">
        <v>0</v>
      </c>
      <c r="V260" s="17">
        <v>0</v>
      </c>
      <c r="W260" s="17">
        <v>0</v>
      </c>
      <c r="X260" s="17">
        <v>0</v>
      </c>
      <c r="Y260" s="17">
        <v>0</v>
      </c>
      <c r="Z260" s="17">
        <v>0</v>
      </c>
      <c r="AA260" s="17">
        <v>0</v>
      </c>
      <c r="AB260" s="17">
        <v>0</v>
      </c>
      <c r="AC260" s="17">
        <v>0</v>
      </c>
      <c r="AD260" s="17">
        <v>0</v>
      </c>
      <c r="AE260" s="17">
        <v>0</v>
      </c>
      <c r="AF260" s="17">
        <v>0</v>
      </c>
      <c r="AG260" s="17">
        <v>1</v>
      </c>
      <c r="AH260" s="17">
        <v>7</v>
      </c>
      <c r="AI260" s="17">
        <v>16</v>
      </c>
      <c r="AJ260" s="17">
        <v>23</v>
      </c>
      <c r="AK260" s="17">
        <v>35</v>
      </c>
      <c r="AL260" s="17">
        <v>43</v>
      </c>
      <c r="AM260" s="17">
        <v>54</v>
      </c>
      <c r="AN260" s="17">
        <v>88</v>
      </c>
      <c r="AO260" s="17">
        <v>119</v>
      </c>
      <c r="AP260" s="17">
        <v>143</v>
      </c>
      <c r="AQ260" s="17">
        <v>163</v>
      </c>
      <c r="AR260" s="17">
        <v>185</v>
      </c>
      <c r="AS260" s="17">
        <v>216</v>
      </c>
      <c r="AT260" s="17">
        <v>266</v>
      </c>
      <c r="AU260" s="17">
        <v>330</v>
      </c>
      <c r="AV260" s="17">
        <v>420</v>
      </c>
      <c r="AW260" s="17">
        <v>521</v>
      </c>
      <c r="AX260" s="17">
        <v>668</v>
      </c>
      <c r="AY260" s="17">
        <v>837</v>
      </c>
      <c r="AZ260" s="17">
        <v>1015</v>
      </c>
      <c r="BA260" s="17">
        <v>1279</v>
      </c>
      <c r="BB260" s="17">
        <v>1557</v>
      </c>
      <c r="BC260" s="17">
        <v>1869</v>
      </c>
      <c r="BD260" s="17">
        <v>2285</v>
      </c>
      <c r="BE260" s="17">
        <v>2727</v>
      </c>
      <c r="BF260" s="17">
        <v>3181</v>
      </c>
      <c r="BG260" s="17">
        <v>3550</v>
      </c>
      <c r="BH260" s="17">
        <v>3916</v>
      </c>
      <c r="BI260" s="17">
        <v>4266</v>
      </c>
      <c r="BJ260" s="17">
        <v>4602</v>
      </c>
      <c r="BK260" s="17">
        <v>4955</v>
      </c>
      <c r="BL260" s="17">
        <v>5311</v>
      </c>
      <c r="BM260" s="17">
        <v>5626</v>
      </c>
      <c r="BN260" s="17">
        <v>5912</v>
      </c>
      <c r="BO260" s="17">
        <v>6185</v>
      </c>
      <c r="BP260" s="17">
        <v>6509</v>
      </c>
      <c r="BQ260" s="17">
        <v>6817</v>
      </c>
      <c r="BR260" s="17">
        <v>7137</v>
      </c>
      <c r="BS260" s="17">
        <v>7416</v>
      </c>
      <c r="BT260" s="17">
        <v>7660</v>
      </c>
      <c r="BU260" s="17">
        <v>7881</v>
      </c>
      <c r="BV260" s="17">
        <v>8070</v>
      </c>
      <c r="BW260" s="17">
        <v>8233</v>
      </c>
      <c r="BX260" s="17">
        <v>8353</v>
      </c>
      <c r="BY260" s="17">
        <v>8449</v>
      </c>
      <c r="BZ260" s="17">
        <v>8535</v>
      </c>
      <c r="CA260" s="17">
        <v>8590</v>
      </c>
      <c r="CB260" s="17">
        <v>8631</v>
      </c>
      <c r="CC260" s="17">
        <v>8666</v>
      </c>
      <c r="CD260" s="17">
        <v>8707</v>
      </c>
      <c r="CE260" s="17">
        <v>8745</v>
      </c>
      <c r="CF260" s="17">
        <v>8755</v>
      </c>
      <c r="CG260" s="17">
        <v>8757</v>
      </c>
      <c r="CH260" s="17">
        <v>8760</v>
      </c>
      <c r="CI260" s="17">
        <v>8760</v>
      </c>
      <c r="CJ260" s="17">
        <v>8760</v>
      </c>
      <c r="CK260" s="17">
        <v>8760</v>
      </c>
      <c r="CL260" s="17">
        <v>8760</v>
      </c>
      <c r="CM260" s="17">
        <v>8760</v>
      </c>
      <c r="CN260" s="17">
        <v>8760</v>
      </c>
      <c r="CO260" s="17">
        <v>8760</v>
      </c>
      <c r="CP260" s="17">
        <v>8760</v>
      </c>
      <c r="CQ260" s="17">
        <v>8760</v>
      </c>
      <c r="CR260" s="17">
        <v>8760</v>
      </c>
      <c r="CS260" s="17">
        <v>8760</v>
      </c>
      <c r="CT260" s="17">
        <v>8760</v>
      </c>
      <c r="CU260" s="17">
        <v>8760</v>
      </c>
      <c r="CV260" s="17">
        <v>8760</v>
      </c>
      <c r="CW260" s="17">
        <v>8760</v>
      </c>
      <c r="CX260" s="17">
        <v>8760</v>
      </c>
      <c r="CY260" s="17">
        <v>8760</v>
      </c>
      <c r="CZ260" s="17">
        <v>8760</v>
      </c>
      <c r="DA260" s="17">
        <v>8760</v>
      </c>
      <c r="DB260" s="17">
        <v>8760</v>
      </c>
    </row>
    <row r="261" spans="1:106" s="17" customFormat="1" x14ac:dyDescent="0.25">
      <c r="A261" s="22" t="s">
        <v>278</v>
      </c>
      <c r="B261" s="17" t="s">
        <v>277</v>
      </c>
      <c r="C261" s="17" t="s">
        <v>438</v>
      </c>
      <c r="D261" s="17" t="s">
        <v>870</v>
      </c>
      <c r="E261" s="17" t="s">
        <v>871</v>
      </c>
      <c r="F261" s="17">
        <v>102636</v>
      </c>
      <c r="G261" s="17">
        <v>0</v>
      </c>
      <c r="H261" s="17">
        <v>0</v>
      </c>
      <c r="I261" s="17">
        <v>0</v>
      </c>
      <c r="J261" s="17">
        <v>0</v>
      </c>
      <c r="K261" s="17">
        <v>0</v>
      </c>
      <c r="L261" s="17">
        <v>0</v>
      </c>
      <c r="M261" s="17">
        <v>0</v>
      </c>
      <c r="N261" s="17">
        <v>0</v>
      </c>
      <c r="O261" s="17">
        <v>0</v>
      </c>
      <c r="P261" s="17">
        <v>0</v>
      </c>
      <c r="Q261" s="17">
        <v>0</v>
      </c>
      <c r="R261" s="17">
        <v>0</v>
      </c>
      <c r="S261" s="17">
        <v>0</v>
      </c>
      <c r="T261" s="17">
        <v>0</v>
      </c>
      <c r="U261" s="17">
        <v>0</v>
      </c>
      <c r="V261" s="17">
        <v>0</v>
      </c>
      <c r="W261" s="17">
        <v>0</v>
      </c>
      <c r="X261" s="17">
        <v>0</v>
      </c>
      <c r="Y261" s="17">
        <v>0</v>
      </c>
      <c r="Z261" s="17">
        <v>0</v>
      </c>
      <c r="AA261" s="17">
        <v>0</v>
      </c>
      <c r="AB261" s="17">
        <v>0</v>
      </c>
      <c r="AC261" s="17">
        <v>0</v>
      </c>
      <c r="AD261" s="17">
        <v>0</v>
      </c>
      <c r="AE261" s="17">
        <v>0</v>
      </c>
      <c r="AF261" s="17">
        <v>0</v>
      </c>
      <c r="AG261" s="17">
        <v>0</v>
      </c>
      <c r="AH261" s="17">
        <v>0</v>
      </c>
      <c r="AI261" s="17">
        <v>0</v>
      </c>
      <c r="AJ261" s="17">
        <v>0</v>
      </c>
      <c r="AK261" s="17">
        <v>5</v>
      </c>
      <c r="AL261" s="17">
        <v>11</v>
      </c>
      <c r="AM261" s="17">
        <v>20</v>
      </c>
      <c r="AN261" s="17">
        <v>23</v>
      </c>
      <c r="AO261" s="17">
        <v>30</v>
      </c>
      <c r="AP261" s="17">
        <v>44</v>
      </c>
      <c r="AQ261" s="17">
        <v>75</v>
      </c>
      <c r="AR261" s="17">
        <v>108</v>
      </c>
      <c r="AS261" s="17">
        <v>146</v>
      </c>
      <c r="AT261" s="17">
        <v>228</v>
      </c>
      <c r="AU261" s="17">
        <v>331</v>
      </c>
      <c r="AV261" s="17">
        <v>408</v>
      </c>
      <c r="AW261" s="17">
        <v>494</v>
      </c>
      <c r="AX261" s="17">
        <v>607</v>
      </c>
      <c r="AY261" s="17">
        <v>755</v>
      </c>
      <c r="AZ261" s="17">
        <v>959</v>
      </c>
      <c r="BA261" s="17">
        <v>1181</v>
      </c>
      <c r="BB261" s="17">
        <v>1504</v>
      </c>
      <c r="BC261" s="17">
        <v>1840</v>
      </c>
      <c r="BD261" s="17">
        <v>2265</v>
      </c>
      <c r="BE261" s="17">
        <v>2710</v>
      </c>
      <c r="BF261" s="17">
        <v>3149</v>
      </c>
      <c r="BG261" s="17">
        <v>3541</v>
      </c>
      <c r="BH261" s="17">
        <v>3938</v>
      </c>
      <c r="BI261" s="17">
        <v>4300</v>
      </c>
      <c r="BJ261" s="17">
        <v>4628</v>
      </c>
      <c r="BK261" s="17">
        <v>4899</v>
      </c>
      <c r="BL261" s="17">
        <v>5183</v>
      </c>
      <c r="BM261" s="17">
        <v>5492</v>
      </c>
      <c r="BN261" s="17">
        <v>5789</v>
      </c>
      <c r="BO261" s="17">
        <v>6076</v>
      </c>
      <c r="BP261" s="17">
        <v>6392</v>
      </c>
      <c r="BQ261" s="17">
        <v>6730</v>
      </c>
      <c r="BR261" s="17">
        <v>7025</v>
      </c>
      <c r="BS261" s="17">
        <v>7321</v>
      </c>
      <c r="BT261" s="17">
        <v>7620</v>
      </c>
      <c r="BU261" s="17">
        <v>7872</v>
      </c>
      <c r="BV261" s="17">
        <v>8050</v>
      </c>
      <c r="BW261" s="17">
        <v>8217</v>
      </c>
      <c r="BX261" s="17">
        <v>8365</v>
      </c>
      <c r="BY261" s="17">
        <v>8478</v>
      </c>
      <c r="BZ261" s="17">
        <v>8568</v>
      </c>
      <c r="CA261" s="17">
        <v>8624</v>
      </c>
      <c r="CB261" s="17">
        <v>8675</v>
      </c>
      <c r="CC261" s="17">
        <v>8710</v>
      </c>
      <c r="CD261" s="17">
        <v>8741</v>
      </c>
      <c r="CE261" s="17">
        <v>8754</v>
      </c>
      <c r="CF261" s="17">
        <v>8760</v>
      </c>
      <c r="CG261" s="17">
        <v>8760</v>
      </c>
      <c r="CH261" s="17">
        <v>8760</v>
      </c>
      <c r="CI261" s="17">
        <v>8760</v>
      </c>
      <c r="CJ261" s="17">
        <v>8760</v>
      </c>
      <c r="CK261" s="17">
        <v>8760</v>
      </c>
      <c r="CL261" s="17">
        <v>8760</v>
      </c>
      <c r="CM261" s="17">
        <v>8760</v>
      </c>
      <c r="CN261" s="17">
        <v>8760</v>
      </c>
      <c r="CO261" s="17">
        <v>8760</v>
      </c>
      <c r="CP261" s="17">
        <v>8760</v>
      </c>
      <c r="CQ261" s="17">
        <v>8760</v>
      </c>
      <c r="CR261" s="17">
        <v>8760</v>
      </c>
      <c r="CS261" s="17">
        <v>8760</v>
      </c>
      <c r="CT261" s="17">
        <v>8760</v>
      </c>
      <c r="CU261" s="17">
        <v>8760</v>
      </c>
      <c r="CV261" s="17">
        <v>8760</v>
      </c>
      <c r="CW261" s="17">
        <v>8760</v>
      </c>
      <c r="CX261" s="17">
        <v>8760</v>
      </c>
      <c r="CY261" s="17">
        <v>8760</v>
      </c>
      <c r="CZ261" s="17">
        <v>8760</v>
      </c>
      <c r="DA261" s="17">
        <v>8760</v>
      </c>
      <c r="DB261" s="17">
        <v>8760</v>
      </c>
    </row>
    <row r="262" spans="1:106" s="17" customFormat="1" x14ac:dyDescent="0.25">
      <c r="A262" s="22" t="s">
        <v>279</v>
      </c>
      <c r="B262" s="17" t="s">
        <v>278</v>
      </c>
      <c r="C262" s="17" t="s">
        <v>438</v>
      </c>
      <c r="D262" s="17" t="s">
        <v>872</v>
      </c>
      <c r="E262" s="17" t="s">
        <v>873</v>
      </c>
      <c r="F262" s="17">
        <v>102126</v>
      </c>
      <c r="G262" s="17">
        <v>0</v>
      </c>
      <c r="H262" s="17">
        <v>0</v>
      </c>
      <c r="I262" s="17">
        <v>0</v>
      </c>
      <c r="J262" s="17">
        <v>0</v>
      </c>
      <c r="K262" s="17">
        <v>0</v>
      </c>
      <c r="L262" s="17">
        <v>0</v>
      </c>
      <c r="M262" s="17">
        <v>0</v>
      </c>
      <c r="N262" s="17">
        <v>0</v>
      </c>
      <c r="O262" s="17">
        <v>0</v>
      </c>
      <c r="P262" s="17">
        <v>0</v>
      </c>
      <c r="Q262" s="17">
        <v>0</v>
      </c>
      <c r="R262" s="17">
        <v>0</v>
      </c>
      <c r="S262" s="17">
        <v>0</v>
      </c>
      <c r="T262" s="17">
        <v>0</v>
      </c>
      <c r="U262" s="17">
        <v>0</v>
      </c>
      <c r="V262" s="17">
        <v>0</v>
      </c>
      <c r="W262" s="17">
        <v>0</v>
      </c>
      <c r="X262" s="17">
        <v>0</v>
      </c>
      <c r="Y262" s="17">
        <v>0</v>
      </c>
      <c r="Z262" s="17">
        <v>0</v>
      </c>
      <c r="AA262" s="17">
        <v>0</v>
      </c>
      <c r="AB262" s="17">
        <v>0</v>
      </c>
      <c r="AC262" s="17">
        <v>0</v>
      </c>
      <c r="AD262" s="17">
        <v>0</v>
      </c>
      <c r="AE262" s="17">
        <v>0</v>
      </c>
      <c r="AF262" s="17">
        <v>0</v>
      </c>
      <c r="AG262" s="17">
        <v>0</v>
      </c>
      <c r="AH262" s="17">
        <v>0</v>
      </c>
      <c r="AI262" s="17">
        <v>0</v>
      </c>
      <c r="AJ262" s="17">
        <v>0</v>
      </c>
      <c r="AK262" s="17">
        <v>0</v>
      </c>
      <c r="AL262" s="17">
        <v>0</v>
      </c>
      <c r="AM262" s="17">
        <v>0</v>
      </c>
      <c r="AN262" s="17">
        <v>0</v>
      </c>
      <c r="AO262" s="17">
        <v>0</v>
      </c>
      <c r="AP262" s="17">
        <v>0</v>
      </c>
      <c r="AQ262" s="17">
        <v>1</v>
      </c>
      <c r="AR262" s="17">
        <v>11</v>
      </c>
      <c r="AS262" s="17">
        <v>22</v>
      </c>
      <c r="AT262" s="17">
        <v>30</v>
      </c>
      <c r="AU262" s="17">
        <v>44</v>
      </c>
      <c r="AV262" s="17">
        <v>65</v>
      </c>
      <c r="AW262" s="17">
        <v>92</v>
      </c>
      <c r="AX262" s="17">
        <v>122</v>
      </c>
      <c r="AY262" s="17">
        <v>168</v>
      </c>
      <c r="AZ262" s="17">
        <v>249</v>
      </c>
      <c r="BA262" s="17">
        <v>371</v>
      </c>
      <c r="BB262" s="17">
        <v>578</v>
      </c>
      <c r="BC262" s="17">
        <v>855</v>
      </c>
      <c r="BD262" s="17">
        <v>1202</v>
      </c>
      <c r="BE262" s="17">
        <v>1571</v>
      </c>
      <c r="BF262" s="17">
        <v>2007</v>
      </c>
      <c r="BG262" s="17">
        <v>2466</v>
      </c>
      <c r="BH262" s="17">
        <v>2876</v>
      </c>
      <c r="BI262" s="17">
        <v>3331</v>
      </c>
      <c r="BJ262" s="17">
        <v>3735</v>
      </c>
      <c r="BK262" s="17">
        <v>4138</v>
      </c>
      <c r="BL262" s="17">
        <v>4484</v>
      </c>
      <c r="BM262" s="17">
        <v>4780</v>
      </c>
      <c r="BN262" s="17">
        <v>5169</v>
      </c>
      <c r="BO262" s="17">
        <v>5546</v>
      </c>
      <c r="BP262" s="17">
        <v>5946</v>
      </c>
      <c r="BQ262" s="17">
        <v>6382</v>
      </c>
      <c r="BR262" s="17">
        <v>6806</v>
      </c>
      <c r="BS262" s="17">
        <v>7204</v>
      </c>
      <c r="BT262" s="17">
        <v>7506</v>
      </c>
      <c r="BU262" s="17">
        <v>7776</v>
      </c>
      <c r="BV262" s="17">
        <v>8019</v>
      </c>
      <c r="BW262" s="17">
        <v>8179</v>
      </c>
      <c r="BX262" s="17">
        <v>8297</v>
      </c>
      <c r="BY262" s="17">
        <v>8423</v>
      </c>
      <c r="BZ262" s="17">
        <v>8512</v>
      </c>
      <c r="CA262" s="17">
        <v>8569</v>
      </c>
      <c r="CB262" s="17">
        <v>8625</v>
      </c>
      <c r="CC262" s="17">
        <v>8671</v>
      </c>
      <c r="CD262" s="17">
        <v>8711</v>
      </c>
      <c r="CE262" s="17">
        <v>8735</v>
      </c>
      <c r="CF262" s="17">
        <v>8747</v>
      </c>
      <c r="CG262" s="17">
        <v>8757</v>
      </c>
      <c r="CH262" s="17">
        <v>8760</v>
      </c>
      <c r="CI262" s="17">
        <v>8760</v>
      </c>
      <c r="CJ262" s="17">
        <v>8760</v>
      </c>
      <c r="CK262" s="17">
        <v>8760</v>
      </c>
      <c r="CL262" s="17">
        <v>8760</v>
      </c>
      <c r="CM262" s="17">
        <v>8760</v>
      </c>
      <c r="CN262" s="17">
        <v>8760</v>
      </c>
      <c r="CO262" s="17">
        <v>8760</v>
      </c>
      <c r="CP262" s="17">
        <v>8760</v>
      </c>
      <c r="CQ262" s="17">
        <v>8760</v>
      </c>
      <c r="CR262" s="17">
        <v>8760</v>
      </c>
      <c r="CS262" s="17">
        <v>8760</v>
      </c>
      <c r="CT262" s="17">
        <v>8760</v>
      </c>
      <c r="CU262" s="17">
        <v>8760</v>
      </c>
      <c r="CV262" s="17">
        <v>8760</v>
      </c>
      <c r="CW262" s="17">
        <v>8760</v>
      </c>
      <c r="CX262" s="17">
        <v>8760</v>
      </c>
      <c r="CY262" s="17">
        <v>8760</v>
      </c>
      <c r="CZ262" s="17">
        <v>8760</v>
      </c>
      <c r="DA262" s="17">
        <v>8760</v>
      </c>
      <c r="DB262" s="17">
        <v>8760</v>
      </c>
    </row>
    <row r="263" spans="1:106" s="17" customFormat="1" x14ac:dyDescent="0.25">
      <c r="A263" s="22" t="s">
        <v>280</v>
      </c>
      <c r="B263" s="17" t="s">
        <v>279</v>
      </c>
      <c r="C263" s="17" t="s">
        <v>438</v>
      </c>
      <c r="D263" s="17" t="s">
        <v>874</v>
      </c>
      <c r="E263" s="17" t="s">
        <v>875</v>
      </c>
      <c r="F263" s="17">
        <v>102122</v>
      </c>
      <c r="G263" s="17">
        <v>0</v>
      </c>
      <c r="H263" s="17">
        <v>0</v>
      </c>
      <c r="I263" s="17">
        <v>0</v>
      </c>
      <c r="J263" s="17">
        <v>0</v>
      </c>
      <c r="K263" s="17">
        <v>0</v>
      </c>
      <c r="L263" s="17">
        <v>0</v>
      </c>
      <c r="M263" s="17">
        <v>0</v>
      </c>
      <c r="N263" s="17">
        <v>0</v>
      </c>
      <c r="O263" s="17">
        <v>0</v>
      </c>
      <c r="P263" s="17">
        <v>0</v>
      </c>
      <c r="Q263" s="17">
        <v>0</v>
      </c>
      <c r="R263" s="17">
        <v>0</v>
      </c>
      <c r="S263" s="17">
        <v>0</v>
      </c>
      <c r="T263" s="17">
        <v>0</v>
      </c>
      <c r="U263" s="17">
        <v>0</v>
      </c>
      <c r="V263" s="17">
        <v>0</v>
      </c>
      <c r="W263" s="17">
        <v>0</v>
      </c>
      <c r="X263" s="17">
        <v>0</v>
      </c>
      <c r="Y263" s="17">
        <v>0</v>
      </c>
      <c r="Z263" s="17">
        <v>0</v>
      </c>
      <c r="AA263" s="17">
        <v>0</v>
      </c>
      <c r="AB263" s="17">
        <v>0</v>
      </c>
      <c r="AC263" s="17">
        <v>0</v>
      </c>
      <c r="AD263" s="17">
        <v>0</v>
      </c>
      <c r="AE263" s="17">
        <v>0</v>
      </c>
      <c r="AF263" s="17">
        <v>0</v>
      </c>
      <c r="AG263" s="17">
        <v>0</v>
      </c>
      <c r="AH263" s="17">
        <v>0</v>
      </c>
      <c r="AI263" s="17">
        <v>0</v>
      </c>
      <c r="AJ263" s="17">
        <v>0</v>
      </c>
      <c r="AK263" s="17">
        <v>0</v>
      </c>
      <c r="AL263" s="17">
        <v>0</v>
      </c>
      <c r="AM263" s="17">
        <v>0</v>
      </c>
      <c r="AN263" s="17">
        <v>0</v>
      </c>
      <c r="AO263" s="17">
        <v>0</v>
      </c>
      <c r="AP263" s="17">
        <v>0</v>
      </c>
      <c r="AQ263" s="17">
        <v>1</v>
      </c>
      <c r="AR263" s="17">
        <v>10</v>
      </c>
      <c r="AS263" s="17">
        <v>12</v>
      </c>
      <c r="AT263" s="17">
        <v>15</v>
      </c>
      <c r="AU263" s="17">
        <v>23</v>
      </c>
      <c r="AV263" s="17">
        <v>44</v>
      </c>
      <c r="AW263" s="17">
        <v>66</v>
      </c>
      <c r="AX263" s="17">
        <v>89</v>
      </c>
      <c r="AY263" s="17">
        <v>110</v>
      </c>
      <c r="AZ263" s="17">
        <v>159</v>
      </c>
      <c r="BA263" s="17">
        <v>253</v>
      </c>
      <c r="BB263" s="17">
        <v>394</v>
      </c>
      <c r="BC263" s="17">
        <v>629</v>
      </c>
      <c r="BD263" s="17">
        <v>911</v>
      </c>
      <c r="BE263" s="17">
        <v>1269</v>
      </c>
      <c r="BF263" s="17">
        <v>1691</v>
      </c>
      <c r="BG263" s="17">
        <v>2117</v>
      </c>
      <c r="BH263" s="17">
        <v>2716</v>
      </c>
      <c r="BI263" s="17">
        <v>3293</v>
      </c>
      <c r="BJ263" s="17">
        <v>3674</v>
      </c>
      <c r="BK263" s="17">
        <v>4004</v>
      </c>
      <c r="BL263" s="17">
        <v>4342</v>
      </c>
      <c r="BM263" s="17">
        <v>4680</v>
      </c>
      <c r="BN263" s="17">
        <v>5045</v>
      </c>
      <c r="BO263" s="17">
        <v>5402</v>
      </c>
      <c r="BP263" s="17">
        <v>5803</v>
      </c>
      <c r="BQ263" s="17">
        <v>6223</v>
      </c>
      <c r="BR263" s="17">
        <v>6691</v>
      </c>
      <c r="BS263" s="17">
        <v>7095</v>
      </c>
      <c r="BT263" s="17">
        <v>7506</v>
      </c>
      <c r="BU263" s="17">
        <v>7824</v>
      </c>
      <c r="BV263" s="17">
        <v>8080</v>
      </c>
      <c r="BW263" s="17">
        <v>8268</v>
      </c>
      <c r="BX263" s="17">
        <v>8427</v>
      </c>
      <c r="BY263" s="17">
        <v>8556</v>
      </c>
      <c r="BZ263" s="17">
        <v>8630</v>
      </c>
      <c r="CA263" s="17">
        <v>8669</v>
      </c>
      <c r="CB263" s="17">
        <v>8701</v>
      </c>
      <c r="CC263" s="17">
        <v>8725</v>
      </c>
      <c r="CD263" s="17">
        <v>8749</v>
      </c>
      <c r="CE263" s="17">
        <v>8758</v>
      </c>
      <c r="CF263" s="17">
        <v>8760</v>
      </c>
      <c r="CG263" s="17">
        <v>8760</v>
      </c>
      <c r="CH263" s="17">
        <v>8760</v>
      </c>
      <c r="CI263" s="17">
        <v>8760</v>
      </c>
      <c r="CJ263" s="17">
        <v>8760</v>
      </c>
      <c r="CK263" s="17">
        <v>8760</v>
      </c>
      <c r="CL263" s="17">
        <v>8760</v>
      </c>
      <c r="CM263" s="17">
        <v>8760</v>
      </c>
      <c r="CN263" s="17">
        <v>8760</v>
      </c>
      <c r="CO263" s="17">
        <v>8760</v>
      </c>
      <c r="CP263" s="17">
        <v>8760</v>
      </c>
      <c r="CQ263" s="17">
        <v>8760</v>
      </c>
      <c r="CR263" s="17">
        <v>8760</v>
      </c>
      <c r="CS263" s="17">
        <v>8760</v>
      </c>
      <c r="CT263" s="17">
        <v>8760</v>
      </c>
      <c r="CU263" s="17">
        <v>8760</v>
      </c>
      <c r="CV263" s="17">
        <v>8760</v>
      </c>
      <c r="CW263" s="17">
        <v>8760</v>
      </c>
      <c r="CX263" s="17">
        <v>8760</v>
      </c>
      <c r="CY263" s="17">
        <v>8760</v>
      </c>
      <c r="CZ263" s="17">
        <v>8760</v>
      </c>
      <c r="DA263" s="17">
        <v>8760</v>
      </c>
      <c r="DB263" s="17">
        <v>8760</v>
      </c>
    </row>
    <row r="264" spans="1:106" s="17" customFormat="1" x14ac:dyDescent="0.25">
      <c r="A264" s="22" t="s">
        <v>281</v>
      </c>
      <c r="B264" s="17" t="s">
        <v>280</v>
      </c>
      <c r="C264" s="17" t="s">
        <v>438</v>
      </c>
      <c r="D264" s="17" t="s">
        <v>876</v>
      </c>
      <c r="E264" s="17" t="s">
        <v>877</v>
      </c>
      <c r="F264" s="17">
        <v>102802</v>
      </c>
      <c r="G264" s="17">
        <v>0</v>
      </c>
      <c r="H264" s="17">
        <v>0</v>
      </c>
      <c r="I264" s="17">
        <v>0</v>
      </c>
      <c r="J264" s="17">
        <v>0</v>
      </c>
      <c r="K264" s="17">
        <v>0</v>
      </c>
      <c r="L264" s="17">
        <v>0</v>
      </c>
      <c r="M264" s="17">
        <v>0</v>
      </c>
      <c r="N264" s="17">
        <v>0</v>
      </c>
      <c r="O264" s="17">
        <v>0</v>
      </c>
      <c r="P264" s="17">
        <v>0</v>
      </c>
      <c r="Q264" s="17">
        <v>0</v>
      </c>
      <c r="R264" s="17">
        <v>0</v>
      </c>
      <c r="S264" s="17">
        <v>0</v>
      </c>
      <c r="T264" s="17">
        <v>0</v>
      </c>
      <c r="U264" s="17">
        <v>0</v>
      </c>
      <c r="V264" s="17">
        <v>0</v>
      </c>
      <c r="W264" s="17">
        <v>0</v>
      </c>
      <c r="X264" s="17">
        <v>0</v>
      </c>
      <c r="Y264" s="17">
        <v>0</v>
      </c>
      <c r="Z264" s="17">
        <v>0</v>
      </c>
      <c r="AA264" s="17">
        <v>2</v>
      </c>
      <c r="AB264" s="17">
        <v>6</v>
      </c>
      <c r="AC264" s="17">
        <v>11</v>
      </c>
      <c r="AD264" s="17">
        <v>14</v>
      </c>
      <c r="AE264" s="17">
        <v>24</v>
      </c>
      <c r="AF264" s="17">
        <v>37</v>
      </c>
      <c r="AG264" s="17">
        <v>44</v>
      </c>
      <c r="AH264" s="17">
        <v>55</v>
      </c>
      <c r="AI264" s="17">
        <v>68</v>
      </c>
      <c r="AJ264" s="17">
        <v>89</v>
      </c>
      <c r="AK264" s="17">
        <v>131</v>
      </c>
      <c r="AL264" s="17">
        <v>156</v>
      </c>
      <c r="AM264" s="17">
        <v>193</v>
      </c>
      <c r="AN264" s="17">
        <v>244</v>
      </c>
      <c r="AO264" s="17">
        <v>302</v>
      </c>
      <c r="AP264" s="17">
        <v>376</v>
      </c>
      <c r="AQ264" s="17">
        <v>478</v>
      </c>
      <c r="AR264" s="17">
        <v>571</v>
      </c>
      <c r="AS264" s="17">
        <v>673</v>
      </c>
      <c r="AT264" s="17">
        <v>810</v>
      </c>
      <c r="AU264" s="17">
        <v>943</v>
      </c>
      <c r="AV264" s="17">
        <v>1072</v>
      </c>
      <c r="AW264" s="17">
        <v>1277</v>
      </c>
      <c r="AX264" s="17">
        <v>1500</v>
      </c>
      <c r="AY264" s="17">
        <v>1762</v>
      </c>
      <c r="AZ264" s="17">
        <v>2008</v>
      </c>
      <c r="BA264" s="17">
        <v>2312</v>
      </c>
      <c r="BB264" s="17">
        <v>2643</v>
      </c>
      <c r="BC264" s="17">
        <v>2977</v>
      </c>
      <c r="BD264" s="17">
        <v>3310</v>
      </c>
      <c r="BE264" s="17">
        <v>3694</v>
      </c>
      <c r="BF264" s="17">
        <v>3996</v>
      </c>
      <c r="BG264" s="17">
        <v>4332</v>
      </c>
      <c r="BH264" s="17">
        <v>4674</v>
      </c>
      <c r="BI264" s="17">
        <v>4987</v>
      </c>
      <c r="BJ264" s="17">
        <v>5282</v>
      </c>
      <c r="BK264" s="17">
        <v>5600</v>
      </c>
      <c r="BL264" s="17">
        <v>5890</v>
      </c>
      <c r="BM264" s="17">
        <v>6251</v>
      </c>
      <c r="BN264" s="17">
        <v>6616</v>
      </c>
      <c r="BO264" s="17">
        <v>6925</v>
      </c>
      <c r="BP264" s="17">
        <v>7206</v>
      </c>
      <c r="BQ264" s="17">
        <v>7505</v>
      </c>
      <c r="BR264" s="17">
        <v>7741</v>
      </c>
      <c r="BS264" s="17">
        <v>7949</v>
      </c>
      <c r="BT264" s="17">
        <v>8128</v>
      </c>
      <c r="BU264" s="17">
        <v>8268</v>
      </c>
      <c r="BV264" s="17">
        <v>8367</v>
      </c>
      <c r="BW264" s="17">
        <v>8452</v>
      </c>
      <c r="BX264" s="17">
        <v>8529</v>
      </c>
      <c r="BY264" s="17">
        <v>8575</v>
      </c>
      <c r="BZ264" s="17">
        <v>8612</v>
      </c>
      <c r="CA264" s="17">
        <v>8644</v>
      </c>
      <c r="CB264" s="17">
        <v>8665</v>
      </c>
      <c r="CC264" s="17">
        <v>8689</v>
      </c>
      <c r="CD264" s="17">
        <v>8723</v>
      </c>
      <c r="CE264" s="17">
        <v>8743</v>
      </c>
      <c r="CF264" s="17">
        <v>8758</v>
      </c>
      <c r="CG264" s="17">
        <v>8760</v>
      </c>
      <c r="CH264" s="17">
        <v>8760</v>
      </c>
      <c r="CI264" s="17">
        <v>8760</v>
      </c>
      <c r="CJ264" s="17">
        <v>8760</v>
      </c>
      <c r="CK264" s="17">
        <v>8760</v>
      </c>
      <c r="CL264" s="17">
        <v>8760</v>
      </c>
      <c r="CM264" s="17">
        <v>8760</v>
      </c>
      <c r="CN264" s="17">
        <v>8760</v>
      </c>
      <c r="CO264" s="17">
        <v>8760</v>
      </c>
      <c r="CP264" s="17">
        <v>8760</v>
      </c>
      <c r="CQ264" s="17">
        <v>8760</v>
      </c>
      <c r="CR264" s="17">
        <v>8760</v>
      </c>
      <c r="CS264" s="17">
        <v>8760</v>
      </c>
      <c r="CT264" s="17">
        <v>8760</v>
      </c>
      <c r="CU264" s="17">
        <v>8760</v>
      </c>
      <c r="CV264" s="17">
        <v>8760</v>
      </c>
      <c r="CW264" s="17">
        <v>8760</v>
      </c>
      <c r="CX264" s="17">
        <v>8760</v>
      </c>
      <c r="CY264" s="17">
        <v>8760</v>
      </c>
      <c r="CZ264" s="17">
        <v>8760</v>
      </c>
      <c r="DA264" s="17">
        <v>8760</v>
      </c>
      <c r="DB264" s="17">
        <v>8760</v>
      </c>
    </row>
    <row r="265" spans="1:106" s="17" customFormat="1" x14ac:dyDescent="0.25">
      <c r="A265" s="22" t="s">
        <v>282</v>
      </c>
      <c r="B265" s="17" t="s">
        <v>281</v>
      </c>
      <c r="C265" s="17" t="s">
        <v>438</v>
      </c>
      <c r="D265" s="17" t="s">
        <v>878</v>
      </c>
      <c r="E265" s="17" t="s">
        <v>879</v>
      </c>
      <c r="F265" s="17">
        <v>102245</v>
      </c>
      <c r="G265" s="17">
        <v>0</v>
      </c>
      <c r="H265" s="17">
        <v>0</v>
      </c>
      <c r="I265" s="17">
        <v>0</v>
      </c>
      <c r="J265" s="17">
        <v>0</v>
      </c>
      <c r="K265" s="17">
        <v>0</v>
      </c>
      <c r="L265" s="17">
        <v>0</v>
      </c>
      <c r="M265" s="17">
        <v>0</v>
      </c>
      <c r="N265" s="17">
        <v>0</v>
      </c>
      <c r="O265" s="17">
        <v>0</v>
      </c>
      <c r="P265" s="17">
        <v>0</v>
      </c>
      <c r="Q265" s="17">
        <v>0</v>
      </c>
      <c r="R265" s="17">
        <v>0</v>
      </c>
      <c r="S265" s="17">
        <v>0</v>
      </c>
      <c r="T265" s="17">
        <v>0</v>
      </c>
      <c r="U265" s="17">
        <v>0</v>
      </c>
      <c r="V265" s="17">
        <v>0</v>
      </c>
      <c r="W265" s="17">
        <v>0</v>
      </c>
      <c r="X265" s="17">
        <v>0</v>
      </c>
      <c r="Y265" s="17">
        <v>0</v>
      </c>
      <c r="Z265" s="17">
        <v>0</v>
      </c>
      <c r="AA265" s="17">
        <v>0</v>
      </c>
      <c r="AB265" s="17">
        <v>0</v>
      </c>
      <c r="AC265" s="17">
        <v>0</v>
      </c>
      <c r="AD265" s="17">
        <v>0</v>
      </c>
      <c r="AE265" s="17">
        <v>0</v>
      </c>
      <c r="AF265" s="17">
        <v>0</v>
      </c>
      <c r="AG265" s="17">
        <v>0</v>
      </c>
      <c r="AH265" s="17">
        <v>0</v>
      </c>
      <c r="AI265" s="17">
        <v>0</v>
      </c>
      <c r="AJ265" s="17">
        <v>0</v>
      </c>
      <c r="AK265" s="17">
        <v>0</v>
      </c>
      <c r="AL265" s="17">
        <v>0</v>
      </c>
      <c r="AM265" s="17">
        <v>0</v>
      </c>
      <c r="AN265" s="17">
        <v>3</v>
      </c>
      <c r="AO265" s="17">
        <v>13</v>
      </c>
      <c r="AP265" s="17">
        <v>25</v>
      </c>
      <c r="AQ265" s="17">
        <v>55</v>
      </c>
      <c r="AR265" s="17">
        <v>81</v>
      </c>
      <c r="AS265" s="17">
        <v>112</v>
      </c>
      <c r="AT265" s="17">
        <v>143</v>
      </c>
      <c r="AU265" s="17">
        <v>188</v>
      </c>
      <c r="AV265" s="17">
        <v>247</v>
      </c>
      <c r="AW265" s="17">
        <v>331</v>
      </c>
      <c r="AX265" s="17">
        <v>441</v>
      </c>
      <c r="AY265" s="17">
        <v>574</v>
      </c>
      <c r="AZ265" s="17">
        <v>743</v>
      </c>
      <c r="BA265" s="17">
        <v>909</v>
      </c>
      <c r="BB265" s="17">
        <v>1155</v>
      </c>
      <c r="BC265" s="17">
        <v>1426</v>
      </c>
      <c r="BD265" s="17">
        <v>1677</v>
      </c>
      <c r="BE265" s="17">
        <v>2080</v>
      </c>
      <c r="BF265" s="17">
        <v>2514</v>
      </c>
      <c r="BG265" s="17">
        <v>3001</v>
      </c>
      <c r="BH265" s="17">
        <v>3413</v>
      </c>
      <c r="BI265" s="17">
        <v>3778</v>
      </c>
      <c r="BJ265" s="17">
        <v>4165</v>
      </c>
      <c r="BK265" s="17">
        <v>4605</v>
      </c>
      <c r="BL265" s="17">
        <v>4950</v>
      </c>
      <c r="BM265" s="17">
        <v>5271</v>
      </c>
      <c r="BN265" s="17">
        <v>5656</v>
      </c>
      <c r="BO265" s="17">
        <v>6065</v>
      </c>
      <c r="BP265" s="17">
        <v>6436</v>
      </c>
      <c r="BQ265" s="17">
        <v>6800</v>
      </c>
      <c r="BR265" s="17">
        <v>7159</v>
      </c>
      <c r="BS265" s="17">
        <v>7505</v>
      </c>
      <c r="BT265" s="17">
        <v>7769</v>
      </c>
      <c r="BU265" s="17">
        <v>8005</v>
      </c>
      <c r="BV265" s="17">
        <v>8210</v>
      </c>
      <c r="BW265" s="17">
        <v>8362</v>
      </c>
      <c r="BX265" s="17">
        <v>8459</v>
      </c>
      <c r="BY265" s="17">
        <v>8528</v>
      </c>
      <c r="BZ265" s="17">
        <v>8583</v>
      </c>
      <c r="CA265" s="17">
        <v>8627</v>
      </c>
      <c r="CB265" s="17">
        <v>8665</v>
      </c>
      <c r="CC265" s="17">
        <v>8710</v>
      </c>
      <c r="CD265" s="17">
        <v>8733</v>
      </c>
      <c r="CE265" s="17">
        <v>8749</v>
      </c>
      <c r="CF265" s="17">
        <v>8758</v>
      </c>
      <c r="CG265" s="17">
        <v>8760</v>
      </c>
      <c r="CH265" s="17">
        <v>8760</v>
      </c>
      <c r="CI265" s="17">
        <v>8760</v>
      </c>
      <c r="CJ265" s="17">
        <v>8760</v>
      </c>
      <c r="CK265" s="17">
        <v>8760</v>
      </c>
      <c r="CL265" s="17">
        <v>8760</v>
      </c>
      <c r="CM265" s="17">
        <v>8760</v>
      </c>
      <c r="CN265" s="17">
        <v>8760</v>
      </c>
      <c r="CO265" s="17">
        <v>8760</v>
      </c>
      <c r="CP265" s="17">
        <v>8760</v>
      </c>
      <c r="CQ265" s="17">
        <v>8760</v>
      </c>
      <c r="CR265" s="17">
        <v>8760</v>
      </c>
      <c r="CS265" s="17">
        <v>8760</v>
      </c>
      <c r="CT265" s="17">
        <v>8760</v>
      </c>
      <c r="CU265" s="17">
        <v>8760</v>
      </c>
      <c r="CV265" s="17">
        <v>8760</v>
      </c>
      <c r="CW265" s="17">
        <v>8760</v>
      </c>
      <c r="CX265" s="17">
        <v>8760</v>
      </c>
      <c r="CY265" s="17">
        <v>8760</v>
      </c>
      <c r="CZ265" s="17">
        <v>8760</v>
      </c>
      <c r="DA265" s="17">
        <v>8760</v>
      </c>
      <c r="DB265" s="17">
        <v>8760</v>
      </c>
    </row>
    <row r="266" spans="1:106" s="17" customFormat="1" x14ac:dyDescent="0.25">
      <c r="A266" s="22" t="s">
        <v>283</v>
      </c>
      <c r="B266" s="17" t="s">
        <v>282</v>
      </c>
      <c r="C266" s="17" t="s">
        <v>438</v>
      </c>
      <c r="D266" s="17" t="s">
        <v>880</v>
      </c>
      <c r="E266" s="17" t="s">
        <v>881</v>
      </c>
      <c r="F266" s="17">
        <v>102821</v>
      </c>
      <c r="G266" s="17">
        <v>0</v>
      </c>
      <c r="H266" s="17">
        <v>0</v>
      </c>
      <c r="I266" s="17">
        <v>0</v>
      </c>
      <c r="J266" s="17">
        <v>0</v>
      </c>
      <c r="K266" s="17">
        <v>0</v>
      </c>
      <c r="L266" s="17">
        <v>0</v>
      </c>
      <c r="M266" s="17">
        <v>0</v>
      </c>
      <c r="N266" s="17">
        <v>0</v>
      </c>
      <c r="O266" s="17">
        <v>0</v>
      </c>
      <c r="P266" s="17">
        <v>0</v>
      </c>
      <c r="Q266" s="17">
        <v>0</v>
      </c>
      <c r="R266" s="17">
        <v>0</v>
      </c>
      <c r="S266" s="17">
        <v>0</v>
      </c>
      <c r="T266" s="17">
        <v>0</v>
      </c>
      <c r="U266" s="17">
        <v>0</v>
      </c>
      <c r="V266" s="17">
        <v>0</v>
      </c>
      <c r="W266" s="17">
        <v>0</v>
      </c>
      <c r="X266" s="17">
        <v>0</v>
      </c>
      <c r="Y266" s="17">
        <v>0</v>
      </c>
      <c r="Z266" s="17">
        <v>0</v>
      </c>
      <c r="AA266" s="17">
        <v>0</v>
      </c>
      <c r="AB266" s="17">
        <v>0</v>
      </c>
      <c r="AC266" s="17">
        <v>0</v>
      </c>
      <c r="AD266" s="17">
        <v>0</v>
      </c>
      <c r="AE266" s="17">
        <v>0</v>
      </c>
      <c r="AF266" s="17">
        <v>0</v>
      </c>
      <c r="AG266" s="17">
        <v>0</v>
      </c>
      <c r="AH266" s="17">
        <v>2</v>
      </c>
      <c r="AI266" s="17">
        <v>7</v>
      </c>
      <c r="AJ266" s="17">
        <v>20</v>
      </c>
      <c r="AK266" s="17">
        <v>35</v>
      </c>
      <c r="AL266" s="17">
        <v>50</v>
      </c>
      <c r="AM266" s="17">
        <v>69</v>
      </c>
      <c r="AN266" s="17">
        <v>91</v>
      </c>
      <c r="AO266" s="17">
        <v>142</v>
      </c>
      <c r="AP266" s="17">
        <v>197</v>
      </c>
      <c r="AQ266" s="17">
        <v>265</v>
      </c>
      <c r="AR266" s="17">
        <v>357</v>
      </c>
      <c r="AS266" s="17">
        <v>483</v>
      </c>
      <c r="AT266" s="17">
        <v>642</v>
      </c>
      <c r="AU266" s="17">
        <v>811</v>
      </c>
      <c r="AV266" s="17">
        <v>970</v>
      </c>
      <c r="AW266" s="17">
        <v>1182</v>
      </c>
      <c r="AX266" s="17">
        <v>1386</v>
      </c>
      <c r="AY266" s="17">
        <v>1615</v>
      </c>
      <c r="AZ266" s="17">
        <v>1863</v>
      </c>
      <c r="BA266" s="17">
        <v>2224</v>
      </c>
      <c r="BB266" s="17">
        <v>2576</v>
      </c>
      <c r="BC266" s="17">
        <v>2917</v>
      </c>
      <c r="BD266" s="17">
        <v>3316</v>
      </c>
      <c r="BE266" s="17">
        <v>3807</v>
      </c>
      <c r="BF266" s="17">
        <v>4187</v>
      </c>
      <c r="BG266" s="17">
        <v>4530</v>
      </c>
      <c r="BH266" s="17">
        <v>4841</v>
      </c>
      <c r="BI266" s="17">
        <v>5106</v>
      </c>
      <c r="BJ266" s="17">
        <v>5390</v>
      </c>
      <c r="BK266" s="17">
        <v>5728</v>
      </c>
      <c r="BL266" s="17">
        <v>6073</v>
      </c>
      <c r="BM266" s="17">
        <v>6426</v>
      </c>
      <c r="BN266" s="17">
        <v>6773</v>
      </c>
      <c r="BO266" s="17">
        <v>7114</v>
      </c>
      <c r="BP266" s="17">
        <v>7414</v>
      </c>
      <c r="BQ266" s="17">
        <v>7688</v>
      </c>
      <c r="BR266" s="17">
        <v>7908</v>
      </c>
      <c r="BS266" s="17">
        <v>8089</v>
      </c>
      <c r="BT266" s="17">
        <v>8217</v>
      </c>
      <c r="BU266" s="17">
        <v>8341</v>
      </c>
      <c r="BV266" s="17">
        <v>8451</v>
      </c>
      <c r="BW266" s="17">
        <v>8523</v>
      </c>
      <c r="BX266" s="17">
        <v>8595</v>
      </c>
      <c r="BY266" s="17">
        <v>8638</v>
      </c>
      <c r="BZ266" s="17">
        <v>8667</v>
      </c>
      <c r="CA266" s="17">
        <v>8695</v>
      </c>
      <c r="CB266" s="17">
        <v>8722</v>
      </c>
      <c r="CC266" s="17">
        <v>8742</v>
      </c>
      <c r="CD266" s="17">
        <v>8752</v>
      </c>
      <c r="CE266" s="17">
        <v>8760</v>
      </c>
      <c r="CF266" s="17">
        <v>8760</v>
      </c>
      <c r="CG266" s="17">
        <v>8760</v>
      </c>
      <c r="CH266" s="17">
        <v>8760</v>
      </c>
      <c r="CI266" s="17">
        <v>8760</v>
      </c>
      <c r="CJ266" s="17">
        <v>8760</v>
      </c>
      <c r="CK266" s="17">
        <v>8760</v>
      </c>
      <c r="CL266" s="17">
        <v>8760</v>
      </c>
      <c r="CM266" s="17">
        <v>8760</v>
      </c>
      <c r="CN266" s="17">
        <v>8760</v>
      </c>
      <c r="CO266" s="17">
        <v>8760</v>
      </c>
      <c r="CP266" s="17">
        <v>8760</v>
      </c>
      <c r="CQ266" s="17">
        <v>8760</v>
      </c>
      <c r="CR266" s="17">
        <v>8760</v>
      </c>
      <c r="CS266" s="17">
        <v>8760</v>
      </c>
      <c r="CT266" s="17">
        <v>8760</v>
      </c>
      <c r="CU266" s="17">
        <v>8760</v>
      </c>
      <c r="CV266" s="17">
        <v>8760</v>
      </c>
      <c r="CW266" s="17">
        <v>8760</v>
      </c>
      <c r="CX266" s="17">
        <v>8760</v>
      </c>
      <c r="CY266" s="17">
        <v>8760</v>
      </c>
      <c r="CZ266" s="17">
        <v>8760</v>
      </c>
      <c r="DA266" s="17">
        <v>8760</v>
      </c>
      <c r="DB266" s="17">
        <v>8760</v>
      </c>
    </row>
    <row r="267" spans="1:106" s="17" customFormat="1" x14ac:dyDescent="0.25">
      <c r="A267" s="22" t="s">
        <v>284</v>
      </c>
      <c r="B267" s="17" t="s">
        <v>242</v>
      </c>
      <c r="C267" s="17" t="s">
        <v>438</v>
      </c>
      <c r="D267" s="17" t="s">
        <v>882</v>
      </c>
      <c r="E267" s="17" t="s">
        <v>883</v>
      </c>
      <c r="F267" s="17">
        <v>102518</v>
      </c>
      <c r="G267" s="17">
        <v>0</v>
      </c>
      <c r="H267" s="17">
        <v>0</v>
      </c>
      <c r="I267" s="17">
        <v>0</v>
      </c>
      <c r="J267" s="17">
        <v>0</v>
      </c>
      <c r="K267" s="17">
        <v>0</v>
      </c>
      <c r="L267" s="17">
        <v>0</v>
      </c>
      <c r="M267" s="17">
        <v>0</v>
      </c>
      <c r="N267" s="17">
        <v>0</v>
      </c>
      <c r="O267" s="17">
        <v>0</v>
      </c>
      <c r="P267" s="17">
        <v>0</v>
      </c>
      <c r="Q267" s="17">
        <v>0</v>
      </c>
      <c r="R267" s="17">
        <v>0</v>
      </c>
      <c r="S267" s="17">
        <v>0</v>
      </c>
      <c r="T267" s="17">
        <v>0</v>
      </c>
      <c r="U267" s="17">
        <v>0</v>
      </c>
      <c r="V267" s="17">
        <v>0</v>
      </c>
      <c r="W267" s="17">
        <v>0</v>
      </c>
      <c r="X267" s="17">
        <v>0</v>
      </c>
      <c r="Y267" s="17">
        <v>0</v>
      </c>
      <c r="Z267" s="17">
        <v>0</v>
      </c>
      <c r="AA267" s="17">
        <v>0</v>
      </c>
      <c r="AB267" s="17">
        <v>0</v>
      </c>
      <c r="AC267" s="17">
        <v>0</v>
      </c>
      <c r="AD267" s="17">
        <v>0</v>
      </c>
      <c r="AE267" s="17">
        <v>0</v>
      </c>
      <c r="AF267" s="17">
        <v>0</v>
      </c>
      <c r="AG267" s="17">
        <v>0</v>
      </c>
      <c r="AH267" s="17">
        <v>0</v>
      </c>
      <c r="AI267" s="17">
        <v>0</v>
      </c>
      <c r="AJ267" s="17">
        <v>0</v>
      </c>
      <c r="AK267" s="17">
        <v>0</v>
      </c>
      <c r="AL267" s="17">
        <v>0</v>
      </c>
      <c r="AM267" s="17">
        <v>0</v>
      </c>
      <c r="AN267" s="17">
        <v>1</v>
      </c>
      <c r="AO267" s="17">
        <v>15</v>
      </c>
      <c r="AP267" s="17">
        <v>35</v>
      </c>
      <c r="AQ267" s="17">
        <v>44</v>
      </c>
      <c r="AR267" s="17">
        <v>60</v>
      </c>
      <c r="AS267" s="17">
        <v>75</v>
      </c>
      <c r="AT267" s="17">
        <v>98</v>
      </c>
      <c r="AU267" s="17">
        <v>121</v>
      </c>
      <c r="AV267" s="17">
        <v>190</v>
      </c>
      <c r="AW267" s="17">
        <v>270</v>
      </c>
      <c r="AX267" s="17">
        <v>368</v>
      </c>
      <c r="AY267" s="17">
        <v>480</v>
      </c>
      <c r="AZ267" s="17">
        <v>576</v>
      </c>
      <c r="BA267" s="17">
        <v>695</v>
      </c>
      <c r="BB267" s="17">
        <v>840</v>
      </c>
      <c r="BC267" s="17">
        <v>1097</v>
      </c>
      <c r="BD267" s="17">
        <v>1434</v>
      </c>
      <c r="BE267" s="17">
        <v>1937</v>
      </c>
      <c r="BF267" s="17">
        <v>2443</v>
      </c>
      <c r="BG267" s="17">
        <v>2876</v>
      </c>
      <c r="BH267" s="17">
        <v>3300</v>
      </c>
      <c r="BI267" s="17">
        <v>3744</v>
      </c>
      <c r="BJ267" s="17">
        <v>4128</v>
      </c>
      <c r="BK267" s="17">
        <v>4426</v>
      </c>
      <c r="BL267" s="17">
        <v>4724</v>
      </c>
      <c r="BM267" s="17">
        <v>5068</v>
      </c>
      <c r="BN267" s="17">
        <v>5415</v>
      </c>
      <c r="BO267" s="17">
        <v>5767</v>
      </c>
      <c r="BP267" s="17">
        <v>6133</v>
      </c>
      <c r="BQ267" s="17">
        <v>6496</v>
      </c>
      <c r="BR267" s="17">
        <v>6927</v>
      </c>
      <c r="BS267" s="17">
        <v>7327</v>
      </c>
      <c r="BT267" s="17">
        <v>7661</v>
      </c>
      <c r="BU267" s="17">
        <v>7944</v>
      </c>
      <c r="BV267" s="17">
        <v>8172</v>
      </c>
      <c r="BW267" s="17">
        <v>8340</v>
      </c>
      <c r="BX267" s="17">
        <v>8461</v>
      </c>
      <c r="BY267" s="17">
        <v>8554</v>
      </c>
      <c r="BZ267" s="17">
        <v>8617</v>
      </c>
      <c r="CA267" s="17">
        <v>8677</v>
      </c>
      <c r="CB267" s="17">
        <v>8721</v>
      </c>
      <c r="CC267" s="17">
        <v>8744</v>
      </c>
      <c r="CD267" s="17">
        <v>8753</v>
      </c>
      <c r="CE267" s="17">
        <v>8760</v>
      </c>
      <c r="CF267" s="17">
        <v>8760</v>
      </c>
      <c r="CG267" s="17">
        <v>8760</v>
      </c>
      <c r="CH267" s="17">
        <v>8760</v>
      </c>
      <c r="CI267" s="17">
        <v>8760</v>
      </c>
      <c r="CJ267" s="17">
        <v>8760</v>
      </c>
      <c r="CK267" s="17">
        <v>8760</v>
      </c>
      <c r="CL267" s="17">
        <v>8760</v>
      </c>
      <c r="CM267" s="17">
        <v>8760</v>
      </c>
      <c r="CN267" s="17">
        <v>8760</v>
      </c>
      <c r="CO267" s="17">
        <v>8760</v>
      </c>
      <c r="CP267" s="17">
        <v>8760</v>
      </c>
      <c r="CQ267" s="17">
        <v>8760</v>
      </c>
      <c r="CR267" s="17">
        <v>8760</v>
      </c>
      <c r="CS267" s="17">
        <v>8760</v>
      </c>
      <c r="CT267" s="17">
        <v>8760</v>
      </c>
      <c r="CU267" s="17">
        <v>8760</v>
      </c>
      <c r="CV267" s="17">
        <v>8760</v>
      </c>
      <c r="CW267" s="17">
        <v>8760</v>
      </c>
      <c r="CX267" s="17">
        <v>8760</v>
      </c>
      <c r="CY267" s="17">
        <v>8760</v>
      </c>
      <c r="CZ267" s="17">
        <v>8760</v>
      </c>
      <c r="DA267" s="17">
        <v>8760</v>
      </c>
      <c r="DB267" s="17">
        <v>8760</v>
      </c>
    </row>
    <row r="268" spans="1:106" s="17" customFormat="1" x14ac:dyDescent="0.25">
      <c r="A268" s="22" t="s">
        <v>285</v>
      </c>
      <c r="B268" s="17" t="s">
        <v>236</v>
      </c>
      <c r="C268" s="17" t="s">
        <v>438</v>
      </c>
      <c r="D268" s="17" t="s">
        <v>884</v>
      </c>
      <c r="E268" s="17" t="s">
        <v>885</v>
      </c>
      <c r="F268" s="17">
        <v>102502</v>
      </c>
      <c r="G268" s="17">
        <v>0</v>
      </c>
      <c r="H268" s="17">
        <v>0</v>
      </c>
      <c r="I268" s="17">
        <v>0</v>
      </c>
      <c r="J268" s="17">
        <v>0</v>
      </c>
      <c r="K268" s="17">
        <v>0</v>
      </c>
      <c r="L268" s="17">
        <v>0</v>
      </c>
      <c r="M268" s="17">
        <v>0</v>
      </c>
      <c r="N268" s="17">
        <v>0</v>
      </c>
      <c r="O268" s="17">
        <v>0</v>
      </c>
      <c r="P268" s="17">
        <v>0</v>
      </c>
      <c r="Q268" s="17">
        <v>0</v>
      </c>
      <c r="R268" s="17">
        <v>0</v>
      </c>
      <c r="S268" s="17">
        <v>0</v>
      </c>
      <c r="T268" s="17">
        <v>0</v>
      </c>
      <c r="U268" s="17">
        <v>0</v>
      </c>
      <c r="V268" s="17">
        <v>0</v>
      </c>
      <c r="W268" s="17">
        <v>0</v>
      </c>
      <c r="X268" s="17">
        <v>0</v>
      </c>
      <c r="Y268" s="17">
        <v>0</v>
      </c>
      <c r="Z268" s="17">
        <v>0</v>
      </c>
      <c r="AA268" s="17">
        <v>0</v>
      </c>
      <c r="AB268" s="17">
        <v>0</v>
      </c>
      <c r="AC268" s="17">
        <v>0</v>
      </c>
      <c r="AD268" s="17">
        <v>0</v>
      </c>
      <c r="AE268" s="17">
        <v>0</v>
      </c>
      <c r="AF268" s="17">
        <v>0</v>
      </c>
      <c r="AG268" s="17">
        <v>0</v>
      </c>
      <c r="AH268" s="17">
        <v>0</v>
      </c>
      <c r="AI268" s="17">
        <v>5</v>
      </c>
      <c r="AJ268" s="17">
        <v>12</v>
      </c>
      <c r="AK268" s="17">
        <v>20</v>
      </c>
      <c r="AL268" s="17">
        <v>22</v>
      </c>
      <c r="AM268" s="17">
        <v>25</v>
      </c>
      <c r="AN268" s="17">
        <v>35</v>
      </c>
      <c r="AO268" s="17">
        <v>51</v>
      </c>
      <c r="AP268" s="17">
        <v>74</v>
      </c>
      <c r="AQ268" s="17">
        <v>105</v>
      </c>
      <c r="AR268" s="17">
        <v>140</v>
      </c>
      <c r="AS268" s="17">
        <v>159</v>
      </c>
      <c r="AT268" s="17">
        <v>189</v>
      </c>
      <c r="AU268" s="17">
        <v>225</v>
      </c>
      <c r="AV268" s="17">
        <v>275</v>
      </c>
      <c r="AW268" s="17">
        <v>347</v>
      </c>
      <c r="AX268" s="17">
        <v>430</v>
      </c>
      <c r="AY268" s="17">
        <v>532</v>
      </c>
      <c r="AZ268" s="17">
        <v>665</v>
      </c>
      <c r="BA268" s="17">
        <v>843</v>
      </c>
      <c r="BB268" s="17">
        <v>1051</v>
      </c>
      <c r="BC268" s="17">
        <v>1350</v>
      </c>
      <c r="BD268" s="17">
        <v>1657</v>
      </c>
      <c r="BE268" s="17">
        <v>2098</v>
      </c>
      <c r="BF268" s="17">
        <v>2540</v>
      </c>
      <c r="BG268" s="17">
        <v>2905</v>
      </c>
      <c r="BH268" s="17">
        <v>3368</v>
      </c>
      <c r="BI268" s="17">
        <v>3782</v>
      </c>
      <c r="BJ268" s="17">
        <v>4154</v>
      </c>
      <c r="BK268" s="17">
        <v>4509</v>
      </c>
      <c r="BL268" s="17">
        <v>4868</v>
      </c>
      <c r="BM268" s="17">
        <v>5255</v>
      </c>
      <c r="BN268" s="17">
        <v>5595</v>
      </c>
      <c r="BO268" s="17">
        <v>5995</v>
      </c>
      <c r="BP268" s="17">
        <v>6363</v>
      </c>
      <c r="BQ268" s="17">
        <v>6696</v>
      </c>
      <c r="BR268" s="17">
        <v>7013</v>
      </c>
      <c r="BS268" s="17">
        <v>7367</v>
      </c>
      <c r="BT268" s="17">
        <v>7665</v>
      </c>
      <c r="BU268" s="17">
        <v>7920</v>
      </c>
      <c r="BV268" s="17">
        <v>8150</v>
      </c>
      <c r="BW268" s="17">
        <v>8351</v>
      </c>
      <c r="BX268" s="17">
        <v>8482</v>
      </c>
      <c r="BY268" s="17">
        <v>8583</v>
      </c>
      <c r="BZ268" s="17">
        <v>8643</v>
      </c>
      <c r="CA268" s="17">
        <v>8675</v>
      </c>
      <c r="CB268" s="17">
        <v>8691</v>
      </c>
      <c r="CC268" s="17">
        <v>8709</v>
      </c>
      <c r="CD268" s="17">
        <v>8735</v>
      </c>
      <c r="CE268" s="17">
        <v>8753</v>
      </c>
      <c r="CF268" s="17">
        <v>8760</v>
      </c>
      <c r="CG268" s="17">
        <v>8760</v>
      </c>
      <c r="CH268" s="17">
        <v>8760</v>
      </c>
      <c r="CI268" s="17">
        <v>8760</v>
      </c>
      <c r="CJ268" s="17">
        <v>8760</v>
      </c>
      <c r="CK268" s="17">
        <v>8760</v>
      </c>
      <c r="CL268" s="17">
        <v>8760</v>
      </c>
      <c r="CM268" s="17">
        <v>8760</v>
      </c>
      <c r="CN268" s="17">
        <v>8760</v>
      </c>
      <c r="CO268" s="17">
        <v>8760</v>
      </c>
      <c r="CP268" s="17">
        <v>8760</v>
      </c>
      <c r="CQ268" s="17">
        <v>8760</v>
      </c>
      <c r="CR268" s="17">
        <v>8760</v>
      </c>
      <c r="CS268" s="17">
        <v>8760</v>
      </c>
      <c r="CT268" s="17">
        <v>8760</v>
      </c>
      <c r="CU268" s="17">
        <v>8760</v>
      </c>
      <c r="CV268" s="17">
        <v>8760</v>
      </c>
      <c r="CW268" s="17">
        <v>8760</v>
      </c>
      <c r="CX268" s="17">
        <v>8760</v>
      </c>
      <c r="CY268" s="17">
        <v>8760</v>
      </c>
      <c r="CZ268" s="17">
        <v>8760</v>
      </c>
      <c r="DA268" s="17">
        <v>8760</v>
      </c>
      <c r="DB268" s="17">
        <v>8760</v>
      </c>
    </row>
    <row r="269" spans="1:106" s="17" customFormat="1" x14ac:dyDescent="0.25">
      <c r="A269" s="22" t="s">
        <v>286</v>
      </c>
      <c r="B269" s="17" t="s">
        <v>1216</v>
      </c>
      <c r="C269" s="17" t="s">
        <v>438</v>
      </c>
      <c r="D269" s="17" t="s">
        <v>886</v>
      </c>
      <c r="E269" s="17" t="s">
        <v>887</v>
      </c>
      <c r="F269" s="17">
        <v>102714</v>
      </c>
      <c r="G269" s="17">
        <v>0</v>
      </c>
      <c r="H269" s="17">
        <v>0</v>
      </c>
      <c r="I269" s="17">
        <v>0</v>
      </c>
      <c r="J269" s="17">
        <v>0</v>
      </c>
      <c r="K269" s="17">
        <v>0</v>
      </c>
      <c r="L269" s="17">
        <v>0</v>
      </c>
      <c r="M269" s="17">
        <v>0</v>
      </c>
      <c r="N269" s="17">
        <v>0</v>
      </c>
      <c r="O269" s="17">
        <v>0</v>
      </c>
      <c r="P269" s="17">
        <v>0</v>
      </c>
      <c r="Q269" s="17">
        <v>0</v>
      </c>
      <c r="R269" s="17">
        <v>0</v>
      </c>
      <c r="S269" s="17">
        <v>0</v>
      </c>
      <c r="T269" s="17">
        <v>0</v>
      </c>
      <c r="U269" s="17">
        <v>0</v>
      </c>
      <c r="V269" s="17">
        <v>0</v>
      </c>
      <c r="W269" s="17">
        <v>0</v>
      </c>
      <c r="X269" s="17">
        <v>0</v>
      </c>
      <c r="Y269" s="17">
        <v>0</v>
      </c>
      <c r="Z269" s="17">
        <v>0</v>
      </c>
      <c r="AA269" s="17">
        <v>2</v>
      </c>
      <c r="AB269" s="17">
        <v>10</v>
      </c>
      <c r="AC269" s="17">
        <v>13</v>
      </c>
      <c r="AD269" s="17">
        <v>22</v>
      </c>
      <c r="AE269" s="17">
        <v>34</v>
      </c>
      <c r="AF269" s="17">
        <v>42</v>
      </c>
      <c r="AG269" s="17">
        <v>49</v>
      </c>
      <c r="AH269" s="17">
        <v>65</v>
      </c>
      <c r="AI269" s="17">
        <v>87</v>
      </c>
      <c r="AJ269" s="17">
        <v>116</v>
      </c>
      <c r="AK269" s="17">
        <v>151</v>
      </c>
      <c r="AL269" s="17">
        <v>186</v>
      </c>
      <c r="AM269" s="17">
        <v>224</v>
      </c>
      <c r="AN269" s="17">
        <v>271</v>
      </c>
      <c r="AO269" s="17">
        <v>329</v>
      </c>
      <c r="AP269" s="17">
        <v>382</v>
      </c>
      <c r="AQ269" s="17">
        <v>463</v>
      </c>
      <c r="AR269" s="17">
        <v>543</v>
      </c>
      <c r="AS269" s="17">
        <v>646</v>
      </c>
      <c r="AT269" s="17">
        <v>764</v>
      </c>
      <c r="AU269" s="17">
        <v>929</v>
      </c>
      <c r="AV269" s="17">
        <v>1150</v>
      </c>
      <c r="AW269" s="17">
        <v>1377</v>
      </c>
      <c r="AX269" s="17">
        <v>1599</v>
      </c>
      <c r="AY269" s="17">
        <v>1858</v>
      </c>
      <c r="AZ269" s="17">
        <v>2183</v>
      </c>
      <c r="BA269" s="17">
        <v>2554</v>
      </c>
      <c r="BB269" s="17">
        <v>2939</v>
      </c>
      <c r="BC269" s="17">
        <v>3279</v>
      </c>
      <c r="BD269" s="17">
        <v>3663</v>
      </c>
      <c r="BE269" s="17">
        <v>4079</v>
      </c>
      <c r="BF269" s="17">
        <v>4455</v>
      </c>
      <c r="BG269" s="17">
        <v>4789</v>
      </c>
      <c r="BH269" s="17">
        <v>5044</v>
      </c>
      <c r="BI269" s="17">
        <v>5349</v>
      </c>
      <c r="BJ269" s="17">
        <v>5623</v>
      </c>
      <c r="BK269" s="17">
        <v>5902</v>
      </c>
      <c r="BL269" s="17">
        <v>6235</v>
      </c>
      <c r="BM269" s="17">
        <v>6536</v>
      </c>
      <c r="BN269" s="17">
        <v>6801</v>
      </c>
      <c r="BO269" s="17">
        <v>7126</v>
      </c>
      <c r="BP269" s="17">
        <v>7402</v>
      </c>
      <c r="BQ269" s="17">
        <v>7675</v>
      </c>
      <c r="BR269" s="17">
        <v>7894</v>
      </c>
      <c r="BS269" s="17">
        <v>8086</v>
      </c>
      <c r="BT269" s="17">
        <v>8235</v>
      </c>
      <c r="BU269" s="17">
        <v>8338</v>
      </c>
      <c r="BV269" s="17">
        <v>8436</v>
      </c>
      <c r="BW269" s="17">
        <v>8526</v>
      </c>
      <c r="BX269" s="17">
        <v>8584</v>
      </c>
      <c r="BY269" s="17">
        <v>8637</v>
      </c>
      <c r="BZ269" s="17">
        <v>8663</v>
      </c>
      <c r="CA269" s="17">
        <v>8685</v>
      </c>
      <c r="CB269" s="17">
        <v>8707</v>
      </c>
      <c r="CC269" s="17">
        <v>8728</v>
      </c>
      <c r="CD269" s="17">
        <v>8738</v>
      </c>
      <c r="CE269" s="17">
        <v>8757</v>
      </c>
      <c r="CF269" s="17">
        <v>8760</v>
      </c>
      <c r="CG269" s="17">
        <v>8760</v>
      </c>
      <c r="CH269" s="17">
        <v>8760</v>
      </c>
      <c r="CI269" s="17">
        <v>8760</v>
      </c>
      <c r="CJ269" s="17">
        <v>8760</v>
      </c>
      <c r="CK269" s="17">
        <v>8760</v>
      </c>
      <c r="CL269" s="17">
        <v>8760</v>
      </c>
      <c r="CM269" s="17">
        <v>8760</v>
      </c>
      <c r="CN269" s="17">
        <v>8760</v>
      </c>
      <c r="CO269" s="17">
        <v>8760</v>
      </c>
      <c r="CP269" s="17">
        <v>8760</v>
      </c>
      <c r="CQ269" s="17">
        <v>8760</v>
      </c>
      <c r="CR269" s="17">
        <v>8760</v>
      </c>
      <c r="CS269" s="17">
        <v>8760</v>
      </c>
      <c r="CT269" s="17">
        <v>8760</v>
      </c>
      <c r="CU269" s="17">
        <v>8760</v>
      </c>
      <c r="CV269" s="17">
        <v>8760</v>
      </c>
      <c r="CW269" s="17">
        <v>8760</v>
      </c>
      <c r="CX269" s="17">
        <v>8760</v>
      </c>
      <c r="CY269" s="17">
        <v>8760</v>
      </c>
      <c r="CZ269" s="17">
        <v>8760</v>
      </c>
      <c r="DA269" s="17">
        <v>8760</v>
      </c>
      <c r="DB269" s="17">
        <v>8760</v>
      </c>
    </row>
    <row r="270" spans="1:106" s="17" customFormat="1" x14ac:dyDescent="0.25">
      <c r="A270" s="22" t="s">
        <v>287</v>
      </c>
      <c r="B270" s="17" t="s">
        <v>241</v>
      </c>
      <c r="C270" s="17" t="s">
        <v>438</v>
      </c>
      <c r="D270" s="17" t="s">
        <v>888</v>
      </c>
      <c r="E270" s="17" t="s">
        <v>889</v>
      </c>
      <c r="F270" s="17">
        <v>102713</v>
      </c>
      <c r="G270" s="17">
        <v>0</v>
      </c>
      <c r="H270" s="17">
        <v>0</v>
      </c>
      <c r="I270" s="17">
        <v>0</v>
      </c>
      <c r="J270" s="17">
        <v>0</v>
      </c>
      <c r="K270" s="17">
        <v>0</v>
      </c>
      <c r="L270" s="17">
        <v>0</v>
      </c>
      <c r="M270" s="17">
        <v>0</v>
      </c>
      <c r="N270" s="17">
        <v>0</v>
      </c>
      <c r="O270" s="17">
        <v>0</v>
      </c>
      <c r="P270" s="17">
        <v>0</v>
      </c>
      <c r="Q270" s="17">
        <v>0</v>
      </c>
      <c r="R270" s="17">
        <v>0</v>
      </c>
      <c r="S270" s="17">
        <v>0</v>
      </c>
      <c r="T270" s="17">
        <v>0</v>
      </c>
      <c r="U270" s="17">
        <v>0</v>
      </c>
      <c r="V270" s="17">
        <v>0</v>
      </c>
      <c r="W270" s="17">
        <v>0</v>
      </c>
      <c r="X270" s="17">
        <v>0</v>
      </c>
      <c r="Y270" s="17">
        <v>6</v>
      </c>
      <c r="Z270" s="17">
        <v>18</v>
      </c>
      <c r="AA270" s="17">
        <v>23</v>
      </c>
      <c r="AB270" s="17">
        <v>27</v>
      </c>
      <c r="AC270" s="17">
        <v>39</v>
      </c>
      <c r="AD270" s="17">
        <v>57</v>
      </c>
      <c r="AE270" s="17">
        <v>77</v>
      </c>
      <c r="AF270" s="17">
        <v>96</v>
      </c>
      <c r="AG270" s="17">
        <v>122</v>
      </c>
      <c r="AH270" s="17">
        <v>152</v>
      </c>
      <c r="AI270" s="17">
        <v>185</v>
      </c>
      <c r="AJ270" s="17">
        <v>225</v>
      </c>
      <c r="AK270" s="17">
        <v>270</v>
      </c>
      <c r="AL270" s="17">
        <v>319</v>
      </c>
      <c r="AM270" s="17">
        <v>356</v>
      </c>
      <c r="AN270" s="17">
        <v>416</v>
      </c>
      <c r="AO270" s="17">
        <v>481</v>
      </c>
      <c r="AP270" s="17">
        <v>560</v>
      </c>
      <c r="AQ270" s="17">
        <v>651</v>
      </c>
      <c r="AR270" s="17">
        <v>778</v>
      </c>
      <c r="AS270" s="17">
        <v>896</v>
      </c>
      <c r="AT270" s="17">
        <v>1029</v>
      </c>
      <c r="AU270" s="17">
        <v>1193</v>
      </c>
      <c r="AV270" s="17">
        <v>1331</v>
      </c>
      <c r="AW270" s="17">
        <v>1531</v>
      </c>
      <c r="AX270" s="17">
        <v>1773</v>
      </c>
      <c r="AY270" s="17">
        <v>1978</v>
      </c>
      <c r="AZ270" s="17">
        <v>2206</v>
      </c>
      <c r="BA270" s="17">
        <v>2474</v>
      </c>
      <c r="BB270" s="17">
        <v>2778</v>
      </c>
      <c r="BC270" s="17">
        <v>3155</v>
      </c>
      <c r="BD270" s="17">
        <v>3535</v>
      </c>
      <c r="BE270" s="17">
        <v>4031</v>
      </c>
      <c r="BF270" s="17">
        <v>4406</v>
      </c>
      <c r="BG270" s="17">
        <v>4706</v>
      </c>
      <c r="BH270" s="17">
        <v>4982</v>
      </c>
      <c r="BI270" s="17">
        <v>5269</v>
      </c>
      <c r="BJ270" s="17">
        <v>5583</v>
      </c>
      <c r="BK270" s="17">
        <v>5864</v>
      </c>
      <c r="BL270" s="17">
        <v>6188</v>
      </c>
      <c r="BM270" s="17">
        <v>6514</v>
      </c>
      <c r="BN270" s="17">
        <v>6823</v>
      </c>
      <c r="BO270" s="17">
        <v>7154</v>
      </c>
      <c r="BP270" s="17">
        <v>7503</v>
      </c>
      <c r="BQ270" s="17">
        <v>7793</v>
      </c>
      <c r="BR270" s="17">
        <v>8005</v>
      </c>
      <c r="BS270" s="17">
        <v>8206</v>
      </c>
      <c r="BT270" s="17">
        <v>8363</v>
      </c>
      <c r="BU270" s="17">
        <v>8466</v>
      </c>
      <c r="BV270" s="17">
        <v>8538</v>
      </c>
      <c r="BW270" s="17">
        <v>8603</v>
      </c>
      <c r="BX270" s="17">
        <v>8641</v>
      </c>
      <c r="BY270" s="17">
        <v>8659</v>
      </c>
      <c r="BZ270" s="17">
        <v>8676</v>
      </c>
      <c r="CA270" s="17">
        <v>8694</v>
      </c>
      <c r="CB270" s="17">
        <v>8724</v>
      </c>
      <c r="CC270" s="17">
        <v>8744</v>
      </c>
      <c r="CD270" s="17">
        <v>8752</v>
      </c>
      <c r="CE270" s="17">
        <v>8757</v>
      </c>
      <c r="CF270" s="17">
        <v>8758</v>
      </c>
      <c r="CG270" s="17">
        <v>8760</v>
      </c>
      <c r="CH270" s="17">
        <v>8760</v>
      </c>
      <c r="CI270" s="17">
        <v>8760</v>
      </c>
      <c r="CJ270" s="17">
        <v>8760</v>
      </c>
      <c r="CK270" s="17">
        <v>8760</v>
      </c>
      <c r="CL270" s="17">
        <v>8760</v>
      </c>
      <c r="CM270" s="17">
        <v>8760</v>
      </c>
      <c r="CN270" s="17">
        <v>8760</v>
      </c>
      <c r="CO270" s="17">
        <v>8760</v>
      </c>
      <c r="CP270" s="17">
        <v>8760</v>
      </c>
      <c r="CQ270" s="17">
        <v>8760</v>
      </c>
      <c r="CR270" s="17">
        <v>8760</v>
      </c>
      <c r="CS270" s="17">
        <v>8760</v>
      </c>
      <c r="CT270" s="17">
        <v>8760</v>
      </c>
      <c r="CU270" s="17">
        <v>8760</v>
      </c>
      <c r="CV270" s="17">
        <v>8760</v>
      </c>
      <c r="CW270" s="17">
        <v>8760</v>
      </c>
      <c r="CX270" s="17">
        <v>8760</v>
      </c>
      <c r="CY270" s="17">
        <v>8760</v>
      </c>
      <c r="CZ270" s="17">
        <v>8760</v>
      </c>
      <c r="DA270" s="17">
        <v>8760</v>
      </c>
      <c r="DB270" s="17">
        <v>8760</v>
      </c>
    </row>
    <row r="271" spans="1:106" s="17" customFormat="1" x14ac:dyDescent="0.25">
      <c r="A271" s="22" t="s">
        <v>288</v>
      </c>
      <c r="B271" s="17" t="s">
        <v>243</v>
      </c>
      <c r="C271" s="17" t="s">
        <v>438</v>
      </c>
      <c r="D271" s="17" t="s">
        <v>890</v>
      </c>
      <c r="E271" s="17" t="s">
        <v>891</v>
      </c>
      <c r="F271" s="17">
        <v>102703</v>
      </c>
      <c r="G271" s="17">
        <v>0</v>
      </c>
      <c r="H271" s="17">
        <v>0</v>
      </c>
      <c r="I271" s="17">
        <v>0</v>
      </c>
      <c r="J271" s="17">
        <v>0</v>
      </c>
      <c r="K271" s="17">
        <v>0</v>
      </c>
      <c r="L271" s="17">
        <v>0</v>
      </c>
      <c r="M271" s="17">
        <v>0</v>
      </c>
      <c r="N271" s="17">
        <v>0</v>
      </c>
      <c r="O271" s="17">
        <v>0</v>
      </c>
      <c r="P271" s="17">
        <v>0</v>
      </c>
      <c r="Q271" s="17">
        <v>0</v>
      </c>
      <c r="R271" s="17">
        <v>0</v>
      </c>
      <c r="S271" s="17">
        <v>0</v>
      </c>
      <c r="T271" s="17">
        <v>0</v>
      </c>
      <c r="U271" s="17">
        <v>0</v>
      </c>
      <c r="V271" s="17">
        <v>0</v>
      </c>
      <c r="W271" s="17">
        <v>0</v>
      </c>
      <c r="X271" s="17">
        <v>0</v>
      </c>
      <c r="Y271" s="17">
        <v>0</v>
      </c>
      <c r="Z271" s="17">
        <v>0</v>
      </c>
      <c r="AA271" s="17">
        <v>0</v>
      </c>
      <c r="AB271" s="17">
        <v>0</v>
      </c>
      <c r="AC271" s="17">
        <v>0</v>
      </c>
      <c r="AD271" s="17">
        <v>0</v>
      </c>
      <c r="AE271" s="17">
        <v>0</v>
      </c>
      <c r="AF271" s="17">
        <v>0</v>
      </c>
      <c r="AG271" s="17">
        <v>0</v>
      </c>
      <c r="AH271" s="17">
        <v>0</v>
      </c>
      <c r="AI271" s="17">
        <v>0</v>
      </c>
      <c r="AJ271" s="17">
        <v>2</v>
      </c>
      <c r="AK271" s="17">
        <v>7</v>
      </c>
      <c r="AL271" s="17">
        <v>20</v>
      </c>
      <c r="AM271" s="17">
        <v>36</v>
      </c>
      <c r="AN271" s="17">
        <v>71</v>
      </c>
      <c r="AO271" s="17">
        <v>109</v>
      </c>
      <c r="AP271" s="17">
        <v>159</v>
      </c>
      <c r="AQ271" s="17">
        <v>190</v>
      </c>
      <c r="AR271" s="17">
        <v>217</v>
      </c>
      <c r="AS271" s="17">
        <v>282</v>
      </c>
      <c r="AT271" s="17">
        <v>366</v>
      </c>
      <c r="AU271" s="17">
        <v>454</v>
      </c>
      <c r="AV271" s="17">
        <v>580</v>
      </c>
      <c r="AW271" s="17">
        <v>684</v>
      </c>
      <c r="AX271" s="17">
        <v>811</v>
      </c>
      <c r="AY271" s="17">
        <v>962</v>
      </c>
      <c r="AZ271" s="17">
        <v>1151</v>
      </c>
      <c r="BA271" s="17">
        <v>1385</v>
      </c>
      <c r="BB271" s="17">
        <v>1734</v>
      </c>
      <c r="BC271" s="17">
        <v>2186</v>
      </c>
      <c r="BD271" s="17">
        <v>2712</v>
      </c>
      <c r="BE271" s="17">
        <v>3182</v>
      </c>
      <c r="BF271" s="17">
        <v>3574</v>
      </c>
      <c r="BG271" s="17">
        <v>3905</v>
      </c>
      <c r="BH271" s="17">
        <v>4241</v>
      </c>
      <c r="BI271" s="17">
        <v>4555</v>
      </c>
      <c r="BJ271" s="17">
        <v>4825</v>
      </c>
      <c r="BK271" s="17">
        <v>5062</v>
      </c>
      <c r="BL271" s="17">
        <v>5301</v>
      </c>
      <c r="BM271" s="17">
        <v>5558</v>
      </c>
      <c r="BN271" s="17">
        <v>5880</v>
      </c>
      <c r="BO271" s="17">
        <v>6222</v>
      </c>
      <c r="BP271" s="17">
        <v>6569</v>
      </c>
      <c r="BQ271" s="17">
        <v>6919</v>
      </c>
      <c r="BR271" s="17">
        <v>7245</v>
      </c>
      <c r="BS271" s="17">
        <v>7528</v>
      </c>
      <c r="BT271" s="17">
        <v>7809</v>
      </c>
      <c r="BU271" s="17">
        <v>8054</v>
      </c>
      <c r="BV271" s="17">
        <v>8251</v>
      </c>
      <c r="BW271" s="17">
        <v>8414</v>
      </c>
      <c r="BX271" s="17">
        <v>8519</v>
      </c>
      <c r="BY271" s="17">
        <v>8602</v>
      </c>
      <c r="BZ271" s="17">
        <v>8667</v>
      </c>
      <c r="CA271" s="17">
        <v>8709</v>
      </c>
      <c r="CB271" s="17">
        <v>8737</v>
      </c>
      <c r="CC271" s="17">
        <v>8749</v>
      </c>
      <c r="CD271" s="17">
        <v>8758</v>
      </c>
      <c r="CE271" s="17">
        <v>8760</v>
      </c>
      <c r="CF271" s="17">
        <v>8760</v>
      </c>
      <c r="CG271" s="17">
        <v>8760</v>
      </c>
      <c r="CH271" s="17">
        <v>8760</v>
      </c>
      <c r="CI271" s="17">
        <v>8760</v>
      </c>
      <c r="CJ271" s="17">
        <v>8760</v>
      </c>
      <c r="CK271" s="17">
        <v>8760</v>
      </c>
      <c r="CL271" s="17">
        <v>8760</v>
      </c>
      <c r="CM271" s="17">
        <v>8760</v>
      </c>
      <c r="CN271" s="17">
        <v>8760</v>
      </c>
      <c r="CO271" s="17">
        <v>8760</v>
      </c>
      <c r="CP271" s="17">
        <v>8760</v>
      </c>
      <c r="CQ271" s="17">
        <v>8760</v>
      </c>
      <c r="CR271" s="17">
        <v>8760</v>
      </c>
      <c r="CS271" s="17">
        <v>8760</v>
      </c>
      <c r="CT271" s="17">
        <v>8760</v>
      </c>
      <c r="CU271" s="17">
        <v>8760</v>
      </c>
      <c r="CV271" s="17">
        <v>8760</v>
      </c>
      <c r="CW271" s="17">
        <v>8760</v>
      </c>
      <c r="CX271" s="17">
        <v>8760</v>
      </c>
      <c r="CY271" s="17">
        <v>8760</v>
      </c>
      <c r="CZ271" s="17">
        <v>8760</v>
      </c>
      <c r="DA271" s="17">
        <v>8760</v>
      </c>
      <c r="DB271" s="17">
        <v>8760</v>
      </c>
    </row>
    <row r="272" spans="1:106" s="17" customFormat="1" x14ac:dyDescent="0.25">
      <c r="A272" s="22" t="s">
        <v>289</v>
      </c>
      <c r="B272" s="17" t="s">
        <v>244</v>
      </c>
      <c r="C272" s="17" t="s">
        <v>438</v>
      </c>
      <c r="D272" s="17" t="s">
        <v>892</v>
      </c>
      <c r="E272" s="17" t="s">
        <v>893</v>
      </c>
      <c r="F272" s="17">
        <v>102334</v>
      </c>
      <c r="G272" s="17">
        <v>0</v>
      </c>
      <c r="H272" s="17">
        <v>0</v>
      </c>
      <c r="I272" s="17">
        <v>0</v>
      </c>
      <c r="J272" s="17">
        <v>0</v>
      </c>
      <c r="K272" s="17">
        <v>0</v>
      </c>
      <c r="L272" s="17">
        <v>0</v>
      </c>
      <c r="M272" s="17">
        <v>0</v>
      </c>
      <c r="N272" s="17">
        <v>0</v>
      </c>
      <c r="O272" s="17">
        <v>0</v>
      </c>
      <c r="P272" s="17">
        <v>0</v>
      </c>
      <c r="Q272" s="17">
        <v>0</v>
      </c>
      <c r="R272" s="17">
        <v>0</v>
      </c>
      <c r="S272" s="17">
        <v>0</v>
      </c>
      <c r="T272" s="17">
        <v>0</v>
      </c>
      <c r="U272" s="17">
        <v>0</v>
      </c>
      <c r="V272" s="17">
        <v>0</v>
      </c>
      <c r="W272" s="17">
        <v>0</v>
      </c>
      <c r="X272" s="17">
        <v>0</v>
      </c>
      <c r="Y272" s="17">
        <v>0</v>
      </c>
      <c r="Z272" s="17">
        <v>0</v>
      </c>
      <c r="AA272" s="17">
        <v>0</v>
      </c>
      <c r="AB272" s="17">
        <v>0</v>
      </c>
      <c r="AC272" s="17">
        <v>0</v>
      </c>
      <c r="AD272" s="17">
        <v>0</v>
      </c>
      <c r="AE272" s="17">
        <v>0</v>
      </c>
      <c r="AF272" s="17">
        <v>0</v>
      </c>
      <c r="AG272" s="17">
        <v>0</v>
      </c>
      <c r="AH272" s="17">
        <v>0</v>
      </c>
      <c r="AI272" s="17">
        <v>0</v>
      </c>
      <c r="AJ272" s="17">
        <v>0</v>
      </c>
      <c r="AK272" s="17">
        <v>0</v>
      </c>
      <c r="AL272" s="17">
        <v>0</v>
      </c>
      <c r="AM272" s="17">
        <v>4</v>
      </c>
      <c r="AN272" s="17">
        <v>11</v>
      </c>
      <c r="AO272" s="17">
        <v>15</v>
      </c>
      <c r="AP272" s="17">
        <v>27</v>
      </c>
      <c r="AQ272" s="17">
        <v>45</v>
      </c>
      <c r="AR272" s="17">
        <v>70</v>
      </c>
      <c r="AS272" s="17">
        <v>114</v>
      </c>
      <c r="AT272" s="17">
        <v>139</v>
      </c>
      <c r="AU272" s="17">
        <v>187</v>
      </c>
      <c r="AV272" s="17">
        <v>264</v>
      </c>
      <c r="AW272" s="17">
        <v>359</v>
      </c>
      <c r="AX272" s="17">
        <v>490</v>
      </c>
      <c r="AY272" s="17">
        <v>609</v>
      </c>
      <c r="AZ272" s="17">
        <v>748</v>
      </c>
      <c r="BA272" s="17">
        <v>938</v>
      </c>
      <c r="BB272" s="17">
        <v>1188</v>
      </c>
      <c r="BC272" s="17">
        <v>1519</v>
      </c>
      <c r="BD272" s="17">
        <v>1880</v>
      </c>
      <c r="BE272" s="17">
        <v>2269</v>
      </c>
      <c r="BF272" s="17">
        <v>2741</v>
      </c>
      <c r="BG272" s="17">
        <v>3129</v>
      </c>
      <c r="BH272" s="17">
        <v>3556</v>
      </c>
      <c r="BI272" s="17">
        <v>3917</v>
      </c>
      <c r="BJ272" s="17">
        <v>4287</v>
      </c>
      <c r="BK272" s="17">
        <v>4654</v>
      </c>
      <c r="BL272" s="17">
        <v>5031</v>
      </c>
      <c r="BM272" s="17">
        <v>5390</v>
      </c>
      <c r="BN272" s="17">
        <v>5765</v>
      </c>
      <c r="BO272" s="17">
        <v>6161</v>
      </c>
      <c r="BP272" s="17">
        <v>6563</v>
      </c>
      <c r="BQ272" s="17">
        <v>6940</v>
      </c>
      <c r="BR272" s="17">
        <v>7262</v>
      </c>
      <c r="BS272" s="17">
        <v>7542</v>
      </c>
      <c r="BT272" s="17">
        <v>7822</v>
      </c>
      <c r="BU272" s="17">
        <v>8048</v>
      </c>
      <c r="BV272" s="17">
        <v>8213</v>
      </c>
      <c r="BW272" s="17">
        <v>8354</v>
      </c>
      <c r="BX272" s="17">
        <v>8460</v>
      </c>
      <c r="BY272" s="17">
        <v>8550</v>
      </c>
      <c r="BZ272" s="17">
        <v>8633</v>
      </c>
      <c r="CA272" s="17">
        <v>8686</v>
      </c>
      <c r="CB272" s="17">
        <v>8722</v>
      </c>
      <c r="CC272" s="17">
        <v>8738</v>
      </c>
      <c r="CD272" s="17">
        <v>8753</v>
      </c>
      <c r="CE272" s="17">
        <v>8756</v>
      </c>
      <c r="CF272" s="17">
        <v>8759</v>
      </c>
      <c r="CG272" s="17">
        <v>8760</v>
      </c>
      <c r="CH272" s="17">
        <v>8760</v>
      </c>
      <c r="CI272" s="17">
        <v>8760</v>
      </c>
      <c r="CJ272" s="17">
        <v>8760</v>
      </c>
      <c r="CK272" s="17">
        <v>8760</v>
      </c>
      <c r="CL272" s="17">
        <v>8760</v>
      </c>
      <c r="CM272" s="17">
        <v>8760</v>
      </c>
      <c r="CN272" s="17">
        <v>8760</v>
      </c>
      <c r="CO272" s="17">
        <v>8760</v>
      </c>
      <c r="CP272" s="17">
        <v>8760</v>
      </c>
      <c r="CQ272" s="17">
        <v>8760</v>
      </c>
      <c r="CR272" s="17">
        <v>8760</v>
      </c>
      <c r="CS272" s="17">
        <v>8760</v>
      </c>
      <c r="CT272" s="17">
        <v>8760</v>
      </c>
      <c r="CU272" s="17">
        <v>8760</v>
      </c>
      <c r="CV272" s="17">
        <v>8760</v>
      </c>
      <c r="CW272" s="17">
        <v>8760</v>
      </c>
      <c r="CX272" s="17">
        <v>8760</v>
      </c>
      <c r="CY272" s="17">
        <v>8760</v>
      </c>
      <c r="CZ272" s="17">
        <v>8760</v>
      </c>
      <c r="DA272" s="17">
        <v>8760</v>
      </c>
      <c r="DB272" s="17">
        <v>8760</v>
      </c>
    </row>
    <row r="273" spans="1:106" s="17" customFormat="1" x14ac:dyDescent="0.25">
      <c r="A273" s="22" t="s">
        <v>290</v>
      </c>
      <c r="B273" s="17" t="s">
        <v>255</v>
      </c>
      <c r="C273" s="17" t="s">
        <v>438</v>
      </c>
      <c r="D273" s="17" t="s">
        <v>894</v>
      </c>
      <c r="E273" s="17" t="s">
        <v>895</v>
      </c>
      <c r="F273" s="17">
        <v>102719</v>
      </c>
      <c r="G273" s="17">
        <v>0</v>
      </c>
      <c r="H273" s="17">
        <v>0</v>
      </c>
      <c r="I273" s="17">
        <v>0</v>
      </c>
      <c r="J273" s="17">
        <v>0</v>
      </c>
      <c r="K273" s="17">
        <v>0</v>
      </c>
      <c r="L273" s="17">
        <v>0</v>
      </c>
      <c r="M273" s="17">
        <v>0</v>
      </c>
      <c r="N273" s="17">
        <v>0</v>
      </c>
      <c r="O273" s="17">
        <v>0</v>
      </c>
      <c r="P273" s="17">
        <v>0</v>
      </c>
      <c r="Q273" s="17">
        <v>0</v>
      </c>
      <c r="R273" s="17">
        <v>0</v>
      </c>
      <c r="S273" s="17">
        <v>0</v>
      </c>
      <c r="T273" s="17">
        <v>0</v>
      </c>
      <c r="U273" s="17">
        <v>0</v>
      </c>
      <c r="V273" s="17">
        <v>0</v>
      </c>
      <c r="W273" s="17">
        <v>0</v>
      </c>
      <c r="X273" s="17">
        <v>0</v>
      </c>
      <c r="Y273" s="17">
        <v>0</v>
      </c>
      <c r="Z273" s="17">
        <v>0</v>
      </c>
      <c r="AA273" s="17">
        <v>0</v>
      </c>
      <c r="AB273" s="17">
        <v>0</v>
      </c>
      <c r="AC273" s="17">
        <v>0</v>
      </c>
      <c r="AD273" s="17">
        <v>0</v>
      </c>
      <c r="AE273" s="17">
        <v>0</v>
      </c>
      <c r="AF273" s="17">
        <v>0</v>
      </c>
      <c r="AG273" s="17">
        <v>0</v>
      </c>
      <c r="AH273" s="17">
        <v>0</v>
      </c>
      <c r="AI273" s="17">
        <v>0</v>
      </c>
      <c r="AJ273" s="17">
        <v>0</v>
      </c>
      <c r="AK273" s="17">
        <v>0</v>
      </c>
      <c r="AL273" s="17">
        <v>0</v>
      </c>
      <c r="AM273" s="17">
        <v>0</v>
      </c>
      <c r="AN273" s="17">
        <v>0</v>
      </c>
      <c r="AO273" s="17">
        <v>1</v>
      </c>
      <c r="AP273" s="17">
        <v>8</v>
      </c>
      <c r="AQ273" s="17">
        <v>25</v>
      </c>
      <c r="AR273" s="17">
        <v>57</v>
      </c>
      <c r="AS273" s="17">
        <v>86</v>
      </c>
      <c r="AT273" s="17">
        <v>131</v>
      </c>
      <c r="AU273" s="17">
        <v>207</v>
      </c>
      <c r="AV273" s="17">
        <v>305</v>
      </c>
      <c r="AW273" s="17">
        <v>410</v>
      </c>
      <c r="AX273" s="17">
        <v>565</v>
      </c>
      <c r="AY273" s="17">
        <v>721</v>
      </c>
      <c r="AZ273" s="17">
        <v>872</v>
      </c>
      <c r="BA273" s="17">
        <v>1085</v>
      </c>
      <c r="BB273" s="17">
        <v>1345</v>
      </c>
      <c r="BC273" s="17">
        <v>1703</v>
      </c>
      <c r="BD273" s="17">
        <v>2115</v>
      </c>
      <c r="BE273" s="17">
        <v>2588</v>
      </c>
      <c r="BF273" s="17">
        <v>3052</v>
      </c>
      <c r="BG273" s="17">
        <v>3449</v>
      </c>
      <c r="BH273" s="17">
        <v>3916</v>
      </c>
      <c r="BI273" s="17">
        <v>4399</v>
      </c>
      <c r="BJ273" s="17">
        <v>4781</v>
      </c>
      <c r="BK273" s="17">
        <v>5109</v>
      </c>
      <c r="BL273" s="17">
        <v>5444</v>
      </c>
      <c r="BM273" s="17">
        <v>5774</v>
      </c>
      <c r="BN273" s="17">
        <v>6132</v>
      </c>
      <c r="BO273" s="17">
        <v>6427</v>
      </c>
      <c r="BP273" s="17">
        <v>6739</v>
      </c>
      <c r="BQ273" s="17">
        <v>7040</v>
      </c>
      <c r="BR273" s="17">
        <v>7334</v>
      </c>
      <c r="BS273" s="17">
        <v>7631</v>
      </c>
      <c r="BT273" s="17">
        <v>7888</v>
      </c>
      <c r="BU273" s="17">
        <v>8108</v>
      </c>
      <c r="BV273" s="17">
        <v>8271</v>
      </c>
      <c r="BW273" s="17">
        <v>8391</v>
      </c>
      <c r="BX273" s="17">
        <v>8483</v>
      </c>
      <c r="BY273" s="17">
        <v>8558</v>
      </c>
      <c r="BZ273" s="17">
        <v>8615</v>
      </c>
      <c r="CA273" s="17">
        <v>8675</v>
      </c>
      <c r="CB273" s="17">
        <v>8706</v>
      </c>
      <c r="CC273" s="17">
        <v>8734</v>
      </c>
      <c r="CD273" s="17">
        <v>8746</v>
      </c>
      <c r="CE273" s="17">
        <v>8752</v>
      </c>
      <c r="CF273" s="17">
        <v>8759</v>
      </c>
      <c r="CG273" s="17">
        <v>8760</v>
      </c>
      <c r="CH273" s="17">
        <v>8760</v>
      </c>
      <c r="CI273" s="17">
        <v>8760</v>
      </c>
      <c r="CJ273" s="17">
        <v>8760</v>
      </c>
      <c r="CK273" s="17">
        <v>8760</v>
      </c>
      <c r="CL273" s="17">
        <v>8760</v>
      </c>
      <c r="CM273" s="17">
        <v>8760</v>
      </c>
      <c r="CN273" s="17">
        <v>8760</v>
      </c>
      <c r="CO273" s="17">
        <v>8760</v>
      </c>
      <c r="CP273" s="17">
        <v>8760</v>
      </c>
      <c r="CQ273" s="17">
        <v>8760</v>
      </c>
      <c r="CR273" s="17">
        <v>8760</v>
      </c>
      <c r="CS273" s="17">
        <v>8760</v>
      </c>
      <c r="CT273" s="17">
        <v>8760</v>
      </c>
      <c r="CU273" s="17">
        <v>8760</v>
      </c>
      <c r="CV273" s="17">
        <v>8760</v>
      </c>
      <c r="CW273" s="17">
        <v>8760</v>
      </c>
      <c r="CX273" s="17">
        <v>8760</v>
      </c>
      <c r="CY273" s="17">
        <v>8760</v>
      </c>
      <c r="CZ273" s="17">
        <v>8760</v>
      </c>
      <c r="DA273" s="17">
        <v>8760</v>
      </c>
      <c r="DB273" s="17">
        <v>8760</v>
      </c>
    </row>
    <row r="274" spans="1:106" s="17" customFormat="1" x14ac:dyDescent="0.25">
      <c r="A274" s="22" t="s">
        <v>291</v>
      </c>
      <c r="B274" s="17" t="s">
        <v>256</v>
      </c>
      <c r="C274" s="17" t="s">
        <v>438</v>
      </c>
      <c r="D274" s="17" t="s">
        <v>896</v>
      </c>
      <c r="E274" s="17" t="s">
        <v>897</v>
      </c>
      <c r="F274" s="17">
        <v>102421</v>
      </c>
      <c r="G274" s="17">
        <v>0</v>
      </c>
      <c r="H274" s="17">
        <v>0</v>
      </c>
      <c r="I274" s="17">
        <v>0</v>
      </c>
      <c r="J274" s="17">
        <v>0</v>
      </c>
      <c r="K274" s="17">
        <v>0</v>
      </c>
      <c r="L274" s="17">
        <v>0</v>
      </c>
      <c r="M274" s="17">
        <v>0</v>
      </c>
      <c r="N274" s="17">
        <v>0</v>
      </c>
      <c r="O274" s="17">
        <v>0</v>
      </c>
      <c r="P274" s="17">
        <v>0</v>
      </c>
      <c r="Q274" s="17">
        <v>0</v>
      </c>
      <c r="R274" s="17">
        <v>0</v>
      </c>
      <c r="S274" s="17">
        <v>0</v>
      </c>
      <c r="T274" s="17">
        <v>0</v>
      </c>
      <c r="U274" s="17">
        <v>0</v>
      </c>
      <c r="V274" s="17">
        <v>0</v>
      </c>
      <c r="W274" s="17">
        <v>0</v>
      </c>
      <c r="X274" s="17">
        <v>0</v>
      </c>
      <c r="Y274" s="17">
        <v>0</v>
      </c>
      <c r="Z274" s="17">
        <v>0</v>
      </c>
      <c r="AA274" s="17">
        <v>0</v>
      </c>
      <c r="AB274" s="17">
        <v>0</v>
      </c>
      <c r="AC274" s="17">
        <v>0</v>
      </c>
      <c r="AD274" s="17">
        <v>0</v>
      </c>
      <c r="AE274" s="17">
        <v>0</v>
      </c>
      <c r="AF274" s="17">
        <v>0</v>
      </c>
      <c r="AG274" s="17">
        <v>0</v>
      </c>
      <c r="AH274" s="17">
        <v>0</v>
      </c>
      <c r="AI274" s="17">
        <v>0</v>
      </c>
      <c r="AJ274" s="17">
        <v>0</v>
      </c>
      <c r="AK274" s="17">
        <v>0</v>
      </c>
      <c r="AL274" s="17">
        <v>0</v>
      </c>
      <c r="AM274" s="17">
        <v>0</v>
      </c>
      <c r="AN274" s="17">
        <v>4</v>
      </c>
      <c r="AO274" s="17">
        <v>5</v>
      </c>
      <c r="AP274" s="17">
        <v>8</v>
      </c>
      <c r="AQ274" s="17">
        <v>13</v>
      </c>
      <c r="AR274" s="17">
        <v>32</v>
      </c>
      <c r="AS274" s="17">
        <v>53</v>
      </c>
      <c r="AT274" s="17">
        <v>83</v>
      </c>
      <c r="AU274" s="17">
        <v>137</v>
      </c>
      <c r="AV274" s="17">
        <v>211</v>
      </c>
      <c r="AW274" s="17">
        <v>295</v>
      </c>
      <c r="AX274" s="17">
        <v>397</v>
      </c>
      <c r="AY274" s="17">
        <v>526</v>
      </c>
      <c r="AZ274" s="17">
        <v>748</v>
      </c>
      <c r="BA274" s="17">
        <v>989</v>
      </c>
      <c r="BB274" s="17">
        <v>1304</v>
      </c>
      <c r="BC274" s="17">
        <v>1638</v>
      </c>
      <c r="BD274" s="17">
        <v>2014</v>
      </c>
      <c r="BE274" s="17">
        <v>2464</v>
      </c>
      <c r="BF274" s="17">
        <v>2911</v>
      </c>
      <c r="BG274" s="17">
        <v>3285</v>
      </c>
      <c r="BH274" s="17">
        <v>3607</v>
      </c>
      <c r="BI274" s="17">
        <v>3912</v>
      </c>
      <c r="BJ274" s="17">
        <v>4243</v>
      </c>
      <c r="BK274" s="17">
        <v>4573</v>
      </c>
      <c r="BL274" s="17">
        <v>4854</v>
      </c>
      <c r="BM274" s="17">
        <v>5153</v>
      </c>
      <c r="BN274" s="17">
        <v>5482</v>
      </c>
      <c r="BO274" s="17">
        <v>5815</v>
      </c>
      <c r="BP274" s="17">
        <v>6156</v>
      </c>
      <c r="BQ274" s="17">
        <v>6467</v>
      </c>
      <c r="BR274" s="17">
        <v>6772</v>
      </c>
      <c r="BS274" s="17">
        <v>7089</v>
      </c>
      <c r="BT274" s="17">
        <v>7379</v>
      </c>
      <c r="BU274" s="17">
        <v>7612</v>
      </c>
      <c r="BV274" s="17">
        <v>7862</v>
      </c>
      <c r="BW274" s="17">
        <v>8076</v>
      </c>
      <c r="BX274" s="17">
        <v>8238</v>
      </c>
      <c r="BY274" s="17">
        <v>8370</v>
      </c>
      <c r="BZ274" s="17">
        <v>8482</v>
      </c>
      <c r="CA274" s="17">
        <v>8551</v>
      </c>
      <c r="CB274" s="17">
        <v>8602</v>
      </c>
      <c r="CC274" s="17">
        <v>8679</v>
      </c>
      <c r="CD274" s="17">
        <v>8721</v>
      </c>
      <c r="CE274" s="17">
        <v>8748</v>
      </c>
      <c r="CF274" s="17">
        <v>8758</v>
      </c>
      <c r="CG274" s="17">
        <v>8760</v>
      </c>
      <c r="CH274" s="17">
        <v>8760</v>
      </c>
      <c r="CI274" s="17">
        <v>8760</v>
      </c>
      <c r="CJ274" s="17">
        <v>8760</v>
      </c>
      <c r="CK274" s="17">
        <v>8760</v>
      </c>
      <c r="CL274" s="17">
        <v>8760</v>
      </c>
      <c r="CM274" s="17">
        <v>8760</v>
      </c>
      <c r="CN274" s="17">
        <v>8760</v>
      </c>
      <c r="CO274" s="17">
        <v>8760</v>
      </c>
      <c r="CP274" s="17">
        <v>8760</v>
      </c>
      <c r="CQ274" s="17">
        <v>8760</v>
      </c>
      <c r="CR274" s="17">
        <v>8760</v>
      </c>
      <c r="CS274" s="17">
        <v>8760</v>
      </c>
      <c r="CT274" s="17">
        <v>8760</v>
      </c>
      <c r="CU274" s="17">
        <v>8760</v>
      </c>
      <c r="CV274" s="17">
        <v>8760</v>
      </c>
      <c r="CW274" s="17">
        <v>8760</v>
      </c>
      <c r="CX274" s="17">
        <v>8760</v>
      </c>
      <c r="CY274" s="17">
        <v>8760</v>
      </c>
      <c r="CZ274" s="17">
        <v>8760</v>
      </c>
      <c r="DA274" s="17">
        <v>8760</v>
      </c>
      <c r="DB274" s="17">
        <v>8760</v>
      </c>
    </row>
    <row r="275" spans="1:106" s="17" customFormat="1" x14ac:dyDescent="0.25">
      <c r="A275" s="22" t="s">
        <v>292</v>
      </c>
      <c r="B275" s="17" t="s">
        <v>257</v>
      </c>
      <c r="C275" s="17" t="s">
        <v>438</v>
      </c>
      <c r="D275" s="17" t="s">
        <v>898</v>
      </c>
      <c r="E275" s="17" t="s">
        <v>899</v>
      </c>
      <c r="F275" s="17">
        <v>102608</v>
      </c>
      <c r="G275" s="17">
        <v>0</v>
      </c>
      <c r="H275" s="17">
        <v>0</v>
      </c>
      <c r="I275" s="17">
        <v>0</v>
      </c>
      <c r="J275" s="17">
        <v>0</v>
      </c>
      <c r="K275" s="17">
        <v>0</v>
      </c>
      <c r="L275" s="17">
        <v>0</v>
      </c>
      <c r="M275" s="17">
        <v>0</v>
      </c>
      <c r="N275" s="17">
        <v>0</v>
      </c>
      <c r="O275" s="17">
        <v>0</v>
      </c>
      <c r="P275" s="17">
        <v>0</v>
      </c>
      <c r="Q275" s="17">
        <v>0</v>
      </c>
      <c r="R275" s="17">
        <v>0</v>
      </c>
      <c r="S275" s="17">
        <v>0</v>
      </c>
      <c r="T275" s="17">
        <v>0</v>
      </c>
      <c r="U275" s="17">
        <v>0</v>
      </c>
      <c r="V275" s="17">
        <v>0</v>
      </c>
      <c r="W275" s="17">
        <v>0</v>
      </c>
      <c r="X275" s="17">
        <v>0</v>
      </c>
      <c r="Y275" s="17">
        <v>0</v>
      </c>
      <c r="Z275" s="17">
        <v>0</v>
      </c>
      <c r="AA275" s="17">
        <v>0</v>
      </c>
      <c r="AB275" s="17">
        <v>0</v>
      </c>
      <c r="AC275" s="17">
        <v>0</v>
      </c>
      <c r="AD275" s="17">
        <v>0</v>
      </c>
      <c r="AE275" s="17">
        <v>0</v>
      </c>
      <c r="AF275" s="17">
        <v>0</v>
      </c>
      <c r="AG275" s="17">
        <v>0</v>
      </c>
      <c r="AH275" s="17">
        <v>0</v>
      </c>
      <c r="AI275" s="17">
        <v>0</v>
      </c>
      <c r="AJ275" s="17">
        <v>0</v>
      </c>
      <c r="AK275" s="17">
        <v>0</v>
      </c>
      <c r="AL275" s="17">
        <v>0</v>
      </c>
      <c r="AM275" s="17">
        <v>0</v>
      </c>
      <c r="AN275" s="17">
        <v>0</v>
      </c>
      <c r="AO275" s="17">
        <v>1</v>
      </c>
      <c r="AP275" s="17">
        <v>3</v>
      </c>
      <c r="AQ275" s="17">
        <v>7</v>
      </c>
      <c r="AR275" s="17">
        <v>13</v>
      </c>
      <c r="AS275" s="17">
        <v>33</v>
      </c>
      <c r="AT275" s="17">
        <v>59</v>
      </c>
      <c r="AU275" s="17">
        <v>102</v>
      </c>
      <c r="AV275" s="17">
        <v>157</v>
      </c>
      <c r="AW275" s="17">
        <v>240</v>
      </c>
      <c r="AX275" s="17">
        <v>351</v>
      </c>
      <c r="AY275" s="17">
        <v>529</v>
      </c>
      <c r="AZ275" s="17">
        <v>698</v>
      </c>
      <c r="BA275" s="17">
        <v>885</v>
      </c>
      <c r="BB275" s="17">
        <v>1113</v>
      </c>
      <c r="BC275" s="17">
        <v>1345</v>
      </c>
      <c r="BD275" s="17">
        <v>1645</v>
      </c>
      <c r="BE275" s="17">
        <v>2087</v>
      </c>
      <c r="BF275" s="17">
        <v>2504</v>
      </c>
      <c r="BG275" s="17">
        <v>2957</v>
      </c>
      <c r="BH275" s="17">
        <v>3318</v>
      </c>
      <c r="BI275" s="17">
        <v>3752</v>
      </c>
      <c r="BJ275" s="17">
        <v>4165</v>
      </c>
      <c r="BK275" s="17">
        <v>4560</v>
      </c>
      <c r="BL275" s="17">
        <v>4863</v>
      </c>
      <c r="BM275" s="17">
        <v>5214</v>
      </c>
      <c r="BN275" s="17">
        <v>5563</v>
      </c>
      <c r="BO275" s="17">
        <v>5895</v>
      </c>
      <c r="BP275" s="17">
        <v>6263</v>
      </c>
      <c r="BQ275" s="17">
        <v>6609</v>
      </c>
      <c r="BR275" s="17">
        <v>6934</v>
      </c>
      <c r="BS275" s="17">
        <v>7263</v>
      </c>
      <c r="BT275" s="17">
        <v>7589</v>
      </c>
      <c r="BU275" s="17">
        <v>7829</v>
      </c>
      <c r="BV275" s="17">
        <v>8042</v>
      </c>
      <c r="BW275" s="17">
        <v>8201</v>
      </c>
      <c r="BX275" s="17">
        <v>8319</v>
      </c>
      <c r="BY275" s="17">
        <v>8439</v>
      </c>
      <c r="BZ275" s="17">
        <v>8509</v>
      </c>
      <c r="CA275" s="17">
        <v>8575</v>
      </c>
      <c r="CB275" s="17">
        <v>8639</v>
      </c>
      <c r="CC275" s="17">
        <v>8683</v>
      </c>
      <c r="CD275" s="17">
        <v>8718</v>
      </c>
      <c r="CE275" s="17">
        <v>8742</v>
      </c>
      <c r="CF275" s="17">
        <v>8756</v>
      </c>
      <c r="CG275" s="17">
        <v>8760</v>
      </c>
      <c r="CH275" s="17">
        <v>8760</v>
      </c>
      <c r="CI275" s="17">
        <v>8760</v>
      </c>
      <c r="CJ275" s="17">
        <v>8760</v>
      </c>
      <c r="CK275" s="17">
        <v>8760</v>
      </c>
      <c r="CL275" s="17">
        <v>8760</v>
      </c>
      <c r="CM275" s="17">
        <v>8760</v>
      </c>
      <c r="CN275" s="17">
        <v>8760</v>
      </c>
      <c r="CO275" s="17">
        <v>8760</v>
      </c>
      <c r="CP275" s="17">
        <v>8760</v>
      </c>
      <c r="CQ275" s="17">
        <v>8760</v>
      </c>
      <c r="CR275" s="17">
        <v>8760</v>
      </c>
      <c r="CS275" s="17">
        <v>8760</v>
      </c>
      <c r="CT275" s="17">
        <v>8760</v>
      </c>
      <c r="CU275" s="17">
        <v>8760</v>
      </c>
      <c r="CV275" s="17">
        <v>8760</v>
      </c>
      <c r="CW275" s="17">
        <v>8760</v>
      </c>
      <c r="CX275" s="17">
        <v>8760</v>
      </c>
      <c r="CY275" s="17">
        <v>8760</v>
      </c>
      <c r="CZ275" s="17">
        <v>8760</v>
      </c>
      <c r="DA275" s="17">
        <v>8760</v>
      </c>
      <c r="DB275" s="17">
        <v>8760</v>
      </c>
    </row>
    <row r="276" spans="1:106" s="17" customFormat="1" x14ac:dyDescent="0.25">
      <c r="A276" s="22" t="s">
        <v>293</v>
      </c>
      <c r="B276" s="17" t="s">
        <v>261</v>
      </c>
      <c r="C276" s="17" t="s">
        <v>438</v>
      </c>
      <c r="D276" s="17" t="s">
        <v>900</v>
      </c>
      <c r="E276" s="17" t="s">
        <v>901</v>
      </c>
      <c r="F276" s="17">
        <v>102115</v>
      </c>
      <c r="G276" s="17">
        <v>0</v>
      </c>
      <c r="H276" s="17">
        <v>0</v>
      </c>
      <c r="I276" s="17">
        <v>0</v>
      </c>
      <c r="J276" s="17">
        <v>0</v>
      </c>
      <c r="K276" s="17">
        <v>0</v>
      </c>
      <c r="L276" s="17">
        <v>0</v>
      </c>
      <c r="M276" s="17">
        <v>0</v>
      </c>
      <c r="N276" s="17">
        <v>0</v>
      </c>
      <c r="O276" s="17">
        <v>0</v>
      </c>
      <c r="P276" s="17">
        <v>0</v>
      </c>
      <c r="Q276" s="17">
        <v>0</v>
      </c>
      <c r="R276" s="17">
        <v>0</v>
      </c>
      <c r="S276" s="17">
        <v>0</v>
      </c>
      <c r="T276" s="17">
        <v>0</v>
      </c>
      <c r="U276" s="17">
        <v>0</v>
      </c>
      <c r="V276" s="17">
        <v>0</v>
      </c>
      <c r="W276" s="17">
        <v>0</v>
      </c>
      <c r="X276" s="17">
        <v>0</v>
      </c>
      <c r="Y276" s="17">
        <v>0</v>
      </c>
      <c r="Z276" s="17">
        <v>0</v>
      </c>
      <c r="AA276" s="17">
        <v>0</v>
      </c>
      <c r="AB276" s="17">
        <v>0</v>
      </c>
      <c r="AC276" s="17">
        <v>0</v>
      </c>
      <c r="AD276" s="17">
        <v>0</v>
      </c>
      <c r="AE276" s="17">
        <v>0</v>
      </c>
      <c r="AF276" s="17">
        <v>0</v>
      </c>
      <c r="AG276" s="17">
        <v>0</v>
      </c>
      <c r="AH276" s="17">
        <v>0</v>
      </c>
      <c r="AI276" s="17">
        <v>0</v>
      </c>
      <c r="AJ276" s="17">
        <v>0</v>
      </c>
      <c r="AK276" s="17">
        <v>0</v>
      </c>
      <c r="AL276" s="17">
        <v>0</v>
      </c>
      <c r="AM276" s="17">
        <v>0</v>
      </c>
      <c r="AN276" s="17">
        <v>0</v>
      </c>
      <c r="AO276" s="17">
        <v>0</v>
      </c>
      <c r="AP276" s="17">
        <v>0</v>
      </c>
      <c r="AQ276" s="17">
        <v>0</v>
      </c>
      <c r="AR276" s="17">
        <v>0</v>
      </c>
      <c r="AS276" s="17">
        <v>1</v>
      </c>
      <c r="AT276" s="17">
        <v>12</v>
      </c>
      <c r="AU276" s="17">
        <v>20</v>
      </c>
      <c r="AV276" s="17">
        <v>48</v>
      </c>
      <c r="AW276" s="17">
        <v>78</v>
      </c>
      <c r="AX276" s="17">
        <v>111</v>
      </c>
      <c r="AY276" s="17">
        <v>162</v>
      </c>
      <c r="AZ276" s="17">
        <v>247</v>
      </c>
      <c r="BA276" s="17">
        <v>360</v>
      </c>
      <c r="BB276" s="17">
        <v>604</v>
      </c>
      <c r="BC276" s="17">
        <v>918</v>
      </c>
      <c r="BD276" s="17">
        <v>1252</v>
      </c>
      <c r="BE276" s="17">
        <v>1609</v>
      </c>
      <c r="BF276" s="17">
        <v>2005</v>
      </c>
      <c r="BG276" s="17">
        <v>2515</v>
      </c>
      <c r="BH276" s="17">
        <v>2985</v>
      </c>
      <c r="BI276" s="17">
        <v>3394</v>
      </c>
      <c r="BJ276" s="17">
        <v>3765</v>
      </c>
      <c r="BK276" s="17">
        <v>4170</v>
      </c>
      <c r="BL276" s="17">
        <v>4524</v>
      </c>
      <c r="BM276" s="17">
        <v>4832</v>
      </c>
      <c r="BN276" s="17">
        <v>5139</v>
      </c>
      <c r="BO276" s="17">
        <v>5488</v>
      </c>
      <c r="BP276" s="17">
        <v>6021</v>
      </c>
      <c r="BQ276" s="17">
        <v>6491</v>
      </c>
      <c r="BR276" s="17">
        <v>6906</v>
      </c>
      <c r="BS276" s="17">
        <v>7316</v>
      </c>
      <c r="BT276" s="17">
        <v>7650</v>
      </c>
      <c r="BU276" s="17">
        <v>7963</v>
      </c>
      <c r="BV276" s="17">
        <v>8196</v>
      </c>
      <c r="BW276" s="17">
        <v>8375</v>
      </c>
      <c r="BX276" s="17">
        <v>8493</v>
      </c>
      <c r="BY276" s="17">
        <v>8582</v>
      </c>
      <c r="BZ276" s="17">
        <v>8653</v>
      </c>
      <c r="CA276" s="17">
        <v>8686</v>
      </c>
      <c r="CB276" s="17">
        <v>8713</v>
      </c>
      <c r="CC276" s="17">
        <v>8737</v>
      </c>
      <c r="CD276" s="17">
        <v>8752</v>
      </c>
      <c r="CE276" s="17">
        <v>8760</v>
      </c>
      <c r="CF276" s="17">
        <v>8760</v>
      </c>
      <c r="CG276" s="17">
        <v>8760</v>
      </c>
      <c r="CH276" s="17">
        <v>8760</v>
      </c>
      <c r="CI276" s="17">
        <v>8760</v>
      </c>
      <c r="CJ276" s="17">
        <v>8760</v>
      </c>
      <c r="CK276" s="17">
        <v>8760</v>
      </c>
      <c r="CL276" s="17">
        <v>8760</v>
      </c>
      <c r="CM276" s="17">
        <v>8760</v>
      </c>
      <c r="CN276" s="17">
        <v>8760</v>
      </c>
      <c r="CO276" s="17">
        <v>8760</v>
      </c>
      <c r="CP276" s="17">
        <v>8760</v>
      </c>
      <c r="CQ276" s="17">
        <v>8760</v>
      </c>
      <c r="CR276" s="17">
        <v>8760</v>
      </c>
      <c r="CS276" s="17">
        <v>8760</v>
      </c>
      <c r="CT276" s="17">
        <v>8760</v>
      </c>
      <c r="CU276" s="17">
        <v>8760</v>
      </c>
      <c r="CV276" s="17">
        <v>8760</v>
      </c>
      <c r="CW276" s="17">
        <v>8760</v>
      </c>
      <c r="CX276" s="17">
        <v>8760</v>
      </c>
      <c r="CY276" s="17">
        <v>8760</v>
      </c>
      <c r="CZ276" s="17">
        <v>8760</v>
      </c>
      <c r="DA276" s="17">
        <v>8760</v>
      </c>
      <c r="DB276" s="17">
        <v>8760</v>
      </c>
    </row>
    <row r="277" spans="1:106" s="17" customFormat="1" x14ac:dyDescent="0.25">
      <c r="A277" s="22" t="s">
        <v>294</v>
      </c>
      <c r="B277" s="17" t="s">
        <v>285</v>
      </c>
      <c r="C277" s="17" t="s">
        <v>438</v>
      </c>
      <c r="D277" s="17" t="s">
        <v>902</v>
      </c>
      <c r="E277" s="17" t="s">
        <v>903</v>
      </c>
      <c r="F277" s="17">
        <v>102247</v>
      </c>
      <c r="G277" s="17">
        <v>0</v>
      </c>
      <c r="H277" s="17">
        <v>0</v>
      </c>
      <c r="I277" s="17">
        <v>0</v>
      </c>
      <c r="J277" s="17">
        <v>0</v>
      </c>
      <c r="K277" s="17">
        <v>0</v>
      </c>
      <c r="L277" s="17">
        <v>0</v>
      </c>
      <c r="M277" s="17">
        <v>0</v>
      </c>
      <c r="N277" s="17">
        <v>0</v>
      </c>
      <c r="O277" s="17">
        <v>0</v>
      </c>
      <c r="P277" s="17">
        <v>0</v>
      </c>
      <c r="Q277" s="17">
        <v>0</v>
      </c>
      <c r="R277" s="17">
        <v>0</v>
      </c>
      <c r="S277" s="17">
        <v>0</v>
      </c>
      <c r="T277" s="17">
        <v>0</v>
      </c>
      <c r="U277" s="17">
        <v>0</v>
      </c>
      <c r="V277" s="17">
        <v>0</v>
      </c>
      <c r="W277" s="17">
        <v>0</v>
      </c>
      <c r="X277" s="17">
        <v>0</v>
      </c>
      <c r="Y277" s="17">
        <v>0</v>
      </c>
      <c r="Z277" s="17">
        <v>0</v>
      </c>
      <c r="AA277" s="17">
        <v>0</v>
      </c>
      <c r="AB277" s="17">
        <v>0</v>
      </c>
      <c r="AC277" s="17">
        <v>0</v>
      </c>
      <c r="AD277" s="17">
        <v>0</v>
      </c>
      <c r="AE277" s="17">
        <v>0</v>
      </c>
      <c r="AF277" s="17">
        <v>0</v>
      </c>
      <c r="AG277" s="17">
        <v>0</v>
      </c>
      <c r="AH277" s="17">
        <v>0</v>
      </c>
      <c r="AI277" s="17">
        <v>0</v>
      </c>
      <c r="AJ277" s="17">
        <v>0</v>
      </c>
      <c r="AK277" s="17">
        <v>0</v>
      </c>
      <c r="AL277" s="17">
        <v>0</v>
      </c>
      <c r="AM277" s="17">
        <v>0</v>
      </c>
      <c r="AN277" s="17">
        <v>0</v>
      </c>
      <c r="AO277" s="17">
        <v>0</v>
      </c>
      <c r="AP277" s="17">
        <v>0</v>
      </c>
      <c r="AQ277" s="17">
        <v>10</v>
      </c>
      <c r="AR277" s="17">
        <v>19</v>
      </c>
      <c r="AS277" s="17">
        <v>30</v>
      </c>
      <c r="AT277" s="17">
        <v>38</v>
      </c>
      <c r="AU277" s="17">
        <v>50</v>
      </c>
      <c r="AV277" s="17">
        <v>82</v>
      </c>
      <c r="AW277" s="17">
        <v>137</v>
      </c>
      <c r="AX277" s="17">
        <v>201</v>
      </c>
      <c r="AY277" s="17">
        <v>319</v>
      </c>
      <c r="AZ277" s="17">
        <v>445</v>
      </c>
      <c r="BA277" s="17">
        <v>610</v>
      </c>
      <c r="BB277" s="17">
        <v>774</v>
      </c>
      <c r="BC277" s="17">
        <v>999</v>
      </c>
      <c r="BD277" s="17">
        <v>1403</v>
      </c>
      <c r="BE277" s="17">
        <v>1970</v>
      </c>
      <c r="BF277" s="17">
        <v>2500</v>
      </c>
      <c r="BG277" s="17">
        <v>2989</v>
      </c>
      <c r="BH277" s="17">
        <v>3384</v>
      </c>
      <c r="BI277" s="17">
        <v>3774</v>
      </c>
      <c r="BJ277" s="17">
        <v>4147</v>
      </c>
      <c r="BK277" s="17">
        <v>4400</v>
      </c>
      <c r="BL277" s="17">
        <v>4659</v>
      </c>
      <c r="BM277" s="17">
        <v>4915</v>
      </c>
      <c r="BN277" s="17">
        <v>5175</v>
      </c>
      <c r="BO277" s="17">
        <v>5507</v>
      </c>
      <c r="BP277" s="17">
        <v>5906</v>
      </c>
      <c r="BQ277" s="17">
        <v>6327</v>
      </c>
      <c r="BR277" s="17">
        <v>6719</v>
      </c>
      <c r="BS277" s="17">
        <v>7107</v>
      </c>
      <c r="BT277" s="17">
        <v>7525</v>
      </c>
      <c r="BU277" s="17">
        <v>7907</v>
      </c>
      <c r="BV277" s="17">
        <v>8212</v>
      </c>
      <c r="BW277" s="17">
        <v>8443</v>
      </c>
      <c r="BX277" s="17">
        <v>8590</v>
      </c>
      <c r="BY277" s="17">
        <v>8671</v>
      </c>
      <c r="BZ277" s="17">
        <v>8713</v>
      </c>
      <c r="CA277" s="17">
        <v>8734</v>
      </c>
      <c r="CB277" s="17">
        <v>8749</v>
      </c>
      <c r="CC277" s="17">
        <v>8754</v>
      </c>
      <c r="CD277" s="17">
        <v>8759</v>
      </c>
      <c r="CE277" s="17">
        <v>8760</v>
      </c>
      <c r="CF277" s="17">
        <v>8760</v>
      </c>
      <c r="CG277" s="17">
        <v>8760</v>
      </c>
      <c r="CH277" s="17">
        <v>8760</v>
      </c>
      <c r="CI277" s="17">
        <v>8760</v>
      </c>
      <c r="CJ277" s="17">
        <v>8760</v>
      </c>
      <c r="CK277" s="17">
        <v>8760</v>
      </c>
      <c r="CL277" s="17">
        <v>8760</v>
      </c>
      <c r="CM277" s="17">
        <v>8760</v>
      </c>
      <c r="CN277" s="17">
        <v>8760</v>
      </c>
      <c r="CO277" s="17">
        <v>8760</v>
      </c>
      <c r="CP277" s="17">
        <v>8760</v>
      </c>
      <c r="CQ277" s="17">
        <v>8760</v>
      </c>
      <c r="CR277" s="17">
        <v>8760</v>
      </c>
      <c r="CS277" s="17">
        <v>8760</v>
      </c>
      <c r="CT277" s="17">
        <v>8760</v>
      </c>
      <c r="CU277" s="17">
        <v>8760</v>
      </c>
      <c r="CV277" s="17">
        <v>8760</v>
      </c>
      <c r="CW277" s="17">
        <v>8760</v>
      </c>
      <c r="CX277" s="17">
        <v>8760</v>
      </c>
      <c r="CY277" s="17">
        <v>8760</v>
      </c>
      <c r="CZ277" s="17">
        <v>8760</v>
      </c>
      <c r="DA277" s="17">
        <v>8760</v>
      </c>
      <c r="DB277" s="17">
        <v>8760</v>
      </c>
    </row>
    <row r="278" spans="1:106" s="17" customFormat="1" x14ac:dyDescent="0.25">
      <c r="A278" s="22" t="s">
        <v>295</v>
      </c>
      <c r="B278" s="17" t="s">
        <v>287</v>
      </c>
      <c r="C278" s="17" t="s">
        <v>438</v>
      </c>
      <c r="D278" s="17" t="s">
        <v>904</v>
      </c>
      <c r="E278" s="17" t="s">
        <v>905</v>
      </c>
      <c r="F278" s="17">
        <v>102241</v>
      </c>
      <c r="G278" s="17">
        <v>0</v>
      </c>
      <c r="H278" s="17">
        <v>0</v>
      </c>
      <c r="I278" s="17">
        <v>0</v>
      </c>
      <c r="J278" s="17">
        <v>0</v>
      </c>
      <c r="K278" s="17">
        <v>0</v>
      </c>
      <c r="L278" s="17">
        <v>0</v>
      </c>
      <c r="M278" s="17">
        <v>0</v>
      </c>
      <c r="N278" s="17">
        <v>0</v>
      </c>
      <c r="O278" s="17">
        <v>0</v>
      </c>
      <c r="P278" s="17">
        <v>0</v>
      </c>
      <c r="Q278" s="17">
        <v>0</v>
      </c>
      <c r="R278" s="17">
        <v>0</v>
      </c>
      <c r="S278" s="17">
        <v>0</v>
      </c>
      <c r="T278" s="17">
        <v>0</v>
      </c>
      <c r="U278" s="17">
        <v>0</v>
      </c>
      <c r="V278" s="17">
        <v>0</v>
      </c>
      <c r="W278" s="17">
        <v>0</v>
      </c>
      <c r="X278" s="17">
        <v>0</v>
      </c>
      <c r="Y278" s="17">
        <v>0</v>
      </c>
      <c r="Z278" s="17">
        <v>0</v>
      </c>
      <c r="AA278" s="17">
        <v>0</v>
      </c>
      <c r="AB278" s="17">
        <v>0</v>
      </c>
      <c r="AC278" s="17">
        <v>0</v>
      </c>
      <c r="AD278" s="17">
        <v>0</v>
      </c>
      <c r="AE278" s="17">
        <v>0</v>
      </c>
      <c r="AF278" s="17">
        <v>0</v>
      </c>
      <c r="AG278" s="17">
        <v>0</v>
      </c>
      <c r="AH278" s="17">
        <v>0</v>
      </c>
      <c r="AI278" s="17">
        <v>0</v>
      </c>
      <c r="AJ278" s="17">
        <v>0</v>
      </c>
      <c r="AK278" s="17">
        <v>0</v>
      </c>
      <c r="AL278" s="17">
        <v>0</v>
      </c>
      <c r="AM278" s="17">
        <v>0</v>
      </c>
      <c r="AN278" s="17">
        <v>1</v>
      </c>
      <c r="AO278" s="17">
        <v>6</v>
      </c>
      <c r="AP278" s="17">
        <v>11</v>
      </c>
      <c r="AQ278" s="17">
        <v>30</v>
      </c>
      <c r="AR278" s="17">
        <v>75</v>
      </c>
      <c r="AS278" s="17">
        <v>111</v>
      </c>
      <c r="AT278" s="17">
        <v>155</v>
      </c>
      <c r="AU278" s="17">
        <v>205</v>
      </c>
      <c r="AV278" s="17">
        <v>291</v>
      </c>
      <c r="AW278" s="17">
        <v>356</v>
      </c>
      <c r="AX278" s="17">
        <v>456</v>
      </c>
      <c r="AY278" s="17">
        <v>587</v>
      </c>
      <c r="AZ278" s="17">
        <v>791</v>
      </c>
      <c r="BA278" s="17">
        <v>1036</v>
      </c>
      <c r="BB278" s="17">
        <v>1299</v>
      </c>
      <c r="BC278" s="17">
        <v>1641</v>
      </c>
      <c r="BD278" s="17">
        <v>1989</v>
      </c>
      <c r="BE278" s="17">
        <v>2404</v>
      </c>
      <c r="BF278" s="17">
        <v>2755</v>
      </c>
      <c r="BG278" s="17">
        <v>3095</v>
      </c>
      <c r="BH278" s="17">
        <v>3474</v>
      </c>
      <c r="BI278" s="17">
        <v>3790</v>
      </c>
      <c r="BJ278" s="17">
        <v>4156</v>
      </c>
      <c r="BK278" s="17">
        <v>4531</v>
      </c>
      <c r="BL278" s="17">
        <v>4847</v>
      </c>
      <c r="BM278" s="17">
        <v>5206</v>
      </c>
      <c r="BN278" s="17">
        <v>5596</v>
      </c>
      <c r="BO278" s="17">
        <v>6001</v>
      </c>
      <c r="BP278" s="17">
        <v>6361</v>
      </c>
      <c r="BQ278" s="17">
        <v>6713</v>
      </c>
      <c r="BR278" s="17">
        <v>7103</v>
      </c>
      <c r="BS278" s="17">
        <v>7443</v>
      </c>
      <c r="BT278" s="17">
        <v>7720</v>
      </c>
      <c r="BU278" s="17">
        <v>7938</v>
      </c>
      <c r="BV278" s="17">
        <v>8123</v>
      </c>
      <c r="BW278" s="17">
        <v>8269</v>
      </c>
      <c r="BX278" s="17">
        <v>8387</v>
      </c>
      <c r="BY278" s="17">
        <v>8480</v>
      </c>
      <c r="BZ278" s="17">
        <v>8547</v>
      </c>
      <c r="CA278" s="17">
        <v>8617</v>
      </c>
      <c r="CB278" s="17">
        <v>8656</v>
      </c>
      <c r="CC278" s="17">
        <v>8684</v>
      </c>
      <c r="CD278" s="17">
        <v>8709</v>
      </c>
      <c r="CE278" s="17">
        <v>8736</v>
      </c>
      <c r="CF278" s="17">
        <v>8749</v>
      </c>
      <c r="CG278" s="17">
        <v>8758</v>
      </c>
      <c r="CH278" s="17">
        <v>8760</v>
      </c>
      <c r="CI278" s="17">
        <v>8760</v>
      </c>
      <c r="CJ278" s="17">
        <v>8760</v>
      </c>
      <c r="CK278" s="17">
        <v>8760</v>
      </c>
      <c r="CL278" s="17">
        <v>8760</v>
      </c>
      <c r="CM278" s="17">
        <v>8760</v>
      </c>
      <c r="CN278" s="17">
        <v>8760</v>
      </c>
      <c r="CO278" s="17">
        <v>8760</v>
      </c>
      <c r="CP278" s="17">
        <v>8760</v>
      </c>
      <c r="CQ278" s="17">
        <v>8760</v>
      </c>
      <c r="CR278" s="17">
        <v>8760</v>
      </c>
      <c r="CS278" s="17">
        <v>8760</v>
      </c>
      <c r="CT278" s="17">
        <v>8760</v>
      </c>
      <c r="CU278" s="17">
        <v>8760</v>
      </c>
      <c r="CV278" s="17">
        <v>8760</v>
      </c>
      <c r="CW278" s="17">
        <v>8760</v>
      </c>
      <c r="CX278" s="17">
        <v>8760</v>
      </c>
      <c r="CY278" s="17">
        <v>8760</v>
      </c>
      <c r="CZ278" s="17">
        <v>8760</v>
      </c>
      <c r="DA278" s="17">
        <v>8760</v>
      </c>
      <c r="DB278" s="17">
        <v>8760</v>
      </c>
    </row>
    <row r="279" spans="1:106" s="17" customFormat="1" x14ac:dyDescent="0.25">
      <c r="A279" s="22" t="s">
        <v>296</v>
      </c>
      <c r="B279" s="17" t="s">
        <v>288</v>
      </c>
      <c r="C279" s="17" t="s">
        <v>438</v>
      </c>
      <c r="D279" s="17" t="s">
        <v>906</v>
      </c>
      <c r="E279" s="17" t="s">
        <v>907</v>
      </c>
      <c r="F279" s="17">
        <v>102251</v>
      </c>
      <c r="G279" s="17">
        <v>0</v>
      </c>
      <c r="H279" s="17">
        <v>0</v>
      </c>
      <c r="I279" s="17">
        <v>0</v>
      </c>
      <c r="J279" s="17">
        <v>0</v>
      </c>
      <c r="K279" s="17">
        <v>0</v>
      </c>
      <c r="L279" s="17">
        <v>0</v>
      </c>
      <c r="M279" s="17">
        <v>0</v>
      </c>
      <c r="N279" s="17">
        <v>0</v>
      </c>
      <c r="O279" s="17">
        <v>0</v>
      </c>
      <c r="P279" s="17">
        <v>0</v>
      </c>
      <c r="Q279" s="17">
        <v>0</v>
      </c>
      <c r="R279" s="17">
        <v>0</v>
      </c>
      <c r="S279" s="17">
        <v>0</v>
      </c>
      <c r="T279" s="17">
        <v>0</v>
      </c>
      <c r="U279" s="17">
        <v>0</v>
      </c>
      <c r="V279" s="17">
        <v>0</v>
      </c>
      <c r="W279" s="17">
        <v>0</v>
      </c>
      <c r="X279" s="17">
        <v>0</v>
      </c>
      <c r="Y279" s="17">
        <v>0</v>
      </c>
      <c r="Z279" s="17">
        <v>0</v>
      </c>
      <c r="AA279" s="17">
        <v>0</v>
      </c>
      <c r="AB279" s="17">
        <v>0</v>
      </c>
      <c r="AC279" s="17">
        <v>0</v>
      </c>
      <c r="AD279" s="17">
        <v>0</v>
      </c>
      <c r="AE279" s="17">
        <v>0</v>
      </c>
      <c r="AF279" s="17">
        <v>0</v>
      </c>
      <c r="AG279" s="17">
        <v>0</v>
      </c>
      <c r="AH279" s="17">
        <v>0</v>
      </c>
      <c r="AI279" s="17">
        <v>0</v>
      </c>
      <c r="AJ279" s="17">
        <v>0</v>
      </c>
      <c r="AK279" s="17">
        <v>0</v>
      </c>
      <c r="AL279" s="17">
        <v>0</v>
      </c>
      <c r="AM279" s="17">
        <v>0</v>
      </c>
      <c r="AN279" s="17">
        <v>0</v>
      </c>
      <c r="AO279" s="17">
        <v>6</v>
      </c>
      <c r="AP279" s="17">
        <v>14</v>
      </c>
      <c r="AQ279" s="17">
        <v>29</v>
      </c>
      <c r="AR279" s="17">
        <v>73</v>
      </c>
      <c r="AS279" s="17">
        <v>120</v>
      </c>
      <c r="AT279" s="17">
        <v>160</v>
      </c>
      <c r="AU279" s="17">
        <v>195</v>
      </c>
      <c r="AV279" s="17">
        <v>242</v>
      </c>
      <c r="AW279" s="17">
        <v>304</v>
      </c>
      <c r="AX279" s="17">
        <v>378</v>
      </c>
      <c r="AY279" s="17">
        <v>499</v>
      </c>
      <c r="AZ279" s="17">
        <v>664</v>
      </c>
      <c r="BA279" s="17">
        <v>892</v>
      </c>
      <c r="BB279" s="17">
        <v>1185</v>
      </c>
      <c r="BC279" s="17">
        <v>1497</v>
      </c>
      <c r="BD279" s="17">
        <v>1833</v>
      </c>
      <c r="BE279" s="17">
        <v>2212</v>
      </c>
      <c r="BF279" s="17">
        <v>2576</v>
      </c>
      <c r="BG279" s="17">
        <v>2969</v>
      </c>
      <c r="BH279" s="17">
        <v>3330</v>
      </c>
      <c r="BI279" s="17">
        <v>3693</v>
      </c>
      <c r="BJ279" s="17">
        <v>4110</v>
      </c>
      <c r="BK279" s="17">
        <v>4562</v>
      </c>
      <c r="BL279" s="17">
        <v>4935</v>
      </c>
      <c r="BM279" s="17">
        <v>5280</v>
      </c>
      <c r="BN279" s="17">
        <v>5707</v>
      </c>
      <c r="BO279" s="17">
        <v>6065</v>
      </c>
      <c r="BP279" s="17">
        <v>6425</v>
      </c>
      <c r="BQ279" s="17">
        <v>6771</v>
      </c>
      <c r="BR279" s="17">
        <v>7093</v>
      </c>
      <c r="BS279" s="17">
        <v>7431</v>
      </c>
      <c r="BT279" s="17">
        <v>7724</v>
      </c>
      <c r="BU279" s="17">
        <v>7955</v>
      </c>
      <c r="BV279" s="17">
        <v>8160</v>
      </c>
      <c r="BW279" s="17">
        <v>8313</v>
      </c>
      <c r="BX279" s="17">
        <v>8422</v>
      </c>
      <c r="BY279" s="17">
        <v>8504</v>
      </c>
      <c r="BZ279" s="17">
        <v>8561</v>
      </c>
      <c r="CA279" s="17">
        <v>8603</v>
      </c>
      <c r="CB279" s="17">
        <v>8655</v>
      </c>
      <c r="CC279" s="17">
        <v>8694</v>
      </c>
      <c r="CD279" s="17">
        <v>8726</v>
      </c>
      <c r="CE279" s="17">
        <v>8746</v>
      </c>
      <c r="CF279" s="17">
        <v>8756</v>
      </c>
      <c r="CG279" s="17">
        <v>8760</v>
      </c>
      <c r="CH279" s="17">
        <v>8760</v>
      </c>
      <c r="CI279" s="17">
        <v>8760</v>
      </c>
      <c r="CJ279" s="17">
        <v>8760</v>
      </c>
      <c r="CK279" s="17">
        <v>8760</v>
      </c>
      <c r="CL279" s="17">
        <v>8760</v>
      </c>
      <c r="CM279" s="17">
        <v>8760</v>
      </c>
      <c r="CN279" s="17">
        <v>8760</v>
      </c>
      <c r="CO279" s="17">
        <v>8760</v>
      </c>
      <c r="CP279" s="17">
        <v>8760</v>
      </c>
      <c r="CQ279" s="17">
        <v>8760</v>
      </c>
      <c r="CR279" s="17">
        <v>8760</v>
      </c>
      <c r="CS279" s="17">
        <v>8760</v>
      </c>
      <c r="CT279" s="17">
        <v>8760</v>
      </c>
      <c r="CU279" s="17">
        <v>8760</v>
      </c>
      <c r="CV279" s="17">
        <v>8760</v>
      </c>
      <c r="CW279" s="17">
        <v>8760</v>
      </c>
      <c r="CX279" s="17">
        <v>8760</v>
      </c>
      <c r="CY279" s="17">
        <v>8760</v>
      </c>
      <c r="CZ279" s="17">
        <v>8760</v>
      </c>
      <c r="DA279" s="17">
        <v>8760</v>
      </c>
      <c r="DB279" s="17">
        <v>8760</v>
      </c>
    </row>
    <row r="280" spans="1:106" s="17" customFormat="1" x14ac:dyDescent="0.25">
      <c r="A280" s="22" t="s">
        <v>297</v>
      </c>
      <c r="B280" s="17" t="s">
        <v>289</v>
      </c>
      <c r="C280" s="17" t="s">
        <v>438</v>
      </c>
      <c r="D280" s="17" t="s">
        <v>908</v>
      </c>
      <c r="E280" s="17" t="s">
        <v>909</v>
      </c>
      <c r="F280" s="17">
        <v>102619</v>
      </c>
      <c r="G280" s="17">
        <v>0</v>
      </c>
      <c r="H280" s="17">
        <v>0</v>
      </c>
      <c r="I280" s="17">
        <v>0</v>
      </c>
      <c r="J280" s="17">
        <v>0</v>
      </c>
      <c r="K280" s="17">
        <v>0</v>
      </c>
      <c r="L280" s="17">
        <v>0</v>
      </c>
      <c r="M280" s="17">
        <v>0</v>
      </c>
      <c r="N280" s="17">
        <v>0</v>
      </c>
      <c r="O280" s="17">
        <v>0</v>
      </c>
      <c r="P280" s="17">
        <v>0</v>
      </c>
      <c r="Q280" s="17">
        <v>0</v>
      </c>
      <c r="R280" s="17">
        <v>0</v>
      </c>
      <c r="S280" s="17">
        <v>0</v>
      </c>
      <c r="T280" s="17">
        <v>0</v>
      </c>
      <c r="U280" s="17">
        <v>0</v>
      </c>
      <c r="V280" s="17">
        <v>0</v>
      </c>
      <c r="W280" s="17">
        <v>0</v>
      </c>
      <c r="X280" s="17">
        <v>0</v>
      </c>
      <c r="Y280" s="17">
        <v>0</v>
      </c>
      <c r="Z280" s="17">
        <v>0</v>
      </c>
      <c r="AA280" s="17">
        <v>0</v>
      </c>
      <c r="AB280" s="17">
        <v>0</v>
      </c>
      <c r="AC280" s="17">
        <v>0</v>
      </c>
      <c r="AD280" s="17">
        <v>0</v>
      </c>
      <c r="AE280" s="17">
        <v>0</v>
      </c>
      <c r="AF280" s="17">
        <v>0</v>
      </c>
      <c r="AG280" s="17">
        <v>0</v>
      </c>
      <c r="AH280" s="17">
        <v>0</v>
      </c>
      <c r="AI280" s="17">
        <v>0</v>
      </c>
      <c r="AJ280" s="17">
        <v>2</v>
      </c>
      <c r="AK280" s="17">
        <v>9</v>
      </c>
      <c r="AL280" s="17">
        <v>19</v>
      </c>
      <c r="AM280" s="17">
        <v>32</v>
      </c>
      <c r="AN280" s="17">
        <v>46</v>
      </c>
      <c r="AO280" s="17">
        <v>69</v>
      </c>
      <c r="AP280" s="17">
        <v>109</v>
      </c>
      <c r="AQ280" s="17">
        <v>165</v>
      </c>
      <c r="AR280" s="17">
        <v>227</v>
      </c>
      <c r="AS280" s="17">
        <v>304</v>
      </c>
      <c r="AT280" s="17">
        <v>396</v>
      </c>
      <c r="AU280" s="17">
        <v>536</v>
      </c>
      <c r="AV280" s="17">
        <v>668</v>
      </c>
      <c r="AW280" s="17">
        <v>789</v>
      </c>
      <c r="AX280" s="17">
        <v>903</v>
      </c>
      <c r="AY280" s="17">
        <v>1033</v>
      </c>
      <c r="AZ280" s="17">
        <v>1241</v>
      </c>
      <c r="BA280" s="17">
        <v>1489</v>
      </c>
      <c r="BB280" s="17">
        <v>1765</v>
      </c>
      <c r="BC280" s="17">
        <v>2050</v>
      </c>
      <c r="BD280" s="17">
        <v>2355</v>
      </c>
      <c r="BE280" s="17">
        <v>2781</v>
      </c>
      <c r="BF280" s="17">
        <v>3164</v>
      </c>
      <c r="BG280" s="17">
        <v>3573</v>
      </c>
      <c r="BH280" s="17">
        <v>3963</v>
      </c>
      <c r="BI280" s="17">
        <v>4307</v>
      </c>
      <c r="BJ280" s="17">
        <v>4601</v>
      </c>
      <c r="BK280" s="17">
        <v>4888</v>
      </c>
      <c r="BL280" s="17">
        <v>5189</v>
      </c>
      <c r="BM280" s="17">
        <v>5534</v>
      </c>
      <c r="BN280" s="17">
        <v>5851</v>
      </c>
      <c r="BO280" s="17">
        <v>6129</v>
      </c>
      <c r="BP280" s="17">
        <v>6408</v>
      </c>
      <c r="BQ280" s="17">
        <v>6732</v>
      </c>
      <c r="BR280" s="17">
        <v>7038</v>
      </c>
      <c r="BS280" s="17">
        <v>7323</v>
      </c>
      <c r="BT280" s="17">
        <v>7568</v>
      </c>
      <c r="BU280" s="17">
        <v>7829</v>
      </c>
      <c r="BV280" s="17">
        <v>8025</v>
      </c>
      <c r="BW280" s="17">
        <v>8193</v>
      </c>
      <c r="BX280" s="17">
        <v>8320</v>
      </c>
      <c r="BY280" s="17">
        <v>8447</v>
      </c>
      <c r="BZ280" s="17">
        <v>8530</v>
      </c>
      <c r="CA280" s="17">
        <v>8597</v>
      </c>
      <c r="CB280" s="17">
        <v>8645</v>
      </c>
      <c r="CC280" s="17">
        <v>8696</v>
      </c>
      <c r="CD280" s="17">
        <v>8724</v>
      </c>
      <c r="CE280" s="17">
        <v>8749</v>
      </c>
      <c r="CF280" s="17">
        <v>8753</v>
      </c>
      <c r="CG280" s="17">
        <v>8756</v>
      </c>
      <c r="CH280" s="17">
        <v>8760</v>
      </c>
      <c r="CI280" s="17">
        <v>8760</v>
      </c>
      <c r="CJ280" s="17">
        <v>8760</v>
      </c>
      <c r="CK280" s="17">
        <v>8760</v>
      </c>
      <c r="CL280" s="17">
        <v>8760</v>
      </c>
      <c r="CM280" s="17">
        <v>8760</v>
      </c>
      <c r="CN280" s="17">
        <v>8760</v>
      </c>
      <c r="CO280" s="17">
        <v>8760</v>
      </c>
      <c r="CP280" s="17">
        <v>8760</v>
      </c>
      <c r="CQ280" s="17">
        <v>8760</v>
      </c>
      <c r="CR280" s="17">
        <v>8760</v>
      </c>
      <c r="CS280" s="17">
        <v>8760</v>
      </c>
      <c r="CT280" s="17">
        <v>8760</v>
      </c>
      <c r="CU280" s="17">
        <v>8760</v>
      </c>
      <c r="CV280" s="17">
        <v>8760</v>
      </c>
      <c r="CW280" s="17">
        <v>8760</v>
      </c>
      <c r="CX280" s="17">
        <v>8760</v>
      </c>
      <c r="CY280" s="17">
        <v>8760</v>
      </c>
      <c r="CZ280" s="17">
        <v>8760</v>
      </c>
      <c r="DA280" s="17">
        <v>8760</v>
      </c>
      <c r="DB280" s="17">
        <v>8760</v>
      </c>
    </row>
    <row r="281" spans="1:106" s="17" customFormat="1" x14ac:dyDescent="0.25">
      <c r="A281" s="22" t="s">
        <v>298</v>
      </c>
      <c r="B281" s="17" t="s">
        <v>290</v>
      </c>
      <c r="C281" s="17" t="s">
        <v>438</v>
      </c>
      <c r="D281" s="17" t="s">
        <v>910</v>
      </c>
      <c r="E281" s="17" t="s">
        <v>911</v>
      </c>
      <c r="F281" s="17">
        <v>102822</v>
      </c>
      <c r="G281" s="17">
        <v>0</v>
      </c>
      <c r="H281" s="17">
        <v>0</v>
      </c>
      <c r="I281" s="17">
        <v>0</v>
      </c>
      <c r="J281" s="17">
        <v>0</v>
      </c>
      <c r="K281" s="17">
        <v>0</v>
      </c>
      <c r="L281" s="17">
        <v>0</v>
      </c>
      <c r="M281" s="17">
        <v>0</v>
      </c>
      <c r="N281" s="17">
        <v>0</v>
      </c>
      <c r="O281" s="17">
        <v>0</v>
      </c>
      <c r="P281" s="17">
        <v>0</v>
      </c>
      <c r="Q281" s="17">
        <v>0</v>
      </c>
      <c r="R281" s="17">
        <v>0</v>
      </c>
      <c r="S281" s="17">
        <v>0</v>
      </c>
      <c r="T281" s="17">
        <v>0</v>
      </c>
      <c r="U281" s="17">
        <v>0</v>
      </c>
      <c r="V281" s="17">
        <v>0</v>
      </c>
      <c r="W281" s="17">
        <v>0</v>
      </c>
      <c r="X281" s="17">
        <v>0</v>
      </c>
      <c r="Y281" s="17">
        <v>0</v>
      </c>
      <c r="Z281" s="17">
        <v>0</v>
      </c>
      <c r="AA281" s="17">
        <v>0</v>
      </c>
      <c r="AB281" s="17">
        <v>0</v>
      </c>
      <c r="AC281" s="17">
        <v>0</v>
      </c>
      <c r="AD281" s="17">
        <v>0</v>
      </c>
      <c r="AE281" s="17">
        <v>0</v>
      </c>
      <c r="AF281" s="17">
        <v>2</v>
      </c>
      <c r="AG281" s="17">
        <v>4</v>
      </c>
      <c r="AH281" s="17">
        <v>11</v>
      </c>
      <c r="AI281" s="17">
        <v>22</v>
      </c>
      <c r="AJ281" s="17">
        <v>37</v>
      </c>
      <c r="AK281" s="17">
        <v>64</v>
      </c>
      <c r="AL281" s="17">
        <v>87</v>
      </c>
      <c r="AM281" s="17">
        <v>116</v>
      </c>
      <c r="AN281" s="17">
        <v>167</v>
      </c>
      <c r="AO281" s="17">
        <v>237</v>
      </c>
      <c r="AP281" s="17">
        <v>303</v>
      </c>
      <c r="AQ281" s="17">
        <v>373</v>
      </c>
      <c r="AR281" s="17">
        <v>482</v>
      </c>
      <c r="AS281" s="17">
        <v>593</v>
      </c>
      <c r="AT281" s="17">
        <v>730</v>
      </c>
      <c r="AU281" s="17">
        <v>855</v>
      </c>
      <c r="AV281" s="17">
        <v>988</v>
      </c>
      <c r="AW281" s="17">
        <v>1118</v>
      </c>
      <c r="AX281" s="17">
        <v>1280</v>
      </c>
      <c r="AY281" s="17">
        <v>1438</v>
      </c>
      <c r="AZ281" s="17">
        <v>1648</v>
      </c>
      <c r="BA281" s="17">
        <v>1818</v>
      </c>
      <c r="BB281" s="17">
        <v>2118</v>
      </c>
      <c r="BC281" s="17">
        <v>2428</v>
      </c>
      <c r="BD281" s="17">
        <v>2873</v>
      </c>
      <c r="BE281" s="17">
        <v>3330</v>
      </c>
      <c r="BF281" s="17">
        <v>3721</v>
      </c>
      <c r="BG281" s="17">
        <v>4099</v>
      </c>
      <c r="BH281" s="17">
        <v>4448</v>
      </c>
      <c r="BI281" s="17">
        <v>4740</v>
      </c>
      <c r="BJ281" s="17">
        <v>5047</v>
      </c>
      <c r="BK281" s="17">
        <v>5360</v>
      </c>
      <c r="BL281" s="17">
        <v>5641</v>
      </c>
      <c r="BM281" s="17">
        <v>5923</v>
      </c>
      <c r="BN281" s="17">
        <v>6210</v>
      </c>
      <c r="BO281" s="17">
        <v>6537</v>
      </c>
      <c r="BP281" s="17">
        <v>6836</v>
      </c>
      <c r="BQ281" s="17">
        <v>7107</v>
      </c>
      <c r="BR281" s="17">
        <v>7373</v>
      </c>
      <c r="BS281" s="17">
        <v>7625</v>
      </c>
      <c r="BT281" s="17">
        <v>7839</v>
      </c>
      <c r="BU281" s="17">
        <v>8034</v>
      </c>
      <c r="BV281" s="17">
        <v>8212</v>
      </c>
      <c r="BW281" s="17">
        <v>8355</v>
      </c>
      <c r="BX281" s="17">
        <v>8469</v>
      </c>
      <c r="BY281" s="17">
        <v>8559</v>
      </c>
      <c r="BZ281" s="17">
        <v>8609</v>
      </c>
      <c r="CA281" s="17">
        <v>8663</v>
      </c>
      <c r="CB281" s="17">
        <v>8688</v>
      </c>
      <c r="CC281" s="17">
        <v>8709</v>
      </c>
      <c r="CD281" s="17">
        <v>8730</v>
      </c>
      <c r="CE281" s="17">
        <v>8742</v>
      </c>
      <c r="CF281" s="17">
        <v>8754</v>
      </c>
      <c r="CG281" s="17">
        <v>8757</v>
      </c>
      <c r="CH281" s="17">
        <v>8760</v>
      </c>
      <c r="CI281" s="17">
        <v>8760</v>
      </c>
      <c r="CJ281" s="17">
        <v>8760</v>
      </c>
      <c r="CK281" s="17">
        <v>8760</v>
      </c>
      <c r="CL281" s="17">
        <v>8760</v>
      </c>
      <c r="CM281" s="17">
        <v>8760</v>
      </c>
      <c r="CN281" s="17">
        <v>8760</v>
      </c>
      <c r="CO281" s="17">
        <v>8760</v>
      </c>
      <c r="CP281" s="17">
        <v>8760</v>
      </c>
      <c r="CQ281" s="17">
        <v>8760</v>
      </c>
      <c r="CR281" s="17">
        <v>8760</v>
      </c>
      <c r="CS281" s="17">
        <v>8760</v>
      </c>
      <c r="CT281" s="17">
        <v>8760</v>
      </c>
      <c r="CU281" s="17">
        <v>8760</v>
      </c>
      <c r="CV281" s="17">
        <v>8760</v>
      </c>
      <c r="CW281" s="17">
        <v>8760</v>
      </c>
      <c r="CX281" s="17">
        <v>8760</v>
      </c>
      <c r="CY281" s="17">
        <v>8760</v>
      </c>
      <c r="CZ281" s="17">
        <v>8760</v>
      </c>
      <c r="DA281" s="17">
        <v>8760</v>
      </c>
      <c r="DB281" s="17">
        <v>8760</v>
      </c>
    </row>
    <row r="282" spans="1:106" s="17" customFormat="1" x14ac:dyDescent="0.25">
      <c r="A282" s="22" t="s">
        <v>299</v>
      </c>
      <c r="B282" s="17" t="s">
        <v>291</v>
      </c>
      <c r="C282" s="17" t="s">
        <v>438</v>
      </c>
      <c r="D282" s="17" t="s">
        <v>912</v>
      </c>
      <c r="E282" s="17" t="s">
        <v>913</v>
      </c>
      <c r="F282" s="17">
        <v>102305</v>
      </c>
      <c r="G282" s="17">
        <v>0</v>
      </c>
      <c r="H282" s="17">
        <v>0</v>
      </c>
      <c r="I282" s="17">
        <v>0</v>
      </c>
      <c r="J282" s="17">
        <v>0</v>
      </c>
      <c r="K282" s="17">
        <v>0</v>
      </c>
      <c r="L282" s="17">
        <v>0</v>
      </c>
      <c r="M282" s="17">
        <v>0</v>
      </c>
      <c r="N282" s="17">
        <v>0</v>
      </c>
      <c r="O282" s="17">
        <v>0</v>
      </c>
      <c r="P282" s="17">
        <v>0</v>
      </c>
      <c r="Q282" s="17">
        <v>0</v>
      </c>
      <c r="R282" s="17">
        <v>0</v>
      </c>
      <c r="S282" s="17">
        <v>0</v>
      </c>
      <c r="T282" s="17">
        <v>0</v>
      </c>
      <c r="U282" s="17">
        <v>0</v>
      </c>
      <c r="V282" s="17">
        <v>0</v>
      </c>
      <c r="W282" s="17">
        <v>0</v>
      </c>
      <c r="X282" s="17">
        <v>0</v>
      </c>
      <c r="Y282" s="17">
        <v>0</v>
      </c>
      <c r="Z282" s="17">
        <v>0</v>
      </c>
      <c r="AA282" s="17">
        <v>0</v>
      </c>
      <c r="AB282" s="17">
        <v>0</v>
      </c>
      <c r="AC282" s="17">
        <v>0</v>
      </c>
      <c r="AD282" s="17">
        <v>0</v>
      </c>
      <c r="AE282" s="17">
        <v>0</v>
      </c>
      <c r="AF282" s="17">
        <v>0</v>
      </c>
      <c r="AG282" s="17">
        <v>0</v>
      </c>
      <c r="AH282" s="17">
        <v>0</v>
      </c>
      <c r="AI282" s="17">
        <v>0</v>
      </c>
      <c r="AJ282" s="17">
        <v>0</v>
      </c>
      <c r="AK282" s="17">
        <v>1</v>
      </c>
      <c r="AL282" s="17">
        <v>4</v>
      </c>
      <c r="AM282" s="17">
        <v>6</v>
      </c>
      <c r="AN282" s="17">
        <v>8</v>
      </c>
      <c r="AO282" s="17">
        <v>9</v>
      </c>
      <c r="AP282" s="17">
        <v>17</v>
      </c>
      <c r="AQ282" s="17">
        <v>41</v>
      </c>
      <c r="AR282" s="17">
        <v>63</v>
      </c>
      <c r="AS282" s="17">
        <v>85</v>
      </c>
      <c r="AT282" s="17">
        <v>116</v>
      </c>
      <c r="AU282" s="17">
        <v>159</v>
      </c>
      <c r="AV282" s="17">
        <v>226</v>
      </c>
      <c r="AW282" s="17">
        <v>301</v>
      </c>
      <c r="AX282" s="17">
        <v>396</v>
      </c>
      <c r="AY282" s="17">
        <v>523</v>
      </c>
      <c r="AZ282" s="17">
        <v>644</v>
      </c>
      <c r="BA282" s="17">
        <v>796</v>
      </c>
      <c r="BB282" s="17">
        <v>981</v>
      </c>
      <c r="BC282" s="17">
        <v>1221</v>
      </c>
      <c r="BD282" s="17">
        <v>1578</v>
      </c>
      <c r="BE282" s="17">
        <v>2065</v>
      </c>
      <c r="BF282" s="17">
        <v>2458</v>
      </c>
      <c r="BG282" s="17">
        <v>2912</v>
      </c>
      <c r="BH282" s="17">
        <v>3352</v>
      </c>
      <c r="BI282" s="17">
        <v>3694</v>
      </c>
      <c r="BJ282" s="17">
        <v>4051</v>
      </c>
      <c r="BK282" s="17">
        <v>4446</v>
      </c>
      <c r="BL282" s="17">
        <v>4822</v>
      </c>
      <c r="BM282" s="17">
        <v>5129</v>
      </c>
      <c r="BN282" s="17">
        <v>5443</v>
      </c>
      <c r="BO282" s="17">
        <v>5793</v>
      </c>
      <c r="BP282" s="17">
        <v>6203</v>
      </c>
      <c r="BQ282" s="17">
        <v>6590</v>
      </c>
      <c r="BR282" s="17">
        <v>6900</v>
      </c>
      <c r="BS282" s="17">
        <v>7195</v>
      </c>
      <c r="BT282" s="17">
        <v>7514</v>
      </c>
      <c r="BU282" s="17">
        <v>7795</v>
      </c>
      <c r="BV282" s="17">
        <v>8036</v>
      </c>
      <c r="BW282" s="17">
        <v>8234</v>
      </c>
      <c r="BX282" s="17">
        <v>8373</v>
      </c>
      <c r="BY282" s="17">
        <v>8482</v>
      </c>
      <c r="BZ282" s="17">
        <v>8577</v>
      </c>
      <c r="CA282" s="17">
        <v>8652</v>
      </c>
      <c r="CB282" s="17">
        <v>8702</v>
      </c>
      <c r="CC282" s="17">
        <v>8730</v>
      </c>
      <c r="CD282" s="17">
        <v>8744</v>
      </c>
      <c r="CE282" s="17">
        <v>8751</v>
      </c>
      <c r="CF282" s="17">
        <v>8754</v>
      </c>
      <c r="CG282" s="17">
        <v>8757</v>
      </c>
      <c r="CH282" s="17">
        <v>8760</v>
      </c>
      <c r="CI282" s="17">
        <v>8760</v>
      </c>
      <c r="CJ282" s="17">
        <v>8760</v>
      </c>
      <c r="CK282" s="17">
        <v>8760</v>
      </c>
      <c r="CL282" s="17">
        <v>8760</v>
      </c>
      <c r="CM282" s="17">
        <v>8760</v>
      </c>
      <c r="CN282" s="17">
        <v>8760</v>
      </c>
      <c r="CO282" s="17">
        <v>8760</v>
      </c>
      <c r="CP282" s="17">
        <v>8760</v>
      </c>
      <c r="CQ282" s="17">
        <v>8760</v>
      </c>
      <c r="CR282" s="17">
        <v>8760</v>
      </c>
      <c r="CS282" s="17">
        <v>8760</v>
      </c>
      <c r="CT282" s="17">
        <v>8760</v>
      </c>
      <c r="CU282" s="17">
        <v>8760</v>
      </c>
      <c r="CV282" s="17">
        <v>8760</v>
      </c>
      <c r="CW282" s="17">
        <v>8760</v>
      </c>
      <c r="CX282" s="17">
        <v>8760</v>
      </c>
      <c r="CY282" s="17">
        <v>8760</v>
      </c>
      <c r="CZ282" s="17">
        <v>8760</v>
      </c>
      <c r="DA282" s="17">
        <v>8760</v>
      </c>
      <c r="DB282" s="17">
        <v>8760</v>
      </c>
    </row>
    <row r="283" spans="1:106" s="17" customFormat="1" x14ac:dyDescent="0.25">
      <c r="A283" s="22" t="s">
        <v>300</v>
      </c>
      <c r="B283" s="17" t="s">
        <v>292</v>
      </c>
      <c r="C283" s="17" t="s">
        <v>438</v>
      </c>
      <c r="D283" s="17" t="s">
        <v>914</v>
      </c>
      <c r="E283" s="17" t="s">
        <v>915</v>
      </c>
      <c r="F283" s="17">
        <v>102237</v>
      </c>
      <c r="G283" s="17">
        <v>0</v>
      </c>
      <c r="H283" s="17">
        <v>0</v>
      </c>
      <c r="I283" s="17">
        <v>0</v>
      </c>
      <c r="J283" s="17">
        <v>0</v>
      </c>
      <c r="K283" s="17">
        <v>0</v>
      </c>
      <c r="L283" s="17">
        <v>0</v>
      </c>
      <c r="M283" s="17">
        <v>0</v>
      </c>
      <c r="N283" s="17">
        <v>0</v>
      </c>
      <c r="O283" s="17">
        <v>0</v>
      </c>
      <c r="P283" s="17">
        <v>0</v>
      </c>
      <c r="Q283" s="17">
        <v>0</v>
      </c>
      <c r="R283" s="17">
        <v>0</v>
      </c>
      <c r="S283" s="17">
        <v>0</v>
      </c>
      <c r="T283" s="17">
        <v>0</v>
      </c>
      <c r="U283" s="17">
        <v>0</v>
      </c>
      <c r="V283" s="17">
        <v>0</v>
      </c>
      <c r="W283" s="17">
        <v>0</v>
      </c>
      <c r="X283" s="17">
        <v>0</v>
      </c>
      <c r="Y283" s="17">
        <v>0</v>
      </c>
      <c r="Z283" s="17">
        <v>0</v>
      </c>
      <c r="AA283" s="17">
        <v>0</v>
      </c>
      <c r="AB283" s="17">
        <v>0</v>
      </c>
      <c r="AC283" s="17">
        <v>0</v>
      </c>
      <c r="AD283" s="17">
        <v>0</v>
      </c>
      <c r="AE283" s="17">
        <v>0</v>
      </c>
      <c r="AF283" s="17">
        <v>0</v>
      </c>
      <c r="AG283" s="17">
        <v>0</v>
      </c>
      <c r="AH283" s="17">
        <v>0</v>
      </c>
      <c r="AI283" s="17">
        <v>0</v>
      </c>
      <c r="AJ283" s="17">
        <v>0</v>
      </c>
      <c r="AK283" s="17">
        <v>0</v>
      </c>
      <c r="AL283" s="17">
        <v>0</v>
      </c>
      <c r="AM283" s="17">
        <v>0</v>
      </c>
      <c r="AN283" s="17">
        <v>0</v>
      </c>
      <c r="AO283" s="17">
        <v>0</v>
      </c>
      <c r="AP283" s="17">
        <v>0</v>
      </c>
      <c r="AQ283" s="17">
        <v>0</v>
      </c>
      <c r="AR283" s="17">
        <v>0</v>
      </c>
      <c r="AS283" s="17">
        <v>0</v>
      </c>
      <c r="AT283" s="17">
        <v>1</v>
      </c>
      <c r="AU283" s="17">
        <v>9</v>
      </c>
      <c r="AV283" s="17">
        <v>11</v>
      </c>
      <c r="AW283" s="17">
        <v>17</v>
      </c>
      <c r="AX283" s="17">
        <v>36</v>
      </c>
      <c r="AY283" s="17">
        <v>78</v>
      </c>
      <c r="AZ283" s="17">
        <v>139</v>
      </c>
      <c r="BA283" s="17">
        <v>230</v>
      </c>
      <c r="BB283" s="17">
        <v>340</v>
      </c>
      <c r="BC283" s="17">
        <v>532</v>
      </c>
      <c r="BD283" s="17">
        <v>860</v>
      </c>
      <c r="BE283" s="17">
        <v>1227</v>
      </c>
      <c r="BF283" s="17">
        <v>1679</v>
      </c>
      <c r="BG283" s="17">
        <v>2260</v>
      </c>
      <c r="BH283" s="17">
        <v>2854</v>
      </c>
      <c r="BI283" s="17">
        <v>3410</v>
      </c>
      <c r="BJ283" s="17">
        <v>3902</v>
      </c>
      <c r="BK283" s="17">
        <v>4299</v>
      </c>
      <c r="BL283" s="17">
        <v>4598</v>
      </c>
      <c r="BM283" s="17">
        <v>4874</v>
      </c>
      <c r="BN283" s="17">
        <v>5170</v>
      </c>
      <c r="BO283" s="17">
        <v>5571</v>
      </c>
      <c r="BP283" s="17">
        <v>5966</v>
      </c>
      <c r="BQ283" s="17">
        <v>6379</v>
      </c>
      <c r="BR283" s="17">
        <v>6801</v>
      </c>
      <c r="BS283" s="17">
        <v>7269</v>
      </c>
      <c r="BT283" s="17">
        <v>7681</v>
      </c>
      <c r="BU283" s="17">
        <v>7987</v>
      </c>
      <c r="BV283" s="17">
        <v>8221</v>
      </c>
      <c r="BW283" s="17">
        <v>8392</v>
      </c>
      <c r="BX283" s="17">
        <v>8529</v>
      </c>
      <c r="BY283" s="17">
        <v>8630</v>
      </c>
      <c r="BZ283" s="17">
        <v>8688</v>
      </c>
      <c r="CA283" s="17">
        <v>8721</v>
      </c>
      <c r="CB283" s="17">
        <v>8734</v>
      </c>
      <c r="CC283" s="17">
        <v>8744</v>
      </c>
      <c r="CD283" s="17">
        <v>8753</v>
      </c>
      <c r="CE283" s="17">
        <v>8756</v>
      </c>
      <c r="CF283" s="17">
        <v>8760</v>
      </c>
      <c r="CG283" s="17">
        <v>8760</v>
      </c>
      <c r="CH283" s="17">
        <v>8760</v>
      </c>
      <c r="CI283" s="17">
        <v>8760</v>
      </c>
      <c r="CJ283" s="17">
        <v>8760</v>
      </c>
      <c r="CK283" s="17">
        <v>8760</v>
      </c>
      <c r="CL283" s="17">
        <v>8760</v>
      </c>
      <c r="CM283" s="17">
        <v>8760</v>
      </c>
      <c r="CN283" s="17">
        <v>8760</v>
      </c>
      <c r="CO283" s="17">
        <v>8760</v>
      </c>
      <c r="CP283" s="17">
        <v>8760</v>
      </c>
      <c r="CQ283" s="17">
        <v>8760</v>
      </c>
      <c r="CR283" s="17">
        <v>8760</v>
      </c>
      <c r="CS283" s="17">
        <v>8760</v>
      </c>
      <c r="CT283" s="17">
        <v>8760</v>
      </c>
      <c r="CU283" s="17">
        <v>8760</v>
      </c>
      <c r="CV283" s="17">
        <v>8760</v>
      </c>
      <c r="CW283" s="17">
        <v>8760</v>
      </c>
      <c r="CX283" s="17">
        <v>8760</v>
      </c>
      <c r="CY283" s="17">
        <v>8760</v>
      </c>
      <c r="CZ283" s="17">
        <v>8760</v>
      </c>
      <c r="DA283" s="17">
        <v>8760</v>
      </c>
      <c r="DB283" s="17">
        <v>8760</v>
      </c>
    </row>
    <row r="284" spans="1:106" s="17" customFormat="1" x14ac:dyDescent="0.25">
      <c r="A284" s="22" t="s">
        <v>301</v>
      </c>
      <c r="B284" s="17" t="s">
        <v>293</v>
      </c>
      <c r="C284" s="17" t="s">
        <v>438</v>
      </c>
      <c r="D284" s="17" t="s">
        <v>916</v>
      </c>
      <c r="E284" s="17" t="s">
        <v>917</v>
      </c>
      <c r="F284" s="17">
        <v>102123</v>
      </c>
      <c r="G284" s="17">
        <v>0</v>
      </c>
      <c r="H284" s="17">
        <v>0</v>
      </c>
      <c r="I284" s="17">
        <v>0</v>
      </c>
      <c r="J284" s="17">
        <v>0</v>
      </c>
      <c r="K284" s="17">
        <v>0</v>
      </c>
      <c r="L284" s="17">
        <v>0</v>
      </c>
      <c r="M284" s="17">
        <v>0</v>
      </c>
      <c r="N284" s="17">
        <v>0</v>
      </c>
      <c r="O284" s="17">
        <v>0</v>
      </c>
      <c r="P284" s="17">
        <v>0</v>
      </c>
      <c r="Q284" s="17">
        <v>0</v>
      </c>
      <c r="R284" s="17">
        <v>0</v>
      </c>
      <c r="S284" s="17">
        <v>0</v>
      </c>
      <c r="T284" s="17">
        <v>0</v>
      </c>
      <c r="U284" s="17">
        <v>0</v>
      </c>
      <c r="V284" s="17">
        <v>0</v>
      </c>
      <c r="W284" s="17">
        <v>0</v>
      </c>
      <c r="X284" s="17">
        <v>0</v>
      </c>
      <c r="Y284" s="17">
        <v>0</v>
      </c>
      <c r="Z284" s="17">
        <v>0</v>
      </c>
      <c r="AA284" s="17">
        <v>0</v>
      </c>
      <c r="AB284" s="17">
        <v>0</v>
      </c>
      <c r="AC284" s="17">
        <v>0</v>
      </c>
      <c r="AD284" s="17">
        <v>0</v>
      </c>
      <c r="AE284" s="17">
        <v>0</v>
      </c>
      <c r="AF284" s="17">
        <v>0</v>
      </c>
      <c r="AG284" s="17">
        <v>0</v>
      </c>
      <c r="AH284" s="17">
        <v>0</v>
      </c>
      <c r="AI284" s="17">
        <v>0</v>
      </c>
      <c r="AJ284" s="17">
        <v>0</v>
      </c>
      <c r="AK284" s="17">
        <v>0</v>
      </c>
      <c r="AL284" s="17">
        <v>0</v>
      </c>
      <c r="AM284" s="17">
        <v>0</v>
      </c>
      <c r="AN284" s="17">
        <v>0</v>
      </c>
      <c r="AO284" s="17">
        <v>0</v>
      </c>
      <c r="AP284" s="17">
        <v>1</v>
      </c>
      <c r="AQ284" s="17">
        <v>4</v>
      </c>
      <c r="AR284" s="17">
        <v>10</v>
      </c>
      <c r="AS284" s="17">
        <v>12</v>
      </c>
      <c r="AT284" s="17">
        <v>24</v>
      </c>
      <c r="AU284" s="17">
        <v>40</v>
      </c>
      <c r="AV284" s="17">
        <v>54</v>
      </c>
      <c r="AW284" s="17">
        <v>78</v>
      </c>
      <c r="AX284" s="17">
        <v>100</v>
      </c>
      <c r="AY284" s="17">
        <v>163</v>
      </c>
      <c r="AZ284" s="17">
        <v>236</v>
      </c>
      <c r="BA284" s="17">
        <v>348</v>
      </c>
      <c r="BB284" s="17">
        <v>517</v>
      </c>
      <c r="BC284" s="17">
        <v>780</v>
      </c>
      <c r="BD284" s="17">
        <v>1103</v>
      </c>
      <c r="BE284" s="17">
        <v>1473</v>
      </c>
      <c r="BF284" s="17">
        <v>1918</v>
      </c>
      <c r="BG284" s="17">
        <v>2348</v>
      </c>
      <c r="BH284" s="17">
        <v>2857</v>
      </c>
      <c r="BI284" s="17">
        <v>3279</v>
      </c>
      <c r="BJ284" s="17">
        <v>3668</v>
      </c>
      <c r="BK284" s="17">
        <v>4047</v>
      </c>
      <c r="BL284" s="17">
        <v>4390</v>
      </c>
      <c r="BM284" s="17">
        <v>4752</v>
      </c>
      <c r="BN284" s="17">
        <v>5174</v>
      </c>
      <c r="BO284" s="17">
        <v>5544</v>
      </c>
      <c r="BP284" s="17">
        <v>5938</v>
      </c>
      <c r="BQ284" s="17">
        <v>6340</v>
      </c>
      <c r="BR284" s="17">
        <v>6775</v>
      </c>
      <c r="BS284" s="17">
        <v>7195</v>
      </c>
      <c r="BT284" s="17">
        <v>7559</v>
      </c>
      <c r="BU284" s="17">
        <v>7842</v>
      </c>
      <c r="BV284" s="17">
        <v>8094</v>
      </c>
      <c r="BW284" s="17">
        <v>8282</v>
      </c>
      <c r="BX284" s="17">
        <v>8424</v>
      </c>
      <c r="BY284" s="17">
        <v>8533</v>
      </c>
      <c r="BZ284" s="17">
        <v>8612</v>
      </c>
      <c r="CA284" s="17">
        <v>8668</v>
      </c>
      <c r="CB284" s="17">
        <v>8702</v>
      </c>
      <c r="CC284" s="17">
        <v>8716</v>
      </c>
      <c r="CD284" s="17">
        <v>8725</v>
      </c>
      <c r="CE284" s="17">
        <v>8737</v>
      </c>
      <c r="CF284" s="17">
        <v>8745</v>
      </c>
      <c r="CG284" s="17">
        <v>8751</v>
      </c>
      <c r="CH284" s="17">
        <v>8756</v>
      </c>
      <c r="CI284" s="17">
        <v>8760</v>
      </c>
      <c r="CJ284" s="17">
        <v>8760</v>
      </c>
      <c r="CK284" s="17">
        <v>8760</v>
      </c>
      <c r="CL284" s="17">
        <v>8760</v>
      </c>
      <c r="CM284" s="17">
        <v>8760</v>
      </c>
      <c r="CN284" s="17">
        <v>8760</v>
      </c>
      <c r="CO284" s="17">
        <v>8760</v>
      </c>
      <c r="CP284" s="17">
        <v>8760</v>
      </c>
      <c r="CQ284" s="17">
        <v>8760</v>
      </c>
      <c r="CR284" s="17">
        <v>8760</v>
      </c>
      <c r="CS284" s="17">
        <v>8760</v>
      </c>
      <c r="CT284" s="17">
        <v>8760</v>
      </c>
      <c r="CU284" s="17">
        <v>8760</v>
      </c>
      <c r="CV284" s="17">
        <v>8760</v>
      </c>
      <c r="CW284" s="17">
        <v>8760</v>
      </c>
      <c r="CX284" s="17">
        <v>8760</v>
      </c>
      <c r="CY284" s="17">
        <v>8760</v>
      </c>
      <c r="CZ284" s="17">
        <v>8760</v>
      </c>
      <c r="DA284" s="17">
        <v>8760</v>
      </c>
      <c r="DB284" s="17">
        <v>8760</v>
      </c>
    </row>
    <row r="285" spans="1:106" s="17" customFormat="1" x14ac:dyDescent="0.25">
      <c r="A285" s="22" t="s">
        <v>302</v>
      </c>
      <c r="B285" s="17" t="s">
        <v>296</v>
      </c>
      <c r="C285" s="17" t="s">
        <v>438</v>
      </c>
      <c r="D285" s="17" t="s">
        <v>918</v>
      </c>
      <c r="E285" s="17" t="s">
        <v>919</v>
      </c>
      <c r="F285" s="17">
        <v>102505</v>
      </c>
      <c r="G285" s="17">
        <v>0</v>
      </c>
      <c r="H285" s="17">
        <v>0</v>
      </c>
      <c r="I285" s="17">
        <v>0</v>
      </c>
      <c r="J285" s="17">
        <v>0</v>
      </c>
      <c r="K285" s="17">
        <v>0</v>
      </c>
      <c r="L285" s="17">
        <v>0</v>
      </c>
      <c r="M285" s="17">
        <v>0</v>
      </c>
      <c r="N285" s="17">
        <v>0</v>
      </c>
      <c r="O285" s="17">
        <v>0</v>
      </c>
      <c r="P285" s="17">
        <v>0</v>
      </c>
      <c r="Q285" s="17">
        <v>0</v>
      </c>
      <c r="R285" s="17">
        <v>0</v>
      </c>
      <c r="S285" s="17">
        <v>0</v>
      </c>
      <c r="T285" s="17">
        <v>0</v>
      </c>
      <c r="U285" s="17">
        <v>0</v>
      </c>
      <c r="V285" s="17">
        <v>0</v>
      </c>
      <c r="W285" s="17">
        <v>0</v>
      </c>
      <c r="X285" s="17">
        <v>0</v>
      </c>
      <c r="Y285" s="17">
        <v>0</v>
      </c>
      <c r="Z285" s="17">
        <v>0</v>
      </c>
      <c r="AA285" s="17">
        <v>0</v>
      </c>
      <c r="AB285" s="17">
        <v>0</v>
      </c>
      <c r="AC285" s="17">
        <v>0</v>
      </c>
      <c r="AD285" s="17">
        <v>0</v>
      </c>
      <c r="AE285" s="17">
        <v>0</v>
      </c>
      <c r="AF285" s="17">
        <v>5</v>
      </c>
      <c r="AG285" s="17">
        <v>13</v>
      </c>
      <c r="AH285" s="17">
        <v>23</v>
      </c>
      <c r="AI285" s="17">
        <v>35</v>
      </c>
      <c r="AJ285" s="17">
        <v>48</v>
      </c>
      <c r="AK285" s="17">
        <v>61</v>
      </c>
      <c r="AL285" s="17">
        <v>77</v>
      </c>
      <c r="AM285" s="17">
        <v>112</v>
      </c>
      <c r="AN285" s="17">
        <v>151</v>
      </c>
      <c r="AO285" s="17">
        <v>205</v>
      </c>
      <c r="AP285" s="17">
        <v>249</v>
      </c>
      <c r="AQ285" s="17">
        <v>289</v>
      </c>
      <c r="AR285" s="17">
        <v>360</v>
      </c>
      <c r="AS285" s="17">
        <v>438</v>
      </c>
      <c r="AT285" s="17">
        <v>534</v>
      </c>
      <c r="AU285" s="17">
        <v>626</v>
      </c>
      <c r="AV285" s="17">
        <v>747</v>
      </c>
      <c r="AW285" s="17">
        <v>900</v>
      </c>
      <c r="AX285" s="17">
        <v>1121</v>
      </c>
      <c r="AY285" s="17">
        <v>1353</v>
      </c>
      <c r="AZ285" s="17">
        <v>1610</v>
      </c>
      <c r="BA285" s="17">
        <v>1899</v>
      </c>
      <c r="BB285" s="17">
        <v>2176</v>
      </c>
      <c r="BC285" s="17">
        <v>2486</v>
      </c>
      <c r="BD285" s="17">
        <v>2853</v>
      </c>
      <c r="BE285" s="17">
        <v>3313</v>
      </c>
      <c r="BF285" s="17">
        <v>3668</v>
      </c>
      <c r="BG285" s="17">
        <v>3966</v>
      </c>
      <c r="BH285" s="17">
        <v>4225</v>
      </c>
      <c r="BI285" s="17">
        <v>4503</v>
      </c>
      <c r="BJ285" s="17">
        <v>4743</v>
      </c>
      <c r="BK285" s="17">
        <v>5041</v>
      </c>
      <c r="BL285" s="17">
        <v>5357</v>
      </c>
      <c r="BM285" s="17">
        <v>5628</v>
      </c>
      <c r="BN285" s="17">
        <v>5911</v>
      </c>
      <c r="BO285" s="17">
        <v>6217</v>
      </c>
      <c r="BP285" s="17">
        <v>6538</v>
      </c>
      <c r="BQ285" s="17">
        <v>6847</v>
      </c>
      <c r="BR285" s="17">
        <v>7148</v>
      </c>
      <c r="BS285" s="17">
        <v>7433</v>
      </c>
      <c r="BT285" s="17">
        <v>7659</v>
      </c>
      <c r="BU285" s="17">
        <v>7865</v>
      </c>
      <c r="BV285" s="17">
        <v>8047</v>
      </c>
      <c r="BW285" s="17">
        <v>8218</v>
      </c>
      <c r="BX285" s="17">
        <v>8342</v>
      </c>
      <c r="BY285" s="17">
        <v>8421</v>
      </c>
      <c r="BZ285" s="17">
        <v>8485</v>
      </c>
      <c r="CA285" s="17">
        <v>8554</v>
      </c>
      <c r="CB285" s="17">
        <v>8602</v>
      </c>
      <c r="CC285" s="17">
        <v>8639</v>
      </c>
      <c r="CD285" s="17">
        <v>8685</v>
      </c>
      <c r="CE285" s="17">
        <v>8721</v>
      </c>
      <c r="CF285" s="17">
        <v>8745</v>
      </c>
      <c r="CG285" s="17">
        <v>8758</v>
      </c>
      <c r="CH285" s="17">
        <v>8760</v>
      </c>
      <c r="CI285" s="17">
        <v>8760</v>
      </c>
      <c r="CJ285" s="17">
        <v>8760</v>
      </c>
      <c r="CK285" s="17">
        <v>8760</v>
      </c>
      <c r="CL285" s="17">
        <v>8760</v>
      </c>
      <c r="CM285" s="17">
        <v>8760</v>
      </c>
      <c r="CN285" s="17">
        <v>8760</v>
      </c>
      <c r="CO285" s="17">
        <v>8760</v>
      </c>
      <c r="CP285" s="17">
        <v>8760</v>
      </c>
      <c r="CQ285" s="17">
        <v>8760</v>
      </c>
      <c r="CR285" s="17">
        <v>8760</v>
      </c>
      <c r="CS285" s="17">
        <v>8760</v>
      </c>
      <c r="CT285" s="17">
        <v>8760</v>
      </c>
      <c r="CU285" s="17">
        <v>8760</v>
      </c>
      <c r="CV285" s="17">
        <v>8760</v>
      </c>
      <c r="CW285" s="17">
        <v>8760</v>
      </c>
      <c r="CX285" s="17">
        <v>8760</v>
      </c>
      <c r="CY285" s="17">
        <v>8760</v>
      </c>
      <c r="CZ285" s="17">
        <v>8760</v>
      </c>
      <c r="DA285" s="17">
        <v>8760</v>
      </c>
      <c r="DB285" s="17">
        <v>8760</v>
      </c>
    </row>
    <row r="286" spans="1:106" s="17" customFormat="1" x14ac:dyDescent="0.25">
      <c r="A286" s="22" t="s">
        <v>303</v>
      </c>
      <c r="B286" s="17" t="s">
        <v>417</v>
      </c>
    </row>
    <row r="287" spans="1:106" s="17" customFormat="1" x14ac:dyDescent="0.25">
      <c r="A287" s="22" t="s">
        <v>304</v>
      </c>
      <c r="B287" s="17" t="s">
        <v>295</v>
      </c>
      <c r="C287" s="17" t="s">
        <v>438</v>
      </c>
      <c r="D287" s="17" t="s">
        <v>920</v>
      </c>
      <c r="E287" s="17" t="s">
        <v>921</v>
      </c>
      <c r="F287" s="17">
        <v>102306</v>
      </c>
      <c r="G287" s="17">
        <v>0</v>
      </c>
      <c r="H287" s="17">
        <v>0</v>
      </c>
      <c r="I287" s="17">
        <v>0</v>
      </c>
      <c r="J287" s="17">
        <v>0</v>
      </c>
      <c r="K287" s="17">
        <v>0</v>
      </c>
      <c r="L287" s="17">
        <v>0</v>
      </c>
      <c r="M287" s="17">
        <v>0</v>
      </c>
      <c r="N287" s="17">
        <v>0</v>
      </c>
      <c r="O287" s="17">
        <v>0</v>
      </c>
      <c r="P287" s="17">
        <v>0</v>
      </c>
      <c r="Q287" s="17">
        <v>0</v>
      </c>
      <c r="R287" s="17">
        <v>0</v>
      </c>
      <c r="S287" s="17">
        <v>0</v>
      </c>
      <c r="T287" s="17">
        <v>0</v>
      </c>
      <c r="U287" s="17">
        <v>0</v>
      </c>
      <c r="V287" s="17">
        <v>0</v>
      </c>
      <c r="W287" s="17">
        <v>0</v>
      </c>
      <c r="X287" s="17">
        <v>0</v>
      </c>
      <c r="Y287" s="17">
        <v>0</v>
      </c>
      <c r="Z287" s="17">
        <v>0</v>
      </c>
      <c r="AA287" s="17">
        <v>0</v>
      </c>
      <c r="AB287" s="17">
        <v>0</v>
      </c>
      <c r="AC287" s="17">
        <v>0</v>
      </c>
      <c r="AD287" s="17">
        <v>0</v>
      </c>
      <c r="AE287" s="17">
        <v>0</v>
      </c>
      <c r="AF287" s="17">
        <v>0</v>
      </c>
      <c r="AG287" s="17">
        <v>0</v>
      </c>
      <c r="AH287" s="17">
        <v>0</v>
      </c>
      <c r="AI287" s="17">
        <v>0</v>
      </c>
      <c r="AJ287" s="17">
        <v>0</v>
      </c>
      <c r="AK287" s="17">
        <v>0</v>
      </c>
      <c r="AL287" s="17">
        <v>0</v>
      </c>
      <c r="AM287" s="17">
        <v>0</v>
      </c>
      <c r="AN287" s="17">
        <v>0</v>
      </c>
      <c r="AO287" s="17">
        <v>5</v>
      </c>
      <c r="AP287" s="17">
        <v>23</v>
      </c>
      <c r="AQ287" s="17">
        <v>47</v>
      </c>
      <c r="AR287" s="17">
        <v>82</v>
      </c>
      <c r="AS287" s="17">
        <v>118</v>
      </c>
      <c r="AT287" s="17">
        <v>149</v>
      </c>
      <c r="AU287" s="17">
        <v>188</v>
      </c>
      <c r="AV287" s="17">
        <v>236</v>
      </c>
      <c r="AW287" s="17">
        <v>297</v>
      </c>
      <c r="AX287" s="17">
        <v>367</v>
      </c>
      <c r="AY287" s="17">
        <v>445</v>
      </c>
      <c r="AZ287" s="17">
        <v>549</v>
      </c>
      <c r="BA287" s="17">
        <v>692</v>
      </c>
      <c r="BB287" s="17">
        <v>852</v>
      </c>
      <c r="BC287" s="17">
        <v>1044</v>
      </c>
      <c r="BD287" s="17">
        <v>1343</v>
      </c>
      <c r="BE287" s="17">
        <v>1680</v>
      </c>
      <c r="BF287" s="17">
        <v>2149</v>
      </c>
      <c r="BG287" s="17">
        <v>2620</v>
      </c>
      <c r="BH287" s="17">
        <v>3017</v>
      </c>
      <c r="BI287" s="17">
        <v>3465</v>
      </c>
      <c r="BJ287" s="17">
        <v>3900</v>
      </c>
      <c r="BK287" s="17">
        <v>4272</v>
      </c>
      <c r="BL287" s="17">
        <v>4558</v>
      </c>
      <c r="BM287" s="17">
        <v>4904</v>
      </c>
      <c r="BN287" s="17">
        <v>5216</v>
      </c>
      <c r="BO287" s="17">
        <v>5544</v>
      </c>
      <c r="BP287" s="17">
        <v>5959</v>
      </c>
      <c r="BQ287" s="17">
        <v>6395</v>
      </c>
      <c r="BR287" s="17">
        <v>6838</v>
      </c>
      <c r="BS287" s="17">
        <v>7164</v>
      </c>
      <c r="BT287" s="17">
        <v>7432</v>
      </c>
      <c r="BU287" s="17">
        <v>7707</v>
      </c>
      <c r="BV287" s="17">
        <v>7936</v>
      </c>
      <c r="BW287" s="17">
        <v>8126</v>
      </c>
      <c r="BX287" s="17">
        <v>8272</v>
      </c>
      <c r="BY287" s="17">
        <v>8405</v>
      </c>
      <c r="BZ287" s="17">
        <v>8524</v>
      </c>
      <c r="CA287" s="17">
        <v>8594</v>
      </c>
      <c r="CB287" s="17">
        <v>8658</v>
      </c>
      <c r="CC287" s="17">
        <v>8703</v>
      </c>
      <c r="CD287" s="17">
        <v>8738</v>
      </c>
      <c r="CE287" s="17">
        <v>8753</v>
      </c>
      <c r="CF287" s="17">
        <v>8759</v>
      </c>
      <c r="CG287" s="17">
        <v>8760</v>
      </c>
      <c r="CH287" s="17">
        <v>8760</v>
      </c>
      <c r="CI287" s="17">
        <v>8760</v>
      </c>
      <c r="CJ287" s="17">
        <v>8760</v>
      </c>
      <c r="CK287" s="17">
        <v>8760</v>
      </c>
      <c r="CL287" s="17">
        <v>8760</v>
      </c>
      <c r="CM287" s="17">
        <v>8760</v>
      </c>
      <c r="CN287" s="17">
        <v>8760</v>
      </c>
      <c r="CO287" s="17">
        <v>8760</v>
      </c>
      <c r="CP287" s="17">
        <v>8760</v>
      </c>
      <c r="CQ287" s="17">
        <v>8760</v>
      </c>
      <c r="CR287" s="17">
        <v>8760</v>
      </c>
      <c r="CS287" s="17">
        <v>8760</v>
      </c>
      <c r="CT287" s="17">
        <v>8760</v>
      </c>
      <c r="CU287" s="17">
        <v>8760</v>
      </c>
      <c r="CV287" s="17">
        <v>8760</v>
      </c>
      <c r="CW287" s="17">
        <v>8760</v>
      </c>
      <c r="CX287" s="17">
        <v>8760</v>
      </c>
      <c r="CY287" s="17">
        <v>8760</v>
      </c>
      <c r="CZ287" s="17">
        <v>8760</v>
      </c>
      <c r="DA287" s="17">
        <v>8760</v>
      </c>
      <c r="DB287" s="17">
        <v>8760</v>
      </c>
    </row>
    <row r="288" spans="1:106" s="17" customFormat="1" x14ac:dyDescent="0.25">
      <c r="A288" s="22" t="s">
        <v>305</v>
      </c>
      <c r="B288" s="17" t="s">
        <v>298</v>
      </c>
      <c r="C288" s="17" t="s">
        <v>438</v>
      </c>
      <c r="D288" s="17" t="s">
        <v>922</v>
      </c>
      <c r="E288" s="17" t="s">
        <v>923</v>
      </c>
      <c r="F288" s="17">
        <v>102250</v>
      </c>
      <c r="G288" s="17">
        <v>0</v>
      </c>
      <c r="H288" s="17">
        <v>0</v>
      </c>
      <c r="I288" s="17">
        <v>0</v>
      </c>
      <c r="J288" s="17">
        <v>0</v>
      </c>
      <c r="K288" s="17">
        <v>0</v>
      </c>
      <c r="L288" s="17">
        <v>0</v>
      </c>
      <c r="M288" s="17">
        <v>0</v>
      </c>
      <c r="N288" s="17">
        <v>0</v>
      </c>
      <c r="O288" s="17">
        <v>0</v>
      </c>
      <c r="P288" s="17">
        <v>0</v>
      </c>
      <c r="Q288" s="17">
        <v>0</v>
      </c>
      <c r="R288" s="17">
        <v>0</v>
      </c>
      <c r="S288" s="17">
        <v>0</v>
      </c>
      <c r="T288" s="17">
        <v>0</v>
      </c>
      <c r="U288" s="17">
        <v>0</v>
      </c>
      <c r="V288" s="17">
        <v>0</v>
      </c>
      <c r="W288" s="17">
        <v>0</v>
      </c>
      <c r="X288" s="17">
        <v>0</v>
      </c>
      <c r="Y288" s="17">
        <v>0</v>
      </c>
      <c r="Z288" s="17">
        <v>0</v>
      </c>
      <c r="AA288" s="17">
        <v>0</v>
      </c>
      <c r="AB288" s="17">
        <v>0</v>
      </c>
      <c r="AC288" s="17">
        <v>0</v>
      </c>
      <c r="AD288" s="17">
        <v>0</v>
      </c>
      <c r="AE288" s="17">
        <v>0</v>
      </c>
      <c r="AF288" s="17">
        <v>0</v>
      </c>
      <c r="AG288" s="17">
        <v>0</v>
      </c>
      <c r="AH288" s="17">
        <v>0</v>
      </c>
      <c r="AI288" s="17">
        <v>0</v>
      </c>
      <c r="AJ288" s="17">
        <v>0</v>
      </c>
      <c r="AK288" s="17">
        <v>0</v>
      </c>
      <c r="AL288" s="17">
        <v>2</v>
      </c>
      <c r="AM288" s="17">
        <v>8</v>
      </c>
      <c r="AN288" s="17">
        <v>20</v>
      </c>
      <c r="AO288" s="17">
        <v>47</v>
      </c>
      <c r="AP288" s="17">
        <v>76</v>
      </c>
      <c r="AQ288" s="17">
        <v>113</v>
      </c>
      <c r="AR288" s="17">
        <v>143</v>
      </c>
      <c r="AS288" s="17">
        <v>182</v>
      </c>
      <c r="AT288" s="17">
        <v>228</v>
      </c>
      <c r="AU288" s="17">
        <v>294</v>
      </c>
      <c r="AV288" s="17">
        <v>389</v>
      </c>
      <c r="AW288" s="17">
        <v>472</v>
      </c>
      <c r="AX288" s="17">
        <v>564</v>
      </c>
      <c r="AY288" s="17">
        <v>674</v>
      </c>
      <c r="AZ288" s="17">
        <v>784</v>
      </c>
      <c r="BA288" s="17">
        <v>978</v>
      </c>
      <c r="BB288" s="17">
        <v>1192</v>
      </c>
      <c r="BC288" s="17">
        <v>1458</v>
      </c>
      <c r="BD288" s="17">
        <v>1794</v>
      </c>
      <c r="BE288" s="17">
        <v>2218</v>
      </c>
      <c r="BF288" s="17">
        <v>2658</v>
      </c>
      <c r="BG288" s="17">
        <v>3067</v>
      </c>
      <c r="BH288" s="17">
        <v>3460</v>
      </c>
      <c r="BI288" s="17">
        <v>3896</v>
      </c>
      <c r="BJ288" s="17">
        <v>4273</v>
      </c>
      <c r="BK288" s="17">
        <v>4608</v>
      </c>
      <c r="BL288" s="17">
        <v>4967</v>
      </c>
      <c r="BM288" s="17">
        <v>5264</v>
      </c>
      <c r="BN288" s="17">
        <v>5575</v>
      </c>
      <c r="BO288" s="17">
        <v>5959</v>
      </c>
      <c r="BP288" s="17">
        <v>6353</v>
      </c>
      <c r="BQ288" s="17">
        <v>6771</v>
      </c>
      <c r="BR288" s="17">
        <v>7126</v>
      </c>
      <c r="BS288" s="17">
        <v>7443</v>
      </c>
      <c r="BT288" s="17">
        <v>7722</v>
      </c>
      <c r="BU288" s="17">
        <v>7967</v>
      </c>
      <c r="BV288" s="17">
        <v>8162</v>
      </c>
      <c r="BW288" s="17">
        <v>8320</v>
      </c>
      <c r="BX288" s="17">
        <v>8410</v>
      </c>
      <c r="BY288" s="17">
        <v>8491</v>
      </c>
      <c r="BZ288" s="17">
        <v>8572</v>
      </c>
      <c r="CA288" s="17">
        <v>8627</v>
      </c>
      <c r="CB288" s="17">
        <v>8659</v>
      </c>
      <c r="CC288" s="17">
        <v>8695</v>
      </c>
      <c r="CD288" s="17">
        <v>8712</v>
      </c>
      <c r="CE288" s="17">
        <v>8732</v>
      </c>
      <c r="CF288" s="17">
        <v>8749</v>
      </c>
      <c r="CG288" s="17">
        <v>8760</v>
      </c>
      <c r="CH288" s="17">
        <v>8760</v>
      </c>
      <c r="CI288" s="17">
        <v>8760</v>
      </c>
      <c r="CJ288" s="17">
        <v>8760</v>
      </c>
      <c r="CK288" s="17">
        <v>8760</v>
      </c>
      <c r="CL288" s="17">
        <v>8760</v>
      </c>
      <c r="CM288" s="17">
        <v>8760</v>
      </c>
      <c r="CN288" s="17">
        <v>8760</v>
      </c>
      <c r="CO288" s="17">
        <v>8760</v>
      </c>
      <c r="CP288" s="17">
        <v>8760</v>
      </c>
      <c r="CQ288" s="17">
        <v>8760</v>
      </c>
      <c r="CR288" s="17">
        <v>8760</v>
      </c>
      <c r="CS288" s="17">
        <v>8760</v>
      </c>
      <c r="CT288" s="17">
        <v>8760</v>
      </c>
      <c r="CU288" s="17">
        <v>8760</v>
      </c>
      <c r="CV288" s="17">
        <v>8760</v>
      </c>
      <c r="CW288" s="17">
        <v>8760</v>
      </c>
      <c r="CX288" s="17">
        <v>8760</v>
      </c>
      <c r="CY288" s="17">
        <v>8760</v>
      </c>
      <c r="CZ288" s="17">
        <v>8760</v>
      </c>
      <c r="DA288" s="17">
        <v>8760</v>
      </c>
      <c r="DB288" s="17">
        <v>8760</v>
      </c>
    </row>
    <row r="289" spans="1:106" s="17" customFormat="1" x14ac:dyDescent="0.25">
      <c r="A289" s="22" t="s">
        <v>306</v>
      </c>
      <c r="B289" s="17" t="s">
        <v>297</v>
      </c>
      <c r="C289" s="17" t="s">
        <v>438</v>
      </c>
      <c r="D289" s="17" t="s">
        <v>924</v>
      </c>
      <c r="E289" s="17" t="s">
        <v>925</v>
      </c>
      <c r="F289" s="17">
        <v>102328</v>
      </c>
      <c r="G289" s="17">
        <v>0</v>
      </c>
      <c r="H289" s="17">
        <v>0</v>
      </c>
      <c r="I289" s="17">
        <v>0</v>
      </c>
      <c r="J289" s="17">
        <v>0</v>
      </c>
      <c r="K289" s="17">
        <v>0</v>
      </c>
      <c r="L289" s="17">
        <v>0</v>
      </c>
      <c r="M289" s="17">
        <v>0</v>
      </c>
      <c r="N289" s="17">
        <v>0</v>
      </c>
      <c r="O289" s="17">
        <v>0</v>
      </c>
      <c r="P289" s="17">
        <v>0</v>
      </c>
      <c r="Q289" s="17">
        <v>0</v>
      </c>
      <c r="R289" s="17">
        <v>0</v>
      </c>
      <c r="S289" s="17">
        <v>0</v>
      </c>
      <c r="T289" s="17">
        <v>0</v>
      </c>
      <c r="U289" s="17">
        <v>0</v>
      </c>
      <c r="V289" s="17">
        <v>0</v>
      </c>
      <c r="W289" s="17">
        <v>0</v>
      </c>
      <c r="X289" s="17">
        <v>0</v>
      </c>
      <c r="Y289" s="17">
        <v>0</v>
      </c>
      <c r="Z289" s="17">
        <v>0</v>
      </c>
      <c r="AA289" s="17">
        <v>0</v>
      </c>
      <c r="AB289" s="17">
        <v>0</v>
      </c>
      <c r="AC289" s="17">
        <v>0</v>
      </c>
      <c r="AD289" s="17">
        <v>0</v>
      </c>
      <c r="AE289" s="17">
        <v>0</v>
      </c>
      <c r="AF289" s="17">
        <v>0</v>
      </c>
      <c r="AG289" s="17">
        <v>0</v>
      </c>
      <c r="AH289" s="17">
        <v>0</v>
      </c>
      <c r="AI289" s="17">
        <v>0</v>
      </c>
      <c r="AJ289" s="17">
        <v>0</v>
      </c>
      <c r="AK289" s="17">
        <v>0</v>
      </c>
      <c r="AL289" s="17">
        <v>6</v>
      </c>
      <c r="AM289" s="17">
        <v>14</v>
      </c>
      <c r="AN289" s="17">
        <v>29</v>
      </c>
      <c r="AO289" s="17">
        <v>41</v>
      </c>
      <c r="AP289" s="17">
        <v>62</v>
      </c>
      <c r="AQ289" s="17">
        <v>81</v>
      </c>
      <c r="AR289" s="17">
        <v>135</v>
      </c>
      <c r="AS289" s="17">
        <v>189</v>
      </c>
      <c r="AT289" s="17">
        <v>269</v>
      </c>
      <c r="AU289" s="17">
        <v>333</v>
      </c>
      <c r="AV289" s="17">
        <v>436</v>
      </c>
      <c r="AW289" s="17">
        <v>550</v>
      </c>
      <c r="AX289" s="17">
        <v>680</v>
      </c>
      <c r="AY289" s="17">
        <v>824</v>
      </c>
      <c r="AZ289" s="17">
        <v>994</v>
      </c>
      <c r="BA289" s="17">
        <v>1204</v>
      </c>
      <c r="BB289" s="17">
        <v>1472</v>
      </c>
      <c r="BC289" s="17">
        <v>1827</v>
      </c>
      <c r="BD289" s="17">
        <v>2189</v>
      </c>
      <c r="BE289" s="17">
        <v>2609</v>
      </c>
      <c r="BF289" s="17">
        <v>3024</v>
      </c>
      <c r="BG289" s="17">
        <v>3422</v>
      </c>
      <c r="BH289" s="17">
        <v>3827</v>
      </c>
      <c r="BI289" s="17">
        <v>4116</v>
      </c>
      <c r="BJ289" s="17">
        <v>4378</v>
      </c>
      <c r="BK289" s="17">
        <v>4672</v>
      </c>
      <c r="BL289" s="17">
        <v>4970</v>
      </c>
      <c r="BM289" s="17">
        <v>5345</v>
      </c>
      <c r="BN289" s="17">
        <v>5678</v>
      </c>
      <c r="BO289" s="17">
        <v>6041</v>
      </c>
      <c r="BP289" s="17">
        <v>6405</v>
      </c>
      <c r="BQ289" s="17">
        <v>6798</v>
      </c>
      <c r="BR289" s="17">
        <v>7129</v>
      </c>
      <c r="BS289" s="17">
        <v>7436</v>
      </c>
      <c r="BT289" s="17">
        <v>7750</v>
      </c>
      <c r="BU289" s="17">
        <v>8021</v>
      </c>
      <c r="BV289" s="17">
        <v>8238</v>
      </c>
      <c r="BW289" s="17">
        <v>8384</v>
      </c>
      <c r="BX289" s="17">
        <v>8494</v>
      </c>
      <c r="BY289" s="17">
        <v>8582</v>
      </c>
      <c r="BZ289" s="17">
        <v>8648</v>
      </c>
      <c r="CA289" s="17">
        <v>8696</v>
      </c>
      <c r="CB289" s="17">
        <v>8723</v>
      </c>
      <c r="CC289" s="17">
        <v>8741</v>
      </c>
      <c r="CD289" s="17">
        <v>8755</v>
      </c>
      <c r="CE289" s="17">
        <v>8760</v>
      </c>
      <c r="CF289" s="17">
        <v>8760</v>
      </c>
      <c r="CG289" s="17">
        <v>8760</v>
      </c>
      <c r="CH289" s="17">
        <v>8760</v>
      </c>
      <c r="CI289" s="17">
        <v>8760</v>
      </c>
      <c r="CJ289" s="17">
        <v>8760</v>
      </c>
      <c r="CK289" s="17">
        <v>8760</v>
      </c>
      <c r="CL289" s="17">
        <v>8760</v>
      </c>
      <c r="CM289" s="17">
        <v>8760</v>
      </c>
      <c r="CN289" s="17">
        <v>8760</v>
      </c>
      <c r="CO289" s="17">
        <v>8760</v>
      </c>
      <c r="CP289" s="17">
        <v>8760</v>
      </c>
      <c r="CQ289" s="17">
        <v>8760</v>
      </c>
      <c r="CR289" s="17">
        <v>8760</v>
      </c>
      <c r="CS289" s="17">
        <v>8760</v>
      </c>
      <c r="CT289" s="17">
        <v>8760</v>
      </c>
      <c r="CU289" s="17">
        <v>8760</v>
      </c>
      <c r="CV289" s="17">
        <v>8760</v>
      </c>
      <c r="CW289" s="17">
        <v>8760</v>
      </c>
      <c r="CX289" s="17">
        <v>8760</v>
      </c>
      <c r="CY289" s="17">
        <v>8760</v>
      </c>
      <c r="CZ289" s="17">
        <v>8760</v>
      </c>
      <c r="DA289" s="17">
        <v>8760</v>
      </c>
      <c r="DB289" s="17">
        <v>8760</v>
      </c>
    </row>
    <row r="290" spans="1:106" s="17" customFormat="1" x14ac:dyDescent="0.25">
      <c r="A290" s="22" t="s">
        <v>307</v>
      </c>
      <c r="B290" s="17" t="s">
        <v>299</v>
      </c>
      <c r="C290" s="17" t="s">
        <v>438</v>
      </c>
      <c r="D290" s="17" t="s">
        <v>926</v>
      </c>
      <c r="E290" s="17" t="s">
        <v>927</v>
      </c>
      <c r="F290" s="17">
        <v>102101</v>
      </c>
      <c r="G290" s="17">
        <v>0</v>
      </c>
      <c r="H290" s="17">
        <v>0</v>
      </c>
      <c r="I290" s="17">
        <v>0</v>
      </c>
      <c r="J290" s="17">
        <v>0</v>
      </c>
      <c r="K290" s="17">
        <v>0</v>
      </c>
      <c r="L290" s="17">
        <v>0</v>
      </c>
      <c r="M290" s="17">
        <v>0</v>
      </c>
      <c r="N290" s="17">
        <v>0</v>
      </c>
      <c r="O290" s="17">
        <v>0</v>
      </c>
      <c r="P290" s="17">
        <v>0</v>
      </c>
      <c r="Q290" s="17">
        <v>0</v>
      </c>
      <c r="R290" s="17">
        <v>0</v>
      </c>
      <c r="S290" s="17">
        <v>0</v>
      </c>
      <c r="T290" s="17">
        <v>0</v>
      </c>
      <c r="U290" s="17">
        <v>0</v>
      </c>
      <c r="V290" s="17">
        <v>0</v>
      </c>
      <c r="W290" s="17">
        <v>0</v>
      </c>
      <c r="X290" s="17">
        <v>0</v>
      </c>
      <c r="Y290" s="17">
        <v>0</v>
      </c>
      <c r="Z290" s="17">
        <v>0</v>
      </c>
      <c r="AA290" s="17">
        <v>0</v>
      </c>
      <c r="AB290" s="17">
        <v>0</v>
      </c>
      <c r="AC290" s="17">
        <v>0</v>
      </c>
      <c r="AD290" s="17">
        <v>0</v>
      </c>
      <c r="AE290" s="17">
        <v>0</v>
      </c>
      <c r="AF290" s="17">
        <v>0</v>
      </c>
      <c r="AG290" s="17">
        <v>0</v>
      </c>
      <c r="AH290" s="17">
        <v>0</v>
      </c>
      <c r="AI290" s="17">
        <v>0</v>
      </c>
      <c r="AJ290" s="17">
        <v>0</v>
      </c>
      <c r="AK290" s="17">
        <v>0</v>
      </c>
      <c r="AL290" s="17">
        <v>0</v>
      </c>
      <c r="AM290" s="17">
        <v>0</v>
      </c>
      <c r="AN290" s="17">
        <v>0</v>
      </c>
      <c r="AO290" s="17">
        <v>0</v>
      </c>
      <c r="AP290" s="17">
        <v>0</v>
      </c>
      <c r="AQ290" s="17">
        <v>0</v>
      </c>
      <c r="AR290" s="17">
        <v>0</v>
      </c>
      <c r="AS290" s="17">
        <v>0</v>
      </c>
      <c r="AT290" s="17">
        <v>1</v>
      </c>
      <c r="AU290" s="17">
        <v>9</v>
      </c>
      <c r="AV290" s="17">
        <v>11</v>
      </c>
      <c r="AW290" s="17">
        <v>26</v>
      </c>
      <c r="AX290" s="17">
        <v>44</v>
      </c>
      <c r="AY290" s="17">
        <v>61</v>
      </c>
      <c r="AZ290" s="17">
        <v>89</v>
      </c>
      <c r="BA290" s="17">
        <v>139</v>
      </c>
      <c r="BB290" s="17">
        <v>225</v>
      </c>
      <c r="BC290" s="17">
        <v>414</v>
      </c>
      <c r="BD290" s="17">
        <v>720</v>
      </c>
      <c r="BE290" s="17">
        <v>1059</v>
      </c>
      <c r="BF290" s="17">
        <v>1474</v>
      </c>
      <c r="BG290" s="17">
        <v>1969</v>
      </c>
      <c r="BH290" s="17">
        <v>2504</v>
      </c>
      <c r="BI290" s="17">
        <v>3066</v>
      </c>
      <c r="BJ290" s="17">
        <v>3583</v>
      </c>
      <c r="BK290" s="17">
        <v>3985</v>
      </c>
      <c r="BL290" s="17">
        <v>4361</v>
      </c>
      <c r="BM290" s="17">
        <v>4653</v>
      </c>
      <c r="BN290" s="17">
        <v>4993</v>
      </c>
      <c r="BO290" s="17">
        <v>5372</v>
      </c>
      <c r="BP290" s="17">
        <v>5768</v>
      </c>
      <c r="BQ290" s="17">
        <v>6168</v>
      </c>
      <c r="BR290" s="17">
        <v>6535</v>
      </c>
      <c r="BS290" s="17">
        <v>6970</v>
      </c>
      <c r="BT290" s="17">
        <v>7386</v>
      </c>
      <c r="BU290" s="17">
        <v>7736</v>
      </c>
      <c r="BV290" s="17">
        <v>8079</v>
      </c>
      <c r="BW290" s="17">
        <v>8341</v>
      </c>
      <c r="BX290" s="17">
        <v>8494</v>
      </c>
      <c r="BY290" s="17">
        <v>8579</v>
      </c>
      <c r="BZ290" s="17">
        <v>8645</v>
      </c>
      <c r="CA290" s="17">
        <v>8704</v>
      </c>
      <c r="CB290" s="17">
        <v>8735</v>
      </c>
      <c r="CC290" s="17">
        <v>8756</v>
      </c>
      <c r="CD290" s="17">
        <v>8760</v>
      </c>
      <c r="CE290" s="17">
        <v>8760</v>
      </c>
      <c r="CF290" s="17">
        <v>8760</v>
      </c>
      <c r="CG290" s="17">
        <v>8760</v>
      </c>
      <c r="CH290" s="17">
        <v>8760</v>
      </c>
      <c r="CI290" s="17">
        <v>8760</v>
      </c>
      <c r="CJ290" s="17">
        <v>8760</v>
      </c>
      <c r="CK290" s="17">
        <v>8760</v>
      </c>
      <c r="CL290" s="17">
        <v>8760</v>
      </c>
      <c r="CM290" s="17">
        <v>8760</v>
      </c>
      <c r="CN290" s="17">
        <v>8760</v>
      </c>
      <c r="CO290" s="17">
        <v>8760</v>
      </c>
      <c r="CP290" s="17">
        <v>8760</v>
      </c>
      <c r="CQ290" s="17">
        <v>8760</v>
      </c>
      <c r="CR290" s="17">
        <v>8760</v>
      </c>
      <c r="CS290" s="17">
        <v>8760</v>
      </c>
      <c r="CT290" s="17">
        <v>8760</v>
      </c>
      <c r="CU290" s="17">
        <v>8760</v>
      </c>
      <c r="CV290" s="17">
        <v>8760</v>
      </c>
      <c r="CW290" s="17">
        <v>8760</v>
      </c>
      <c r="CX290" s="17">
        <v>8760</v>
      </c>
      <c r="CY290" s="17">
        <v>8760</v>
      </c>
      <c r="CZ290" s="17">
        <v>8760</v>
      </c>
      <c r="DA290" s="17">
        <v>8760</v>
      </c>
      <c r="DB290" s="17">
        <v>8760</v>
      </c>
    </row>
    <row r="291" spans="1:106" s="17" customFormat="1" x14ac:dyDescent="0.25">
      <c r="A291" s="22" t="s">
        <v>308</v>
      </c>
      <c r="B291" s="17" t="s">
        <v>300</v>
      </c>
      <c r="C291" s="17" t="s">
        <v>438</v>
      </c>
      <c r="D291" s="17" t="s">
        <v>928</v>
      </c>
      <c r="E291" s="17" t="s">
        <v>929</v>
      </c>
      <c r="F291" s="17">
        <v>102212</v>
      </c>
      <c r="G291" s="17">
        <v>0</v>
      </c>
      <c r="H291" s="17">
        <v>0</v>
      </c>
      <c r="I291" s="17">
        <v>0</v>
      </c>
      <c r="J291" s="17">
        <v>0</v>
      </c>
      <c r="K291" s="17">
        <v>0</v>
      </c>
      <c r="L291" s="17">
        <v>0</v>
      </c>
      <c r="M291" s="17">
        <v>0</v>
      </c>
      <c r="N291" s="17">
        <v>0</v>
      </c>
      <c r="O291" s="17">
        <v>0</v>
      </c>
      <c r="P291" s="17">
        <v>0</v>
      </c>
      <c r="Q291" s="17">
        <v>0</v>
      </c>
      <c r="R291" s="17">
        <v>0</v>
      </c>
      <c r="S291" s="17">
        <v>0</v>
      </c>
      <c r="T291" s="17">
        <v>0</v>
      </c>
      <c r="U291" s="17">
        <v>0</v>
      </c>
      <c r="V291" s="17">
        <v>0</v>
      </c>
      <c r="W291" s="17">
        <v>0</v>
      </c>
      <c r="X291" s="17">
        <v>0</v>
      </c>
      <c r="Y291" s="17">
        <v>0</v>
      </c>
      <c r="Z291" s="17">
        <v>0</v>
      </c>
      <c r="AA291" s="17">
        <v>0</v>
      </c>
      <c r="AB291" s="17">
        <v>0</v>
      </c>
      <c r="AC291" s="17">
        <v>0</v>
      </c>
      <c r="AD291" s="17">
        <v>0</v>
      </c>
      <c r="AE291" s="17">
        <v>0</v>
      </c>
      <c r="AF291" s="17">
        <v>0</v>
      </c>
      <c r="AG291" s="17">
        <v>0</v>
      </c>
      <c r="AH291" s="17">
        <v>0</v>
      </c>
      <c r="AI291" s="17">
        <v>0</v>
      </c>
      <c r="AJ291" s="17">
        <v>0</v>
      </c>
      <c r="AK291" s="17">
        <v>0</v>
      </c>
      <c r="AL291" s="17">
        <v>0</v>
      </c>
      <c r="AM291" s="17">
        <v>0</v>
      </c>
      <c r="AN291" s="17">
        <v>0</v>
      </c>
      <c r="AO291" s="17">
        <v>0</v>
      </c>
      <c r="AP291" s="17">
        <v>0</v>
      </c>
      <c r="AQ291" s="17">
        <v>0</v>
      </c>
      <c r="AR291" s="17">
        <v>14</v>
      </c>
      <c r="AS291" s="17">
        <v>32</v>
      </c>
      <c r="AT291" s="17">
        <v>61</v>
      </c>
      <c r="AU291" s="17">
        <v>95</v>
      </c>
      <c r="AV291" s="17">
        <v>133</v>
      </c>
      <c r="AW291" s="17">
        <v>208</v>
      </c>
      <c r="AX291" s="17">
        <v>292</v>
      </c>
      <c r="AY291" s="17">
        <v>407</v>
      </c>
      <c r="AZ291" s="17">
        <v>557</v>
      </c>
      <c r="BA291" s="17">
        <v>742</v>
      </c>
      <c r="BB291" s="17">
        <v>991</v>
      </c>
      <c r="BC291" s="17">
        <v>1306</v>
      </c>
      <c r="BD291" s="17">
        <v>1627</v>
      </c>
      <c r="BE291" s="17">
        <v>2007</v>
      </c>
      <c r="BF291" s="17">
        <v>2444</v>
      </c>
      <c r="BG291" s="17">
        <v>2853</v>
      </c>
      <c r="BH291" s="17">
        <v>3214</v>
      </c>
      <c r="BI291" s="17">
        <v>3585</v>
      </c>
      <c r="BJ291" s="17">
        <v>3885</v>
      </c>
      <c r="BK291" s="17">
        <v>4203</v>
      </c>
      <c r="BL291" s="17">
        <v>4552</v>
      </c>
      <c r="BM291" s="17">
        <v>4915</v>
      </c>
      <c r="BN291" s="17">
        <v>5295</v>
      </c>
      <c r="BO291" s="17">
        <v>5702</v>
      </c>
      <c r="BP291" s="17">
        <v>6039</v>
      </c>
      <c r="BQ291" s="17">
        <v>6421</v>
      </c>
      <c r="BR291" s="17">
        <v>6820</v>
      </c>
      <c r="BS291" s="17">
        <v>7209</v>
      </c>
      <c r="BT291" s="17">
        <v>7525</v>
      </c>
      <c r="BU291" s="17">
        <v>7822</v>
      </c>
      <c r="BV291" s="17">
        <v>8060</v>
      </c>
      <c r="BW291" s="17">
        <v>8252</v>
      </c>
      <c r="BX291" s="17">
        <v>8391</v>
      </c>
      <c r="BY291" s="17">
        <v>8503</v>
      </c>
      <c r="BZ291" s="17">
        <v>8567</v>
      </c>
      <c r="CA291" s="17">
        <v>8625</v>
      </c>
      <c r="CB291" s="17">
        <v>8673</v>
      </c>
      <c r="CC291" s="17">
        <v>8705</v>
      </c>
      <c r="CD291" s="17">
        <v>8732</v>
      </c>
      <c r="CE291" s="17">
        <v>8752</v>
      </c>
      <c r="CF291" s="17">
        <v>8757</v>
      </c>
      <c r="CG291" s="17">
        <v>8760</v>
      </c>
      <c r="CH291" s="17">
        <v>8760</v>
      </c>
      <c r="CI291" s="17">
        <v>8760</v>
      </c>
      <c r="CJ291" s="17">
        <v>8760</v>
      </c>
      <c r="CK291" s="17">
        <v>8760</v>
      </c>
      <c r="CL291" s="17">
        <v>8760</v>
      </c>
      <c r="CM291" s="17">
        <v>8760</v>
      </c>
      <c r="CN291" s="17">
        <v>8760</v>
      </c>
      <c r="CO291" s="17">
        <v>8760</v>
      </c>
      <c r="CP291" s="17">
        <v>8760</v>
      </c>
      <c r="CQ291" s="17">
        <v>8760</v>
      </c>
      <c r="CR291" s="17">
        <v>8760</v>
      </c>
      <c r="CS291" s="17">
        <v>8760</v>
      </c>
      <c r="CT291" s="17">
        <v>8760</v>
      </c>
      <c r="CU291" s="17">
        <v>8760</v>
      </c>
      <c r="CV291" s="17">
        <v>8760</v>
      </c>
      <c r="CW291" s="17">
        <v>8760</v>
      </c>
      <c r="CX291" s="17">
        <v>8760</v>
      </c>
      <c r="CY291" s="17">
        <v>8760</v>
      </c>
      <c r="CZ291" s="17">
        <v>8760</v>
      </c>
      <c r="DA291" s="17">
        <v>8760</v>
      </c>
      <c r="DB291" s="17">
        <v>8760</v>
      </c>
    </row>
    <row r="292" spans="1:106" s="17" customFormat="1" x14ac:dyDescent="0.25">
      <c r="A292" s="22" t="s">
        <v>309</v>
      </c>
      <c r="B292" s="17" t="s">
        <v>301</v>
      </c>
      <c r="C292" s="17" t="s">
        <v>438</v>
      </c>
      <c r="D292" s="17" t="s">
        <v>930</v>
      </c>
      <c r="E292" s="17" t="s">
        <v>931</v>
      </c>
      <c r="F292" s="17">
        <v>102415</v>
      </c>
      <c r="G292" s="17">
        <v>0</v>
      </c>
      <c r="H292" s="17">
        <v>0</v>
      </c>
      <c r="I292" s="17">
        <v>0</v>
      </c>
      <c r="J292" s="17">
        <v>0</v>
      </c>
      <c r="K292" s="17">
        <v>0</v>
      </c>
      <c r="L292" s="17">
        <v>0</v>
      </c>
      <c r="M292" s="17">
        <v>0</v>
      </c>
      <c r="N292" s="17">
        <v>0</v>
      </c>
      <c r="O292" s="17">
        <v>0</v>
      </c>
      <c r="P292" s="17">
        <v>0</v>
      </c>
      <c r="Q292" s="17">
        <v>0</v>
      </c>
      <c r="R292" s="17">
        <v>0</v>
      </c>
      <c r="S292" s="17">
        <v>0</v>
      </c>
      <c r="T292" s="17">
        <v>0</v>
      </c>
      <c r="U292" s="17">
        <v>0</v>
      </c>
      <c r="V292" s="17">
        <v>0</v>
      </c>
      <c r="W292" s="17">
        <v>0</v>
      </c>
      <c r="X292" s="17">
        <v>0</v>
      </c>
      <c r="Y292" s="17">
        <v>0</v>
      </c>
      <c r="Z292" s="17">
        <v>0</v>
      </c>
      <c r="AA292" s="17">
        <v>0</v>
      </c>
      <c r="AB292" s="17">
        <v>0</v>
      </c>
      <c r="AC292" s="17">
        <v>0</v>
      </c>
      <c r="AD292" s="17">
        <v>0</v>
      </c>
      <c r="AE292" s="17">
        <v>0</v>
      </c>
      <c r="AF292" s="17">
        <v>0</v>
      </c>
      <c r="AG292" s="17">
        <v>0</v>
      </c>
      <c r="AH292" s="17">
        <v>0</v>
      </c>
      <c r="AI292" s="17">
        <v>0</v>
      </c>
      <c r="AJ292" s="17">
        <v>0</v>
      </c>
      <c r="AK292" s="17">
        <v>0</v>
      </c>
      <c r="AL292" s="17">
        <v>0</v>
      </c>
      <c r="AM292" s="17">
        <v>0</v>
      </c>
      <c r="AN292" s="17">
        <v>0</v>
      </c>
      <c r="AO292" s="17">
        <v>0</v>
      </c>
      <c r="AP292" s="17">
        <v>0</v>
      </c>
      <c r="AQ292" s="17">
        <v>6</v>
      </c>
      <c r="AR292" s="17">
        <v>24</v>
      </c>
      <c r="AS292" s="17">
        <v>45</v>
      </c>
      <c r="AT292" s="17">
        <v>87</v>
      </c>
      <c r="AU292" s="17">
        <v>146</v>
      </c>
      <c r="AV292" s="17">
        <v>215</v>
      </c>
      <c r="AW292" s="17">
        <v>314</v>
      </c>
      <c r="AX292" s="17">
        <v>391</v>
      </c>
      <c r="AY292" s="17">
        <v>482</v>
      </c>
      <c r="AZ292" s="17">
        <v>625</v>
      </c>
      <c r="BA292" s="17">
        <v>791</v>
      </c>
      <c r="BB292" s="17">
        <v>1016</v>
      </c>
      <c r="BC292" s="17">
        <v>1267</v>
      </c>
      <c r="BD292" s="17">
        <v>1659</v>
      </c>
      <c r="BE292" s="17">
        <v>2147</v>
      </c>
      <c r="BF292" s="17">
        <v>2711</v>
      </c>
      <c r="BG292" s="17">
        <v>3217</v>
      </c>
      <c r="BH292" s="17">
        <v>3592</v>
      </c>
      <c r="BI292" s="17">
        <v>3981</v>
      </c>
      <c r="BJ292" s="17">
        <v>4334</v>
      </c>
      <c r="BK292" s="17">
        <v>4662</v>
      </c>
      <c r="BL292" s="17">
        <v>4956</v>
      </c>
      <c r="BM292" s="17">
        <v>5253</v>
      </c>
      <c r="BN292" s="17">
        <v>5575</v>
      </c>
      <c r="BO292" s="17">
        <v>5913</v>
      </c>
      <c r="BP292" s="17">
        <v>6268</v>
      </c>
      <c r="BQ292" s="17">
        <v>6619</v>
      </c>
      <c r="BR292" s="17">
        <v>6998</v>
      </c>
      <c r="BS292" s="17">
        <v>7352</v>
      </c>
      <c r="BT292" s="17">
        <v>7663</v>
      </c>
      <c r="BU292" s="17">
        <v>7912</v>
      </c>
      <c r="BV292" s="17">
        <v>8119</v>
      </c>
      <c r="BW292" s="17">
        <v>8276</v>
      </c>
      <c r="BX292" s="17">
        <v>8414</v>
      </c>
      <c r="BY292" s="17">
        <v>8514</v>
      </c>
      <c r="BZ292" s="17">
        <v>8600</v>
      </c>
      <c r="CA292" s="17">
        <v>8664</v>
      </c>
      <c r="CB292" s="17">
        <v>8708</v>
      </c>
      <c r="CC292" s="17">
        <v>8742</v>
      </c>
      <c r="CD292" s="17">
        <v>8754</v>
      </c>
      <c r="CE292" s="17">
        <v>8760</v>
      </c>
      <c r="CF292" s="17">
        <v>8760</v>
      </c>
      <c r="CG292" s="17">
        <v>8760</v>
      </c>
      <c r="CH292" s="17">
        <v>8760</v>
      </c>
      <c r="CI292" s="17">
        <v>8760</v>
      </c>
      <c r="CJ292" s="17">
        <v>8760</v>
      </c>
      <c r="CK292" s="17">
        <v>8760</v>
      </c>
      <c r="CL292" s="17">
        <v>8760</v>
      </c>
      <c r="CM292" s="17">
        <v>8760</v>
      </c>
      <c r="CN292" s="17">
        <v>8760</v>
      </c>
      <c r="CO292" s="17">
        <v>8760</v>
      </c>
      <c r="CP292" s="17">
        <v>8760</v>
      </c>
      <c r="CQ292" s="17">
        <v>8760</v>
      </c>
      <c r="CR292" s="17">
        <v>8760</v>
      </c>
      <c r="CS292" s="17">
        <v>8760</v>
      </c>
      <c r="CT292" s="17">
        <v>8760</v>
      </c>
      <c r="CU292" s="17">
        <v>8760</v>
      </c>
      <c r="CV292" s="17">
        <v>8760</v>
      </c>
      <c r="CW292" s="17">
        <v>8760</v>
      </c>
      <c r="CX292" s="17">
        <v>8760</v>
      </c>
      <c r="CY292" s="17">
        <v>8760</v>
      </c>
      <c r="CZ292" s="17">
        <v>8760</v>
      </c>
      <c r="DA292" s="17">
        <v>8760</v>
      </c>
      <c r="DB292" s="17">
        <v>8760</v>
      </c>
    </row>
    <row r="293" spans="1:106" s="17" customFormat="1" x14ac:dyDescent="0.25">
      <c r="A293" s="22" t="s">
        <v>310</v>
      </c>
      <c r="B293" s="17" t="s">
        <v>418</v>
      </c>
    </row>
    <row r="294" spans="1:106" s="17" customFormat="1" x14ac:dyDescent="0.25">
      <c r="A294" s="22" t="s">
        <v>311</v>
      </c>
      <c r="B294" s="17" t="s">
        <v>302</v>
      </c>
      <c r="C294" s="17" t="s">
        <v>438</v>
      </c>
      <c r="D294" s="17" t="s">
        <v>932</v>
      </c>
      <c r="E294" s="17" t="s">
        <v>933</v>
      </c>
      <c r="F294" s="17">
        <v>102611</v>
      </c>
      <c r="G294" s="17">
        <v>0</v>
      </c>
      <c r="H294" s="17">
        <v>0</v>
      </c>
      <c r="I294" s="17">
        <v>0</v>
      </c>
      <c r="J294" s="17">
        <v>0</v>
      </c>
      <c r="K294" s="17">
        <v>0</v>
      </c>
      <c r="L294" s="17">
        <v>0</v>
      </c>
      <c r="M294" s="17">
        <v>0</v>
      </c>
      <c r="N294" s="17">
        <v>0</v>
      </c>
      <c r="O294" s="17">
        <v>0</v>
      </c>
      <c r="P294" s="17">
        <v>0</v>
      </c>
      <c r="Q294" s="17">
        <v>0</v>
      </c>
      <c r="R294" s="17">
        <v>0</v>
      </c>
      <c r="S294" s="17">
        <v>0</v>
      </c>
      <c r="T294" s="17">
        <v>0</v>
      </c>
      <c r="U294" s="17">
        <v>0</v>
      </c>
      <c r="V294" s="17">
        <v>0</v>
      </c>
      <c r="W294" s="17">
        <v>0</v>
      </c>
      <c r="X294" s="17">
        <v>0</v>
      </c>
      <c r="Y294" s="17">
        <v>0</v>
      </c>
      <c r="Z294" s="17">
        <v>0</v>
      </c>
      <c r="AA294" s="17">
        <v>0</v>
      </c>
      <c r="AB294" s="17">
        <v>0</v>
      </c>
      <c r="AC294" s="17">
        <v>0</v>
      </c>
      <c r="AD294" s="17">
        <v>0</v>
      </c>
      <c r="AE294" s="17">
        <v>0</v>
      </c>
      <c r="AF294" s="17">
        <v>0</v>
      </c>
      <c r="AG294" s="17">
        <v>0</v>
      </c>
      <c r="AH294" s="17">
        <v>0</v>
      </c>
      <c r="AI294" s="17">
        <v>0</v>
      </c>
      <c r="AJ294" s="17">
        <v>0</v>
      </c>
      <c r="AK294" s="17">
        <v>0</v>
      </c>
      <c r="AL294" s="17">
        <v>0</v>
      </c>
      <c r="AM294" s="17">
        <v>0</v>
      </c>
      <c r="AN294" s="17">
        <v>0</v>
      </c>
      <c r="AO294" s="17">
        <v>0</v>
      </c>
      <c r="AP294" s="17">
        <v>9</v>
      </c>
      <c r="AQ294" s="17">
        <v>13</v>
      </c>
      <c r="AR294" s="17">
        <v>23</v>
      </c>
      <c r="AS294" s="17">
        <v>50</v>
      </c>
      <c r="AT294" s="17">
        <v>91</v>
      </c>
      <c r="AU294" s="17">
        <v>129</v>
      </c>
      <c r="AV294" s="17">
        <v>181</v>
      </c>
      <c r="AW294" s="17">
        <v>249</v>
      </c>
      <c r="AX294" s="17">
        <v>307</v>
      </c>
      <c r="AY294" s="17">
        <v>372</v>
      </c>
      <c r="AZ294" s="17">
        <v>486</v>
      </c>
      <c r="BA294" s="17">
        <v>661</v>
      </c>
      <c r="BB294" s="17">
        <v>921</v>
      </c>
      <c r="BC294" s="17">
        <v>1279</v>
      </c>
      <c r="BD294" s="17">
        <v>1705</v>
      </c>
      <c r="BE294" s="17">
        <v>2220</v>
      </c>
      <c r="BF294" s="17">
        <v>2696</v>
      </c>
      <c r="BG294" s="17">
        <v>3149</v>
      </c>
      <c r="BH294" s="17">
        <v>3515</v>
      </c>
      <c r="BI294" s="17">
        <v>3864</v>
      </c>
      <c r="BJ294" s="17">
        <v>4170</v>
      </c>
      <c r="BK294" s="17">
        <v>4481</v>
      </c>
      <c r="BL294" s="17">
        <v>4794</v>
      </c>
      <c r="BM294" s="17">
        <v>5146</v>
      </c>
      <c r="BN294" s="17">
        <v>5498</v>
      </c>
      <c r="BO294" s="17">
        <v>5821</v>
      </c>
      <c r="BP294" s="17">
        <v>6140</v>
      </c>
      <c r="BQ294" s="17">
        <v>6549</v>
      </c>
      <c r="BR294" s="17">
        <v>6959</v>
      </c>
      <c r="BS294" s="17">
        <v>7341</v>
      </c>
      <c r="BT294" s="17">
        <v>7658</v>
      </c>
      <c r="BU294" s="17">
        <v>7936</v>
      </c>
      <c r="BV294" s="17">
        <v>8155</v>
      </c>
      <c r="BW294" s="17">
        <v>8353</v>
      </c>
      <c r="BX294" s="17">
        <v>8496</v>
      </c>
      <c r="BY294" s="17">
        <v>8612</v>
      </c>
      <c r="BZ294" s="17">
        <v>8699</v>
      </c>
      <c r="CA294" s="17">
        <v>8735</v>
      </c>
      <c r="CB294" s="17">
        <v>8748</v>
      </c>
      <c r="CC294" s="17">
        <v>8756</v>
      </c>
      <c r="CD294" s="17">
        <v>8760</v>
      </c>
      <c r="CE294" s="17">
        <v>8760</v>
      </c>
      <c r="CF294" s="17">
        <v>8760</v>
      </c>
      <c r="CG294" s="17">
        <v>8760</v>
      </c>
      <c r="CH294" s="17">
        <v>8760</v>
      </c>
      <c r="CI294" s="17">
        <v>8760</v>
      </c>
      <c r="CJ294" s="17">
        <v>8760</v>
      </c>
      <c r="CK294" s="17">
        <v>8760</v>
      </c>
      <c r="CL294" s="17">
        <v>8760</v>
      </c>
      <c r="CM294" s="17">
        <v>8760</v>
      </c>
      <c r="CN294" s="17">
        <v>8760</v>
      </c>
      <c r="CO294" s="17">
        <v>8760</v>
      </c>
      <c r="CP294" s="17">
        <v>8760</v>
      </c>
      <c r="CQ294" s="17">
        <v>8760</v>
      </c>
      <c r="CR294" s="17">
        <v>8760</v>
      </c>
      <c r="CS294" s="17">
        <v>8760</v>
      </c>
      <c r="CT294" s="17">
        <v>8760</v>
      </c>
      <c r="CU294" s="17">
        <v>8760</v>
      </c>
      <c r="CV294" s="17">
        <v>8760</v>
      </c>
      <c r="CW294" s="17">
        <v>8760</v>
      </c>
      <c r="CX294" s="17">
        <v>8760</v>
      </c>
      <c r="CY294" s="17">
        <v>8760</v>
      </c>
      <c r="CZ294" s="17">
        <v>8760</v>
      </c>
      <c r="DA294" s="17">
        <v>8760</v>
      </c>
      <c r="DB294" s="17">
        <v>8760</v>
      </c>
    </row>
    <row r="295" spans="1:106" s="17" customFormat="1" x14ac:dyDescent="0.25">
      <c r="A295" s="22" t="s">
        <v>312</v>
      </c>
      <c r="B295" s="17" t="s">
        <v>283</v>
      </c>
      <c r="C295" s="17" t="s">
        <v>438</v>
      </c>
      <c r="D295" s="17" t="s">
        <v>934</v>
      </c>
      <c r="E295" s="17" t="s">
        <v>935</v>
      </c>
      <c r="F295" s="17">
        <v>102629</v>
      </c>
      <c r="G295" s="17">
        <v>0</v>
      </c>
      <c r="H295" s="17">
        <v>0</v>
      </c>
      <c r="I295" s="17">
        <v>0</v>
      </c>
      <c r="J295" s="17">
        <v>0</v>
      </c>
      <c r="K295" s="17">
        <v>0</v>
      </c>
      <c r="L295" s="17">
        <v>0</v>
      </c>
      <c r="M295" s="17">
        <v>0</v>
      </c>
      <c r="N295" s="17">
        <v>0</v>
      </c>
      <c r="O295" s="17">
        <v>0</v>
      </c>
      <c r="P295" s="17">
        <v>0</v>
      </c>
      <c r="Q295" s="17">
        <v>0</v>
      </c>
      <c r="R295" s="17">
        <v>0</v>
      </c>
      <c r="S295" s="17">
        <v>0</v>
      </c>
      <c r="T295" s="17">
        <v>0</v>
      </c>
      <c r="U295" s="17">
        <v>0</v>
      </c>
      <c r="V295" s="17">
        <v>0</v>
      </c>
      <c r="W295" s="17">
        <v>0</v>
      </c>
      <c r="X295" s="17">
        <v>0</v>
      </c>
      <c r="Y295" s="17">
        <v>0</v>
      </c>
      <c r="Z295" s="17">
        <v>0</v>
      </c>
      <c r="AA295" s="17">
        <v>0</v>
      </c>
      <c r="AB295" s="17">
        <v>0</v>
      </c>
      <c r="AC295" s="17">
        <v>0</v>
      </c>
      <c r="AD295" s="17">
        <v>0</v>
      </c>
      <c r="AE295" s="17">
        <v>0</v>
      </c>
      <c r="AF295" s="17">
        <v>0</v>
      </c>
      <c r="AG295" s="17">
        <v>0</v>
      </c>
      <c r="AH295" s="17">
        <v>0</v>
      </c>
      <c r="AI295" s="17">
        <v>0</v>
      </c>
      <c r="AJ295" s="17">
        <v>0</v>
      </c>
      <c r="AK295" s="17">
        <v>0</v>
      </c>
      <c r="AL295" s="17">
        <v>0</v>
      </c>
      <c r="AM295" s="17">
        <v>2</v>
      </c>
      <c r="AN295" s="17">
        <v>7</v>
      </c>
      <c r="AO295" s="17">
        <v>14</v>
      </c>
      <c r="AP295" s="17">
        <v>16</v>
      </c>
      <c r="AQ295" s="17">
        <v>20</v>
      </c>
      <c r="AR295" s="17">
        <v>32</v>
      </c>
      <c r="AS295" s="17">
        <v>43</v>
      </c>
      <c r="AT295" s="17">
        <v>63</v>
      </c>
      <c r="AU295" s="17">
        <v>95</v>
      </c>
      <c r="AV295" s="17">
        <v>129</v>
      </c>
      <c r="AW295" s="17">
        <v>199</v>
      </c>
      <c r="AX295" s="17">
        <v>308</v>
      </c>
      <c r="AY295" s="17">
        <v>471</v>
      </c>
      <c r="AZ295" s="17">
        <v>617</v>
      </c>
      <c r="BA295" s="17">
        <v>794</v>
      </c>
      <c r="BB295" s="17">
        <v>1085</v>
      </c>
      <c r="BC295" s="17">
        <v>1398</v>
      </c>
      <c r="BD295" s="17">
        <v>1736</v>
      </c>
      <c r="BE295" s="17">
        <v>2172</v>
      </c>
      <c r="BF295" s="17">
        <v>2641</v>
      </c>
      <c r="BG295" s="17">
        <v>3065</v>
      </c>
      <c r="BH295" s="17">
        <v>3483</v>
      </c>
      <c r="BI295" s="17">
        <v>3948</v>
      </c>
      <c r="BJ295" s="17">
        <v>4304</v>
      </c>
      <c r="BK295" s="17">
        <v>4623</v>
      </c>
      <c r="BL295" s="17">
        <v>4935</v>
      </c>
      <c r="BM295" s="17">
        <v>5204</v>
      </c>
      <c r="BN295" s="17">
        <v>5519</v>
      </c>
      <c r="BO295" s="17">
        <v>5813</v>
      </c>
      <c r="BP295" s="17">
        <v>6156</v>
      </c>
      <c r="BQ295" s="17">
        <v>6463</v>
      </c>
      <c r="BR295" s="17">
        <v>6789</v>
      </c>
      <c r="BS295" s="17">
        <v>7119</v>
      </c>
      <c r="BT295" s="17">
        <v>7412</v>
      </c>
      <c r="BU295" s="17">
        <v>7665</v>
      </c>
      <c r="BV295" s="17">
        <v>7870</v>
      </c>
      <c r="BW295" s="17">
        <v>8063</v>
      </c>
      <c r="BX295" s="17">
        <v>8220</v>
      </c>
      <c r="BY295" s="17">
        <v>8370</v>
      </c>
      <c r="BZ295" s="17">
        <v>8487</v>
      </c>
      <c r="CA295" s="17">
        <v>8557</v>
      </c>
      <c r="CB295" s="17">
        <v>8631</v>
      </c>
      <c r="CC295" s="17">
        <v>8697</v>
      </c>
      <c r="CD295" s="17">
        <v>8729</v>
      </c>
      <c r="CE295" s="17">
        <v>8740</v>
      </c>
      <c r="CF295" s="17">
        <v>8748</v>
      </c>
      <c r="CG295" s="17">
        <v>8759</v>
      </c>
      <c r="CH295" s="17">
        <v>8760</v>
      </c>
      <c r="CI295" s="17">
        <v>8760</v>
      </c>
      <c r="CJ295" s="17">
        <v>8760</v>
      </c>
      <c r="CK295" s="17">
        <v>8760</v>
      </c>
      <c r="CL295" s="17">
        <v>8760</v>
      </c>
      <c r="CM295" s="17">
        <v>8760</v>
      </c>
      <c r="CN295" s="17">
        <v>8760</v>
      </c>
      <c r="CO295" s="17">
        <v>8760</v>
      </c>
      <c r="CP295" s="17">
        <v>8760</v>
      </c>
      <c r="CQ295" s="17">
        <v>8760</v>
      </c>
      <c r="CR295" s="17">
        <v>8760</v>
      </c>
      <c r="CS295" s="17">
        <v>8760</v>
      </c>
      <c r="CT295" s="17">
        <v>8760</v>
      </c>
      <c r="CU295" s="17">
        <v>8760</v>
      </c>
      <c r="CV295" s="17">
        <v>8760</v>
      </c>
      <c r="CW295" s="17">
        <v>8760</v>
      </c>
      <c r="CX295" s="17">
        <v>8760</v>
      </c>
      <c r="CY295" s="17">
        <v>8760</v>
      </c>
      <c r="CZ295" s="17">
        <v>8760</v>
      </c>
      <c r="DA295" s="17">
        <v>8760</v>
      </c>
      <c r="DB295" s="17">
        <v>8760</v>
      </c>
    </row>
    <row r="296" spans="1:106" s="17" customFormat="1" x14ac:dyDescent="0.25">
      <c r="A296" s="22" t="s">
        <v>313</v>
      </c>
      <c r="B296" s="17" t="s">
        <v>419</v>
      </c>
      <c r="C296" s="17" t="s">
        <v>438</v>
      </c>
      <c r="D296" s="17" t="s">
        <v>936</v>
      </c>
      <c r="E296" s="17" t="s">
        <v>937</v>
      </c>
      <c r="F296" s="17">
        <v>102819</v>
      </c>
      <c r="G296" s="17">
        <v>0</v>
      </c>
      <c r="H296" s="17">
        <v>0</v>
      </c>
      <c r="I296" s="17">
        <v>0</v>
      </c>
      <c r="J296" s="17">
        <v>0</v>
      </c>
      <c r="K296" s="17">
        <v>0</v>
      </c>
      <c r="L296" s="17">
        <v>0</v>
      </c>
      <c r="M296" s="17">
        <v>0</v>
      </c>
      <c r="N296" s="17">
        <v>0</v>
      </c>
      <c r="O296" s="17">
        <v>0</v>
      </c>
      <c r="P296" s="17">
        <v>0</v>
      </c>
      <c r="Q296" s="17">
        <v>0</v>
      </c>
      <c r="R296" s="17">
        <v>0</v>
      </c>
      <c r="S296" s="17">
        <v>0</v>
      </c>
      <c r="T296" s="17">
        <v>0</v>
      </c>
      <c r="U296" s="17">
        <v>0</v>
      </c>
      <c r="V296" s="17">
        <v>0</v>
      </c>
      <c r="W296" s="17">
        <v>0</v>
      </c>
      <c r="X296" s="17">
        <v>0</v>
      </c>
      <c r="Y296" s="17">
        <v>0</v>
      </c>
      <c r="Z296" s="17">
        <v>1</v>
      </c>
      <c r="AA296" s="17">
        <v>4</v>
      </c>
      <c r="AB296" s="17">
        <v>6</v>
      </c>
      <c r="AC296" s="17">
        <v>8</v>
      </c>
      <c r="AD296" s="17">
        <v>12</v>
      </c>
      <c r="AE296" s="17">
        <v>14</v>
      </c>
      <c r="AF296" s="17">
        <v>16</v>
      </c>
      <c r="AG296" s="17">
        <v>30</v>
      </c>
      <c r="AH296" s="17">
        <v>42</v>
      </c>
      <c r="AI296" s="17">
        <v>54</v>
      </c>
      <c r="AJ296" s="17">
        <v>72</v>
      </c>
      <c r="AK296" s="17">
        <v>97</v>
      </c>
      <c r="AL296" s="17">
        <v>133</v>
      </c>
      <c r="AM296" s="17">
        <v>172</v>
      </c>
      <c r="AN296" s="17">
        <v>245</v>
      </c>
      <c r="AO296" s="17">
        <v>322</v>
      </c>
      <c r="AP296" s="17">
        <v>411</v>
      </c>
      <c r="AQ296" s="17">
        <v>515</v>
      </c>
      <c r="AR296" s="17">
        <v>625</v>
      </c>
      <c r="AS296" s="17">
        <v>786</v>
      </c>
      <c r="AT296" s="17">
        <v>931</v>
      </c>
      <c r="AU296" s="17">
        <v>1105</v>
      </c>
      <c r="AV296" s="17">
        <v>1301</v>
      </c>
      <c r="AW296" s="17">
        <v>1499</v>
      </c>
      <c r="AX296" s="17">
        <v>1759</v>
      </c>
      <c r="AY296" s="17">
        <v>2059</v>
      </c>
      <c r="AZ296" s="17">
        <v>2328</v>
      </c>
      <c r="BA296" s="17">
        <v>2676</v>
      </c>
      <c r="BB296" s="17">
        <v>3044</v>
      </c>
      <c r="BC296" s="17">
        <v>3507</v>
      </c>
      <c r="BD296" s="17">
        <v>3956</v>
      </c>
      <c r="BE296" s="17">
        <v>4353</v>
      </c>
      <c r="BF296" s="17">
        <v>4785</v>
      </c>
      <c r="BG296" s="17">
        <v>5177</v>
      </c>
      <c r="BH296" s="17">
        <v>5482</v>
      </c>
      <c r="BI296" s="17">
        <v>5841</v>
      </c>
      <c r="BJ296" s="17">
        <v>6192</v>
      </c>
      <c r="BK296" s="17">
        <v>6522</v>
      </c>
      <c r="BL296" s="17">
        <v>6867</v>
      </c>
      <c r="BM296" s="17">
        <v>7168</v>
      </c>
      <c r="BN296" s="17">
        <v>7485</v>
      </c>
      <c r="BO296" s="17">
        <v>7773</v>
      </c>
      <c r="BP296" s="17">
        <v>7982</v>
      </c>
      <c r="BQ296" s="17">
        <v>8144</v>
      </c>
      <c r="BR296" s="17">
        <v>8291</v>
      </c>
      <c r="BS296" s="17">
        <v>8401</v>
      </c>
      <c r="BT296" s="17">
        <v>8488</v>
      </c>
      <c r="BU296" s="17">
        <v>8581</v>
      </c>
      <c r="BV296" s="17">
        <v>8631</v>
      </c>
      <c r="BW296" s="17">
        <v>8662</v>
      </c>
      <c r="BX296" s="17">
        <v>8686</v>
      </c>
      <c r="BY296" s="17">
        <v>8700</v>
      </c>
      <c r="BZ296" s="17">
        <v>8720</v>
      </c>
      <c r="CA296" s="17">
        <v>8733</v>
      </c>
      <c r="CB296" s="17">
        <v>8752</v>
      </c>
      <c r="CC296" s="17">
        <v>8760</v>
      </c>
      <c r="CD296" s="17">
        <v>8760</v>
      </c>
      <c r="CE296" s="17">
        <v>8760</v>
      </c>
      <c r="CF296" s="17">
        <v>8760</v>
      </c>
      <c r="CG296" s="17">
        <v>8760</v>
      </c>
      <c r="CH296" s="17">
        <v>8760</v>
      </c>
      <c r="CI296" s="17">
        <v>8760</v>
      </c>
      <c r="CJ296" s="17">
        <v>8760</v>
      </c>
      <c r="CK296" s="17">
        <v>8760</v>
      </c>
      <c r="CL296" s="17">
        <v>8760</v>
      </c>
      <c r="CM296" s="17">
        <v>8760</v>
      </c>
      <c r="CN296" s="17">
        <v>8760</v>
      </c>
      <c r="CO296" s="17">
        <v>8760</v>
      </c>
      <c r="CP296" s="17">
        <v>8760</v>
      </c>
      <c r="CQ296" s="17">
        <v>8760</v>
      </c>
      <c r="CR296" s="17">
        <v>8760</v>
      </c>
      <c r="CS296" s="17">
        <v>8760</v>
      </c>
      <c r="CT296" s="17">
        <v>8760</v>
      </c>
      <c r="CU296" s="17">
        <v>8760</v>
      </c>
      <c r="CV296" s="17">
        <v>8760</v>
      </c>
      <c r="CW296" s="17">
        <v>8760</v>
      </c>
      <c r="CX296" s="17">
        <v>8760</v>
      </c>
      <c r="CY296" s="17">
        <v>8760</v>
      </c>
      <c r="CZ296" s="17">
        <v>8760</v>
      </c>
      <c r="DA296" s="17">
        <v>8760</v>
      </c>
      <c r="DB296" s="17">
        <v>8760</v>
      </c>
    </row>
    <row r="297" spans="1:106" s="17" customFormat="1" x14ac:dyDescent="0.25">
      <c r="A297" s="22" t="s">
        <v>314</v>
      </c>
      <c r="B297" s="17" t="s">
        <v>286</v>
      </c>
      <c r="C297" s="17" t="s">
        <v>438</v>
      </c>
      <c r="D297" s="17" t="s">
        <v>938</v>
      </c>
      <c r="E297" s="17" t="s">
        <v>939</v>
      </c>
      <c r="F297" s="17">
        <v>102618</v>
      </c>
      <c r="G297" s="17">
        <v>0</v>
      </c>
      <c r="H297" s="17">
        <v>0</v>
      </c>
      <c r="I297" s="17">
        <v>0</v>
      </c>
      <c r="J297" s="17">
        <v>0</v>
      </c>
      <c r="K297" s="17">
        <v>0</v>
      </c>
      <c r="L297" s="17">
        <v>0</v>
      </c>
      <c r="M297" s="17">
        <v>0</v>
      </c>
      <c r="N297" s="17">
        <v>0</v>
      </c>
      <c r="O297" s="17">
        <v>0</v>
      </c>
      <c r="P297" s="17">
        <v>0</v>
      </c>
      <c r="Q297" s="17">
        <v>0</v>
      </c>
      <c r="R297" s="17">
        <v>0</v>
      </c>
      <c r="S297" s="17">
        <v>0</v>
      </c>
      <c r="T297" s="17">
        <v>0</v>
      </c>
      <c r="U297" s="17">
        <v>0</v>
      </c>
      <c r="V297" s="17">
        <v>0</v>
      </c>
      <c r="W297" s="17">
        <v>0</v>
      </c>
      <c r="X297" s="17">
        <v>0</v>
      </c>
      <c r="Y297" s="17">
        <v>0</v>
      </c>
      <c r="Z297" s="17">
        <v>0</v>
      </c>
      <c r="AA297" s="17">
        <v>0</v>
      </c>
      <c r="AB297" s="17">
        <v>0</v>
      </c>
      <c r="AC297" s="17">
        <v>0</v>
      </c>
      <c r="AD297" s="17">
        <v>0</v>
      </c>
      <c r="AE297" s="17">
        <v>0</v>
      </c>
      <c r="AF297" s="17">
        <v>0</v>
      </c>
      <c r="AG297" s="17">
        <v>0</v>
      </c>
      <c r="AH297" s="17">
        <v>0</v>
      </c>
      <c r="AI297" s="17">
        <v>0</v>
      </c>
      <c r="AJ297" s="17">
        <v>1</v>
      </c>
      <c r="AK297" s="17">
        <v>3</v>
      </c>
      <c r="AL297" s="17">
        <v>7</v>
      </c>
      <c r="AM297" s="17">
        <v>23</v>
      </c>
      <c r="AN297" s="17">
        <v>44</v>
      </c>
      <c r="AO297" s="17">
        <v>66</v>
      </c>
      <c r="AP297" s="17">
        <v>110</v>
      </c>
      <c r="AQ297" s="17">
        <v>157</v>
      </c>
      <c r="AR297" s="17">
        <v>207</v>
      </c>
      <c r="AS297" s="17">
        <v>249</v>
      </c>
      <c r="AT297" s="17">
        <v>337</v>
      </c>
      <c r="AU297" s="17">
        <v>443</v>
      </c>
      <c r="AV297" s="17">
        <v>538</v>
      </c>
      <c r="AW297" s="17">
        <v>645</v>
      </c>
      <c r="AX297" s="17">
        <v>756</v>
      </c>
      <c r="AY297" s="17">
        <v>892</v>
      </c>
      <c r="AZ297" s="17">
        <v>1065</v>
      </c>
      <c r="BA297" s="17">
        <v>1278</v>
      </c>
      <c r="BB297" s="17">
        <v>1578</v>
      </c>
      <c r="BC297" s="17">
        <v>1929</v>
      </c>
      <c r="BD297" s="17">
        <v>2321</v>
      </c>
      <c r="BE297" s="17">
        <v>2822</v>
      </c>
      <c r="BF297" s="17">
        <v>3284</v>
      </c>
      <c r="BG297" s="17">
        <v>3701</v>
      </c>
      <c r="BH297" s="17">
        <v>4057</v>
      </c>
      <c r="BI297" s="17">
        <v>4382</v>
      </c>
      <c r="BJ297" s="17">
        <v>4679</v>
      </c>
      <c r="BK297" s="17">
        <v>4959</v>
      </c>
      <c r="BL297" s="17">
        <v>5219</v>
      </c>
      <c r="BM297" s="17">
        <v>5511</v>
      </c>
      <c r="BN297" s="17">
        <v>5847</v>
      </c>
      <c r="BO297" s="17">
        <v>6193</v>
      </c>
      <c r="BP297" s="17">
        <v>6520</v>
      </c>
      <c r="BQ297" s="17">
        <v>6836</v>
      </c>
      <c r="BR297" s="17">
        <v>7181</v>
      </c>
      <c r="BS297" s="17">
        <v>7447</v>
      </c>
      <c r="BT297" s="17">
        <v>7711</v>
      </c>
      <c r="BU297" s="17">
        <v>7918</v>
      </c>
      <c r="BV297" s="17">
        <v>8125</v>
      </c>
      <c r="BW297" s="17">
        <v>8305</v>
      </c>
      <c r="BX297" s="17">
        <v>8429</v>
      </c>
      <c r="BY297" s="17">
        <v>8522</v>
      </c>
      <c r="BZ297" s="17">
        <v>8599</v>
      </c>
      <c r="CA297" s="17">
        <v>8649</v>
      </c>
      <c r="CB297" s="17">
        <v>8673</v>
      </c>
      <c r="CC297" s="17">
        <v>8706</v>
      </c>
      <c r="CD297" s="17">
        <v>8728</v>
      </c>
      <c r="CE297" s="17">
        <v>8741</v>
      </c>
      <c r="CF297" s="17">
        <v>8752</v>
      </c>
      <c r="CG297" s="17">
        <v>8759</v>
      </c>
      <c r="CH297" s="17">
        <v>8760</v>
      </c>
      <c r="CI297" s="17">
        <v>8760</v>
      </c>
      <c r="CJ297" s="17">
        <v>8760</v>
      </c>
      <c r="CK297" s="17">
        <v>8760</v>
      </c>
      <c r="CL297" s="17">
        <v>8760</v>
      </c>
      <c r="CM297" s="17">
        <v>8760</v>
      </c>
      <c r="CN297" s="17">
        <v>8760</v>
      </c>
      <c r="CO297" s="17">
        <v>8760</v>
      </c>
      <c r="CP297" s="17">
        <v>8760</v>
      </c>
      <c r="CQ297" s="17">
        <v>8760</v>
      </c>
      <c r="CR297" s="17">
        <v>8760</v>
      </c>
      <c r="CS297" s="17">
        <v>8760</v>
      </c>
      <c r="CT297" s="17">
        <v>8760</v>
      </c>
      <c r="CU297" s="17">
        <v>8760</v>
      </c>
      <c r="CV297" s="17">
        <v>8760</v>
      </c>
      <c r="CW297" s="17">
        <v>8760</v>
      </c>
      <c r="CX297" s="17">
        <v>8760</v>
      </c>
      <c r="CY297" s="17">
        <v>8760</v>
      </c>
      <c r="CZ297" s="17">
        <v>8760</v>
      </c>
      <c r="DA297" s="17">
        <v>8760</v>
      </c>
      <c r="DB297" s="17">
        <v>8760</v>
      </c>
    </row>
    <row r="298" spans="1:106" s="17" customFormat="1" x14ac:dyDescent="0.25">
      <c r="A298" s="22" t="s">
        <v>315</v>
      </c>
      <c r="B298" s="17" t="s">
        <v>294</v>
      </c>
      <c r="C298" s="17" t="s">
        <v>438</v>
      </c>
      <c r="D298" s="17" t="s">
        <v>940</v>
      </c>
      <c r="E298" s="17" t="s">
        <v>941</v>
      </c>
      <c r="F298" s="17">
        <v>102239</v>
      </c>
      <c r="G298" s="17">
        <v>0</v>
      </c>
      <c r="H298" s="17">
        <v>0</v>
      </c>
      <c r="I298" s="17">
        <v>0</v>
      </c>
      <c r="J298" s="17">
        <v>0</v>
      </c>
      <c r="K298" s="17">
        <v>0</v>
      </c>
      <c r="L298" s="17">
        <v>0</v>
      </c>
      <c r="M298" s="17">
        <v>0</v>
      </c>
      <c r="N298" s="17">
        <v>0</v>
      </c>
      <c r="O298" s="17">
        <v>0</v>
      </c>
      <c r="P298" s="17">
        <v>0</v>
      </c>
      <c r="Q298" s="17">
        <v>0</v>
      </c>
      <c r="R298" s="17">
        <v>0</v>
      </c>
      <c r="S298" s="17">
        <v>0</v>
      </c>
      <c r="T298" s="17">
        <v>0</v>
      </c>
      <c r="U298" s="17">
        <v>0</v>
      </c>
      <c r="V298" s="17">
        <v>0</v>
      </c>
      <c r="W298" s="17">
        <v>0</v>
      </c>
      <c r="X298" s="17">
        <v>0</v>
      </c>
      <c r="Y298" s="17">
        <v>0</v>
      </c>
      <c r="Z298" s="17">
        <v>0</v>
      </c>
      <c r="AA298" s="17">
        <v>0</v>
      </c>
      <c r="AB298" s="17">
        <v>0</v>
      </c>
      <c r="AC298" s="17">
        <v>0</v>
      </c>
      <c r="AD298" s="17">
        <v>0</v>
      </c>
      <c r="AE298" s="17">
        <v>0</v>
      </c>
      <c r="AF298" s="17">
        <v>0</v>
      </c>
      <c r="AG298" s="17">
        <v>0</v>
      </c>
      <c r="AH298" s="17">
        <v>0</v>
      </c>
      <c r="AI298" s="17">
        <v>1</v>
      </c>
      <c r="AJ298" s="17">
        <v>4</v>
      </c>
      <c r="AK298" s="17">
        <v>11</v>
      </c>
      <c r="AL298" s="17">
        <v>20</v>
      </c>
      <c r="AM298" s="17">
        <v>24</v>
      </c>
      <c r="AN298" s="17">
        <v>27</v>
      </c>
      <c r="AO298" s="17">
        <v>32</v>
      </c>
      <c r="AP298" s="17">
        <v>35</v>
      </c>
      <c r="AQ298" s="17">
        <v>47</v>
      </c>
      <c r="AR298" s="17">
        <v>67</v>
      </c>
      <c r="AS298" s="17">
        <v>86</v>
      </c>
      <c r="AT298" s="17">
        <v>103</v>
      </c>
      <c r="AU298" s="17">
        <v>120</v>
      </c>
      <c r="AV298" s="17">
        <v>143</v>
      </c>
      <c r="AW298" s="17">
        <v>198</v>
      </c>
      <c r="AX298" s="17">
        <v>273</v>
      </c>
      <c r="AY298" s="17">
        <v>366</v>
      </c>
      <c r="AZ298" s="17">
        <v>479</v>
      </c>
      <c r="BA298" s="17">
        <v>629</v>
      </c>
      <c r="BB298" s="17">
        <v>878</v>
      </c>
      <c r="BC298" s="17">
        <v>1238</v>
      </c>
      <c r="BD298" s="17">
        <v>1691</v>
      </c>
      <c r="BE298" s="17">
        <v>2129</v>
      </c>
      <c r="BF298" s="17">
        <v>2618</v>
      </c>
      <c r="BG298" s="17">
        <v>3001</v>
      </c>
      <c r="BH298" s="17">
        <v>3402</v>
      </c>
      <c r="BI298" s="17">
        <v>3761</v>
      </c>
      <c r="BJ298" s="17">
        <v>4121</v>
      </c>
      <c r="BK298" s="17">
        <v>4496</v>
      </c>
      <c r="BL298" s="17">
        <v>4772</v>
      </c>
      <c r="BM298" s="17">
        <v>5154</v>
      </c>
      <c r="BN298" s="17">
        <v>5509</v>
      </c>
      <c r="BO298" s="17">
        <v>5905</v>
      </c>
      <c r="BP298" s="17">
        <v>6315</v>
      </c>
      <c r="BQ298" s="17">
        <v>6707</v>
      </c>
      <c r="BR298" s="17">
        <v>7088</v>
      </c>
      <c r="BS298" s="17">
        <v>7437</v>
      </c>
      <c r="BT298" s="17">
        <v>7745</v>
      </c>
      <c r="BU298" s="17">
        <v>7978</v>
      </c>
      <c r="BV298" s="17">
        <v>8198</v>
      </c>
      <c r="BW298" s="17">
        <v>8352</v>
      </c>
      <c r="BX298" s="17">
        <v>8483</v>
      </c>
      <c r="BY298" s="17">
        <v>8576</v>
      </c>
      <c r="BZ298" s="17">
        <v>8628</v>
      </c>
      <c r="CA298" s="17">
        <v>8667</v>
      </c>
      <c r="CB298" s="17">
        <v>8698</v>
      </c>
      <c r="CC298" s="17">
        <v>8723</v>
      </c>
      <c r="CD298" s="17">
        <v>8747</v>
      </c>
      <c r="CE298" s="17">
        <v>8757</v>
      </c>
      <c r="CF298" s="17">
        <v>8760</v>
      </c>
      <c r="CG298" s="17">
        <v>8760</v>
      </c>
      <c r="CH298" s="17">
        <v>8760</v>
      </c>
      <c r="CI298" s="17">
        <v>8760</v>
      </c>
      <c r="CJ298" s="17">
        <v>8760</v>
      </c>
      <c r="CK298" s="17">
        <v>8760</v>
      </c>
      <c r="CL298" s="17">
        <v>8760</v>
      </c>
      <c r="CM298" s="17">
        <v>8760</v>
      </c>
      <c r="CN298" s="17">
        <v>8760</v>
      </c>
      <c r="CO298" s="17">
        <v>8760</v>
      </c>
      <c r="CP298" s="17">
        <v>8760</v>
      </c>
      <c r="CQ298" s="17">
        <v>8760</v>
      </c>
      <c r="CR298" s="17">
        <v>8760</v>
      </c>
      <c r="CS298" s="17">
        <v>8760</v>
      </c>
      <c r="CT298" s="17">
        <v>8760</v>
      </c>
      <c r="CU298" s="17">
        <v>8760</v>
      </c>
      <c r="CV298" s="17">
        <v>8760</v>
      </c>
      <c r="CW298" s="17">
        <v>8760</v>
      </c>
      <c r="CX298" s="17">
        <v>8760</v>
      </c>
      <c r="CY298" s="17">
        <v>8760</v>
      </c>
      <c r="CZ298" s="17">
        <v>8760</v>
      </c>
      <c r="DA298" s="17">
        <v>8760</v>
      </c>
      <c r="DB298" s="17">
        <v>8760</v>
      </c>
    </row>
    <row r="299" spans="1:106" s="17" customFormat="1" x14ac:dyDescent="0.25">
      <c r="A299" s="22" t="s">
        <v>316</v>
      </c>
      <c r="B299" s="17" t="s">
        <v>303</v>
      </c>
      <c r="C299" s="17" t="s">
        <v>438</v>
      </c>
      <c r="D299" s="17" t="s">
        <v>942</v>
      </c>
      <c r="E299" s="17" t="s">
        <v>943</v>
      </c>
      <c r="F299" s="17">
        <v>102210</v>
      </c>
      <c r="G299" s="17">
        <v>0</v>
      </c>
      <c r="H299" s="17">
        <v>0</v>
      </c>
      <c r="I299" s="17">
        <v>0</v>
      </c>
      <c r="J299" s="17">
        <v>0</v>
      </c>
      <c r="K299" s="17">
        <v>0</v>
      </c>
      <c r="L299" s="17">
        <v>0</v>
      </c>
      <c r="M299" s="17">
        <v>0</v>
      </c>
      <c r="N299" s="17">
        <v>0</v>
      </c>
      <c r="O299" s="17">
        <v>0</v>
      </c>
      <c r="P299" s="17">
        <v>0</v>
      </c>
      <c r="Q299" s="17">
        <v>0</v>
      </c>
      <c r="R299" s="17">
        <v>0</v>
      </c>
      <c r="S299" s="17">
        <v>0</v>
      </c>
      <c r="T299" s="17">
        <v>0</v>
      </c>
      <c r="U299" s="17">
        <v>0</v>
      </c>
      <c r="V299" s="17">
        <v>0</v>
      </c>
      <c r="W299" s="17">
        <v>0</v>
      </c>
      <c r="X299" s="17">
        <v>0</v>
      </c>
      <c r="Y299" s="17">
        <v>0</v>
      </c>
      <c r="Z299" s="17">
        <v>0</v>
      </c>
      <c r="AA299" s="17">
        <v>0</v>
      </c>
      <c r="AB299" s="17">
        <v>0</v>
      </c>
      <c r="AC299" s="17">
        <v>0</v>
      </c>
      <c r="AD299" s="17">
        <v>0</v>
      </c>
      <c r="AE299" s="17">
        <v>0</v>
      </c>
      <c r="AF299" s="17">
        <v>0</v>
      </c>
      <c r="AG299" s="17">
        <v>0</v>
      </c>
      <c r="AH299" s="17">
        <v>0</v>
      </c>
      <c r="AI299" s="17">
        <v>0</v>
      </c>
      <c r="AJ299" s="17">
        <v>0</v>
      </c>
      <c r="AK299" s="17">
        <v>0</v>
      </c>
      <c r="AL299" s="17">
        <v>0</v>
      </c>
      <c r="AM299" s="17">
        <v>0</v>
      </c>
      <c r="AN299" s="17">
        <v>0</v>
      </c>
      <c r="AO299" s="17">
        <v>0</v>
      </c>
      <c r="AP299" s="17">
        <v>0</v>
      </c>
      <c r="AQ299" s="17">
        <v>5</v>
      </c>
      <c r="AR299" s="17">
        <v>23</v>
      </c>
      <c r="AS299" s="17">
        <v>44</v>
      </c>
      <c r="AT299" s="17">
        <v>66</v>
      </c>
      <c r="AU299" s="17">
        <v>91</v>
      </c>
      <c r="AV299" s="17">
        <v>128</v>
      </c>
      <c r="AW299" s="17">
        <v>188</v>
      </c>
      <c r="AX299" s="17">
        <v>233</v>
      </c>
      <c r="AY299" s="17">
        <v>340</v>
      </c>
      <c r="AZ299" s="17">
        <v>450</v>
      </c>
      <c r="BA299" s="17">
        <v>643</v>
      </c>
      <c r="BB299" s="17">
        <v>857</v>
      </c>
      <c r="BC299" s="17">
        <v>1122</v>
      </c>
      <c r="BD299" s="17">
        <v>1478</v>
      </c>
      <c r="BE299" s="17">
        <v>1955</v>
      </c>
      <c r="BF299" s="17">
        <v>2367</v>
      </c>
      <c r="BG299" s="17">
        <v>2784</v>
      </c>
      <c r="BH299" s="17">
        <v>3201</v>
      </c>
      <c r="BI299" s="17">
        <v>3647</v>
      </c>
      <c r="BJ299" s="17">
        <v>3998</v>
      </c>
      <c r="BK299" s="17">
        <v>4331</v>
      </c>
      <c r="BL299" s="17">
        <v>4640</v>
      </c>
      <c r="BM299" s="17">
        <v>4933</v>
      </c>
      <c r="BN299" s="17">
        <v>5237</v>
      </c>
      <c r="BO299" s="17">
        <v>5553</v>
      </c>
      <c r="BP299" s="17">
        <v>5962</v>
      </c>
      <c r="BQ299" s="17">
        <v>6314</v>
      </c>
      <c r="BR299" s="17">
        <v>6677</v>
      </c>
      <c r="BS299" s="17">
        <v>7095</v>
      </c>
      <c r="BT299" s="17">
        <v>7474</v>
      </c>
      <c r="BU299" s="17">
        <v>7838</v>
      </c>
      <c r="BV299" s="17">
        <v>8084</v>
      </c>
      <c r="BW299" s="17">
        <v>8258</v>
      </c>
      <c r="BX299" s="17">
        <v>8385</v>
      </c>
      <c r="BY299" s="17">
        <v>8475</v>
      </c>
      <c r="BZ299" s="17">
        <v>8567</v>
      </c>
      <c r="CA299" s="17">
        <v>8610</v>
      </c>
      <c r="CB299" s="17">
        <v>8659</v>
      </c>
      <c r="CC299" s="17">
        <v>8691</v>
      </c>
      <c r="CD299" s="17">
        <v>8727</v>
      </c>
      <c r="CE299" s="17">
        <v>8746</v>
      </c>
      <c r="CF299" s="17">
        <v>8754</v>
      </c>
      <c r="CG299" s="17">
        <v>8760</v>
      </c>
      <c r="CH299" s="17">
        <v>8760</v>
      </c>
      <c r="CI299" s="17">
        <v>8760</v>
      </c>
      <c r="CJ299" s="17">
        <v>8760</v>
      </c>
      <c r="CK299" s="17">
        <v>8760</v>
      </c>
      <c r="CL299" s="17">
        <v>8760</v>
      </c>
      <c r="CM299" s="17">
        <v>8760</v>
      </c>
      <c r="CN299" s="17">
        <v>8760</v>
      </c>
      <c r="CO299" s="17">
        <v>8760</v>
      </c>
      <c r="CP299" s="17">
        <v>8760</v>
      </c>
      <c r="CQ299" s="17">
        <v>8760</v>
      </c>
      <c r="CR299" s="17">
        <v>8760</v>
      </c>
      <c r="CS299" s="17">
        <v>8760</v>
      </c>
      <c r="CT299" s="17">
        <v>8760</v>
      </c>
      <c r="CU299" s="17">
        <v>8760</v>
      </c>
      <c r="CV299" s="17">
        <v>8760</v>
      </c>
      <c r="CW299" s="17">
        <v>8760</v>
      </c>
      <c r="CX299" s="17">
        <v>8760</v>
      </c>
      <c r="CY299" s="17">
        <v>8760</v>
      </c>
      <c r="CZ299" s="17">
        <v>8760</v>
      </c>
      <c r="DA299" s="17">
        <v>8760</v>
      </c>
      <c r="DB299" s="17">
        <v>8760</v>
      </c>
    </row>
    <row r="300" spans="1:106" s="17" customFormat="1" x14ac:dyDescent="0.25">
      <c r="A300" s="22" t="s">
        <v>317</v>
      </c>
      <c r="B300" s="17" t="s">
        <v>304</v>
      </c>
      <c r="C300" s="17" t="s">
        <v>438</v>
      </c>
      <c r="D300" s="17" t="s">
        <v>944</v>
      </c>
      <c r="E300" s="17" t="s">
        <v>945</v>
      </c>
      <c r="F300" s="17">
        <v>102231</v>
      </c>
      <c r="G300" s="17">
        <v>0</v>
      </c>
      <c r="H300" s="17">
        <v>0</v>
      </c>
      <c r="I300" s="17">
        <v>0</v>
      </c>
      <c r="J300" s="17">
        <v>0</v>
      </c>
      <c r="K300" s="17">
        <v>0</v>
      </c>
      <c r="L300" s="17">
        <v>0</v>
      </c>
      <c r="M300" s="17">
        <v>0</v>
      </c>
      <c r="N300" s="17">
        <v>0</v>
      </c>
      <c r="O300" s="17">
        <v>0</v>
      </c>
      <c r="P300" s="17">
        <v>0</v>
      </c>
      <c r="Q300" s="17">
        <v>0</v>
      </c>
      <c r="R300" s="17">
        <v>0</v>
      </c>
      <c r="S300" s="17">
        <v>0</v>
      </c>
      <c r="T300" s="17">
        <v>0</v>
      </c>
      <c r="U300" s="17">
        <v>0</v>
      </c>
      <c r="V300" s="17">
        <v>0</v>
      </c>
      <c r="W300" s="17">
        <v>0</v>
      </c>
      <c r="X300" s="17">
        <v>0</v>
      </c>
      <c r="Y300" s="17">
        <v>0</v>
      </c>
      <c r="Z300" s="17">
        <v>0</v>
      </c>
      <c r="AA300" s="17">
        <v>0</v>
      </c>
      <c r="AB300" s="17">
        <v>0</v>
      </c>
      <c r="AC300" s="17">
        <v>0</v>
      </c>
      <c r="AD300" s="17">
        <v>0</v>
      </c>
      <c r="AE300" s="17">
        <v>0</v>
      </c>
      <c r="AF300" s="17">
        <v>0</v>
      </c>
      <c r="AG300" s="17">
        <v>0</v>
      </c>
      <c r="AH300" s="17">
        <v>0</v>
      </c>
      <c r="AI300" s="17">
        <v>0</v>
      </c>
      <c r="AJ300" s="17">
        <v>0</v>
      </c>
      <c r="AK300" s="17">
        <v>0</v>
      </c>
      <c r="AL300" s="17">
        <v>2</v>
      </c>
      <c r="AM300" s="17">
        <v>4</v>
      </c>
      <c r="AN300" s="17">
        <v>8</v>
      </c>
      <c r="AO300" s="17">
        <v>11</v>
      </c>
      <c r="AP300" s="17">
        <v>15</v>
      </c>
      <c r="AQ300" s="17">
        <v>24</v>
      </c>
      <c r="AR300" s="17">
        <v>45</v>
      </c>
      <c r="AS300" s="17">
        <v>69</v>
      </c>
      <c r="AT300" s="17">
        <v>91</v>
      </c>
      <c r="AU300" s="17">
        <v>115</v>
      </c>
      <c r="AV300" s="17">
        <v>132</v>
      </c>
      <c r="AW300" s="17">
        <v>188</v>
      </c>
      <c r="AX300" s="17">
        <v>258</v>
      </c>
      <c r="AY300" s="17">
        <v>340</v>
      </c>
      <c r="AZ300" s="17">
        <v>475</v>
      </c>
      <c r="BA300" s="17">
        <v>643</v>
      </c>
      <c r="BB300" s="17">
        <v>881</v>
      </c>
      <c r="BC300" s="17">
        <v>1189</v>
      </c>
      <c r="BD300" s="17">
        <v>1498</v>
      </c>
      <c r="BE300" s="17">
        <v>1843</v>
      </c>
      <c r="BF300" s="17">
        <v>2185</v>
      </c>
      <c r="BG300" s="17">
        <v>2612</v>
      </c>
      <c r="BH300" s="17">
        <v>3119</v>
      </c>
      <c r="BI300" s="17">
        <v>3515</v>
      </c>
      <c r="BJ300" s="17">
        <v>3975</v>
      </c>
      <c r="BK300" s="17">
        <v>4333</v>
      </c>
      <c r="BL300" s="17">
        <v>4725</v>
      </c>
      <c r="BM300" s="17">
        <v>5047</v>
      </c>
      <c r="BN300" s="17">
        <v>5418</v>
      </c>
      <c r="BO300" s="17">
        <v>5840</v>
      </c>
      <c r="BP300" s="17">
        <v>6203</v>
      </c>
      <c r="BQ300" s="17">
        <v>6572</v>
      </c>
      <c r="BR300" s="17">
        <v>6898</v>
      </c>
      <c r="BS300" s="17">
        <v>7251</v>
      </c>
      <c r="BT300" s="17">
        <v>7490</v>
      </c>
      <c r="BU300" s="17">
        <v>7717</v>
      </c>
      <c r="BV300" s="17">
        <v>7933</v>
      </c>
      <c r="BW300" s="17">
        <v>8068</v>
      </c>
      <c r="BX300" s="17">
        <v>8204</v>
      </c>
      <c r="BY300" s="17">
        <v>8324</v>
      </c>
      <c r="BZ300" s="17">
        <v>8432</v>
      </c>
      <c r="CA300" s="17">
        <v>8523</v>
      </c>
      <c r="CB300" s="17">
        <v>8610</v>
      </c>
      <c r="CC300" s="17">
        <v>8672</v>
      </c>
      <c r="CD300" s="17">
        <v>8709</v>
      </c>
      <c r="CE300" s="17">
        <v>8729</v>
      </c>
      <c r="CF300" s="17">
        <v>8743</v>
      </c>
      <c r="CG300" s="17">
        <v>8752</v>
      </c>
      <c r="CH300" s="17">
        <v>8757</v>
      </c>
      <c r="CI300" s="17">
        <v>8760</v>
      </c>
      <c r="CJ300" s="17">
        <v>8760</v>
      </c>
      <c r="CK300" s="17">
        <v>8760</v>
      </c>
      <c r="CL300" s="17">
        <v>8760</v>
      </c>
      <c r="CM300" s="17">
        <v>8760</v>
      </c>
      <c r="CN300" s="17">
        <v>8760</v>
      </c>
      <c r="CO300" s="17">
        <v>8760</v>
      </c>
      <c r="CP300" s="17">
        <v>8760</v>
      </c>
      <c r="CQ300" s="17">
        <v>8760</v>
      </c>
      <c r="CR300" s="17">
        <v>8760</v>
      </c>
      <c r="CS300" s="17">
        <v>8760</v>
      </c>
      <c r="CT300" s="17">
        <v>8760</v>
      </c>
      <c r="CU300" s="17">
        <v>8760</v>
      </c>
      <c r="CV300" s="17">
        <v>8760</v>
      </c>
      <c r="CW300" s="17">
        <v>8760</v>
      </c>
      <c r="CX300" s="17">
        <v>8760</v>
      </c>
      <c r="CY300" s="17">
        <v>8760</v>
      </c>
      <c r="CZ300" s="17">
        <v>8760</v>
      </c>
      <c r="DA300" s="17">
        <v>8760</v>
      </c>
      <c r="DB300" s="17">
        <v>8760</v>
      </c>
    </row>
    <row r="301" spans="1:106" s="17" customFormat="1" x14ac:dyDescent="0.25">
      <c r="A301" s="22" t="s">
        <v>318</v>
      </c>
      <c r="B301" s="17" t="s">
        <v>305</v>
      </c>
      <c r="C301" s="17" t="s">
        <v>438</v>
      </c>
      <c r="D301" s="17" t="s">
        <v>946</v>
      </c>
      <c r="E301" s="17" t="s">
        <v>947</v>
      </c>
      <c r="F301" s="17">
        <v>102207</v>
      </c>
      <c r="G301" s="17">
        <v>0</v>
      </c>
      <c r="H301" s="17">
        <v>0</v>
      </c>
      <c r="I301" s="17">
        <v>0</v>
      </c>
      <c r="J301" s="17">
        <v>0</v>
      </c>
      <c r="K301" s="17">
        <v>0</v>
      </c>
      <c r="L301" s="17">
        <v>0</v>
      </c>
      <c r="M301" s="17">
        <v>0</v>
      </c>
      <c r="N301" s="17">
        <v>0</v>
      </c>
      <c r="O301" s="17">
        <v>0</v>
      </c>
      <c r="P301" s="17">
        <v>0</v>
      </c>
      <c r="Q301" s="17">
        <v>0</v>
      </c>
      <c r="R301" s="17">
        <v>0</v>
      </c>
      <c r="S301" s="17">
        <v>0</v>
      </c>
      <c r="T301" s="17">
        <v>0</v>
      </c>
      <c r="U301" s="17">
        <v>0</v>
      </c>
      <c r="V301" s="17">
        <v>0</v>
      </c>
      <c r="W301" s="17">
        <v>0</v>
      </c>
      <c r="X301" s="17">
        <v>0</v>
      </c>
      <c r="Y301" s="17">
        <v>0</v>
      </c>
      <c r="Z301" s="17">
        <v>0</v>
      </c>
      <c r="AA301" s="17">
        <v>0</v>
      </c>
      <c r="AB301" s="17">
        <v>0</v>
      </c>
      <c r="AC301" s="17">
        <v>0</v>
      </c>
      <c r="AD301" s="17">
        <v>0</v>
      </c>
      <c r="AE301" s="17">
        <v>0</v>
      </c>
      <c r="AF301" s="17">
        <v>0</v>
      </c>
      <c r="AG301" s="17">
        <v>0</v>
      </c>
      <c r="AH301" s="17">
        <v>0</v>
      </c>
      <c r="AI301" s="17">
        <v>0</v>
      </c>
      <c r="AJ301" s="17">
        <v>0</v>
      </c>
      <c r="AK301" s="17">
        <v>0</v>
      </c>
      <c r="AL301" s="17">
        <v>2</v>
      </c>
      <c r="AM301" s="17">
        <v>12</v>
      </c>
      <c r="AN301" s="17">
        <v>21</v>
      </c>
      <c r="AO301" s="17">
        <v>32</v>
      </c>
      <c r="AP301" s="17">
        <v>54</v>
      </c>
      <c r="AQ301" s="17">
        <v>76</v>
      </c>
      <c r="AR301" s="17">
        <v>98</v>
      </c>
      <c r="AS301" s="17">
        <v>114</v>
      </c>
      <c r="AT301" s="17">
        <v>152</v>
      </c>
      <c r="AU301" s="17">
        <v>192</v>
      </c>
      <c r="AV301" s="17">
        <v>253</v>
      </c>
      <c r="AW301" s="17">
        <v>351</v>
      </c>
      <c r="AX301" s="17">
        <v>444</v>
      </c>
      <c r="AY301" s="17">
        <v>590</v>
      </c>
      <c r="AZ301" s="17">
        <v>753</v>
      </c>
      <c r="BA301" s="17">
        <v>937</v>
      </c>
      <c r="BB301" s="17">
        <v>1182</v>
      </c>
      <c r="BC301" s="17">
        <v>1532</v>
      </c>
      <c r="BD301" s="17">
        <v>1893</v>
      </c>
      <c r="BE301" s="17">
        <v>2287</v>
      </c>
      <c r="BF301" s="17">
        <v>2694</v>
      </c>
      <c r="BG301" s="17">
        <v>3151</v>
      </c>
      <c r="BH301" s="17">
        <v>3658</v>
      </c>
      <c r="BI301" s="17">
        <v>4110</v>
      </c>
      <c r="BJ301" s="17">
        <v>4503</v>
      </c>
      <c r="BK301" s="17">
        <v>4854</v>
      </c>
      <c r="BL301" s="17">
        <v>5187</v>
      </c>
      <c r="BM301" s="17">
        <v>5464</v>
      </c>
      <c r="BN301" s="17">
        <v>5816</v>
      </c>
      <c r="BO301" s="17">
        <v>6172</v>
      </c>
      <c r="BP301" s="17">
        <v>6566</v>
      </c>
      <c r="BQ301" s="17">
        <v>6934</v>
      </c>
      <c r="BR301" s="17">
        <v>7296</v>
      </c>
      <c r="BS301" s="17">
        <v>7606</v>
      </c>
      <c r="BT301" s="17">
        <v>7829</v>
      </c>
      <c r="BU301" s="17">
        <v>8057</v>
      </c>
      <c r="BV301" s="17">
        <v>8273</v>
      </c>
      <c r="BW301" s="17">
        <v>8431</v>
      </c>
      <c r="BX301" s="17">
        <v>8517</v>
      </c>
      <c r="BY301" s="17">
        <v>8580</v>
      </c>
      <c r="BZ301" s="17">
        <v>8626</v>
      </c>
      <c r="CA301" s="17">
        <v>8667</v>
      </c>
      <c r="CB301" s="17">
        <v>8714</v>
      </c>
      <c r="CC301" s="17">
        <v>8735</v>
      </c>
      <c r="CD301" s="17">
        <v>8745</v>
      </c>
      <c r="CE301" s="17">
        <v>8757</v>
      </c>
      <c r="CF301" s="17">
        <v>8760</v>
      </c>
      <c r="CG301" s="17">
        <v>8760</v>
      </c>
      <c r="CH301" s="17">
        <v>8760</v>
      </c>
      <c r="CI301" s="17">
        <v>8760</v>
      </c>
      <c r="CJ301" s="17">
        <v>8760</v>
      </c>
      <c r="CK301" s="17">
        <v>8760</v>
      </c>
      <c r="CL301" s="17">
        <v>8760</v>
      </c>
      <c r="CM301" s="17">
        <v>8760</v>
      </c>
      <c r="CN301" s="17">
        <v>8760</v>
      </c>
      <c r="CO301" s="17">
        <v>8760</v>
      </c>
      <c r="CP301" s="17">
        <v>8760</v>
      </c>
      <c r="CQ301" s="17">
        <v>8760</v>
      </c>
      <c r="CR301" s="17">
        <v>8760</v>
      </c>
      <c r="CS301" s="17">
        <v>8760</v>
      </c>
      <c r="CT301" s="17">
        <v>8760</v>
      </c>
      <c r="CU301" s="17">
        <v>8760</v>
      </c>
      <c r="CV301" s="17">
        <v>8760</v>
      </c>
      <c r="CW301" s="17">
        <v>8760</v>
      </c>
      <c r="CX301" s="17">
        <v>8760</v>
      </c>
      <c r="CY301" s="17">
        <v>8760</v>
      </c>
      <c r="CZ301" s="17">
        <v>8760</v>
      </c>
      <c r="DA301" s="17">
        <v>8760</v>
      </c>
      <c r="DB301" s="17">
        <v>8760</v>
      </c>
    </row>
    <row r="302" spans="1:106" s="17" customFormat="1" x14ac:dyDescent="0.25">
      <c r="A302" s="22" t="s">
        <v>319</v>
      </c>
      <c r="B302" s="17" t="s">
        <v>306</v>
      </c>
      <c r="C302" s="17" t="s">
        <v>438</v>
      </c>
      <c r="D302" s="17" t="s">
        <v>420</v>
      </c>
      <c r="E302" s="17" t="s">
        <v>421</v>
      </c>
      <c r="F302" s="17">
        <v>102905</v>
      </c>
      <c r="G302" s="17">
        <v>0</v>
      </c>
      <c r="H302" s="17">
        <v>0</v>
      </c>
      <c r="I302" s="17">
        <v>0</v>
      </c>
      <c r="J302" s="17">
        <v>0</v>
      </c>
      <c r="K302" s="17">
        <v>0</v>
      </c>
      <c r="L302" s="17">
        <v>0</v>
      </c>
      <c r="M302" s="17">
        <v>0</v>
      </c>
      <c r="N302" s="17">
        <v>0</v>
      </c>
      <c r="O302" s="17">
        <v>0</v>
      </c>
      <c r="P302" s="17">
        <v>0</v>
      </c>
      <c r="Q302" s="17">
        <v>0</v>
      </c>
      <c r="R302" s="17">
        <v>0</v>
      </c>
      <c r="S302" s="17">
        <v>0</v>
      </c>
      <c r="T302" s="17">
        <v>0</v>
      </c>
      <c r="U302" s="17">
        <v>0</v>
      </c>
      <c r="V302" s="17">
        <v>0</v>
      </c>
      <c r="W302" s="17">
        <v>0</v>
      </c>
      <c r="X302" s="17">
        <v>0</v>
      </c>
      <c r="Y302" s="17">
        <v>0</v>
      </c>
      <c r="Z302" s="17">
        <v>0</v>
      </c>
      <c r="AA302" s="17">
        <v>0</v>
      </c>
      <c r="AB302" s="17">
        <v>0</v>
      </c>
      <c r="AC302" s="17">
        <v>0</v>
      </c>
      <c r="AD302" s="17">
        <v>0</v>
      </c>
      <c r="AE302" s="17">
        <v>0</v>
      </c>
      <c r="AF302" s="17">
        <v>0</v>
      </c>
      <c r="AG302" s="17">
        <v>1</v>
      </c>
      <c r="AH302" s="17">
        <v>7</v>
      </c>
      <c r="AI302" s="17">
        <v>19</v>
      </c>
      <c r="AJ302" s="17">
        <v>33</v>
      </c>
      <c r="AK302" s="17">
        <v>72</v>
      </c>
      <c r="AL302" s="17">
        <v>106</v>
      </c>
      <c r="AM302" s="17">
        <v>134</v>
      </c>
      <c r="AN302" s="17">
        <v>162</v>
      </c>
      <c r="AO302" s="17">
        <v>212</v>
      </c>
      <c r="AP302" s="17">
        <v>254</v>
      </c>
      <c r="AQ302" s="17">
        <v>322</v>
      </c>
      <c r="AR302" s="17">
        <v>371</v>
      </c>
      <c r="AS302" s="17">
        <v>441</v>
      </c>
      <c r="AT302" s="17">
        <v>542</v>
      </c>
      <c r="AU302" s="17">
        <v>643</v>
      </c>
      <c r="AV302" s="17">
        <v>735</v>
      </c>
      <c r="AW302" s="17">
        <v>869</v>
      </c>
      <c r="AX302" s="17">
        <v>1074</v>
      </c>
      <c r="AY302" s="17">
        <v>1241</v>
      </c>
      <c r="AZ302" s="17">
        <v>1471</v>
      </c>
      <c r="BA302" s="17">
        <v>1691</v>
      </c>
      <c r="BB302" s="17">
        <v>1993</v>
      </c>
      <c r="BC302" s="17">
        <v>2417</v>
      </c>
      <c r="BD302" s="17">
        <v>2840</v>
      </c>
      <c r="BE302" s="17">
        <v>3278</v>
      </c>
      <c r="BF302" s="17">
        <v>3755</v>
      </c>
      <c r="BG302" s="17">
        <v>4144</v>
      </c>
      <c r="BH302" s="17">
        <v>4540</v>
      </c>
      <c r="BI302" s="17">
        <v>4876</v>
      </c>
      <c r="BJ302" s="17">
        <v>5189</v>
      </c>
      <c r="BK302" s="17">
        <v>5512</v>
      </c>
      <c r="BL302" s="17">
        <v>5813</v>
      </c>
      <c r="BM302" s="17">
        <v>6126</v>
      </c>
      <c r="BN302" s="17">
        <v>6406</v>
      </c>
      <c r="BO302" s="17">
        <v>6703</v>
      </c>
      <c r="BP302" s="17">
        <v>7002</v>
      </c>
      <c r="BQ302" s="17">
        <v>7290</v>
      </c>
      <c r="BR302" s="17">
        <v>7547</v>
      </c>
      <c r="BS302" s="17">
        <v>7771</v>
      </c>
      <c r="BT302" s="17">
        <v>7963</v>
      </c>
      <c r="BU302" s="17">
        <v>8147</v>
      </c>
      <c r="BV302" s="17">
        <v>8306</v>
      </c>
      <c r="BW302" s="17">
        <v>8432</v>
      </c>
      <c r="BX302" s="17">
        <v>8515</v>
      </c>
      <c r="BY302" s="17">
        <v>8602</v>
      </c>
      <c r="BZ302" s="17">
        <v>8668</v>
      </c>
      <c r="CA302" s="17">
        <v>8705</v>
      </c>
      <c r="CB302" s="17">
        <v>8732</v>
      </c>
      <c r="CC302" s="17">
        <v>8742</v>
      </c>
      <c r="CD302" s="17">
        <v>8754</v>
      </c>
      <c r="CE302" s="17">
        <v>8760</v>
      </c>
      <c r="CF302" s="17">
        <v>8760</v>
      </c>
      <c r="CG302" s="17">
        <v>8760</v>
      </c>
      <c r="CH302" s="17">
        <v>8760</v>
      </c>
      <c r="CI302" s="17">
        <v>8760</v>
      </c>
      <c r="CJ302" s="17">
        <v>8760</v>
      </c>
      <c r="CK302" s="17">
        <v>8760</v>
      </c>
      <c r="CL302" s="17">
        <v>8760</v>
      </c>
      <c r="CM302" s="17">
        <v>8760</v>
      </c>
      <c r="CN302" s="17">
        <v>8760</v>
      </c>
      <c r="CO302" s="17">
        <v>8760</v>
      </c>
      <c r="CP302" s="17">
        <v>8760</v>
      </c>
      <c r="CQ302" s="17">
        <v>8760</v>
      </c>
      <c r="CR302" s="17">
        <v>8760</v>
      </c>
      <c r="CS302" s="17">
        <v>8760</v>
      </c>
      <c r="CT302" s="17">
        <v>8760</v>
      </c>
      <c r="CU302" s="17">
        <v>8760</v>
      </c>
      <c r="CV302" s="17">
        <v>8760</v>
      </c>
      <c r="CW302" s="17">
        <v>8760</v>
      </c>
      <c r="CX302" s="17">
        <v>8760</v>
      </c>
      <c r="CY302" s="17">
        <v>8760</v>
      </c>
      <c r="CZ302" s="17">
        <v>8760</v>
      </c>
      <c r="DA302" s="17">
        <v>8760</v>
      </c>
      <c r="DB302" s="17">
        <v>8760</v>
      </c>
    </row>
    <row r="303" spans="1:106" s="17" customFormat="1" x14ac:dyDescent="0.25">
      <c r="A303" s="22" t="s">
        <v>320</v>
      </c>
      <c r="B303" s="17" t="s">
        <v>307</v>
      </c>
      <c r="C303" s="17" t="s">
        <v>438</v>
      </c>
      <c r="D303" s="17" t="s">
        <v>948</v>
      </c>
      <c r="E303" s="17" t="s">
        <v>949</v>
      </c>
      <c r="F303" s="17">
        <v>102607</v>
      </c>
      <c r="G303" s="17">
        <v>0</v>
      </c>
      <c r="H303" s="17">
        <v>0</v>
      </c>
      <c r="I303" s="17">
        <v>0</v>
      </c>
      <c r="J303" s="17">
        <v>0</v>
      </c>
      <c r="K303" s="17">
        <v>0</v>
      </c>
      <c r="L303" s="17">
        <v>0</v>
      </c>
      <c r="M303" s="17">
        <v>0</v>
      </c>
      <c r="N303" s="17">
        <v>0</v>
      </c>
      <c r="O303" s="17">
        <v>0</v>
      </c>
      <c r="P303" s="17">
        <v>0</v>
      </c>
      <c r="Q303" s="17">
        <v>0</v>
      </c>
      <c r="R303" s="17">
        <v>0</v>
      </c>
      <c r="S303" s="17">
        <v>0</v>
      </c>
      <c r="T303" s="17">
        <v>0</v>
      </c>
      <c r="U303" s="17">
        <v>0</v>
      </c>
      <c r="V303" s="17">
        <v>0</v>
      </c>
      <c r="W303" s="17">
        <v>0</v>
      </c>
      <c r="X303" s="17">
        <v>0</v>
      </c>
      <c r="Y303" s="17">
        <v>0</v>
      </c>
      <c r="Z303" s="17">
        <v>0</v>
      </c>
      <c r="AA303" s="17">
        <v>0</v>
      </c>
      <c r="AB303" s="17">
        <v>0</v>
      </c>
      <c r="AC303" s="17">
        <v>0</v>
      </c>
      <c r="AD303" s="17">
        <v>0</v>
      </c>
      <c r="AE303" s="17">
        <v>0</v>
      </c>
      <c r="AF303" s="17">
        <v>0</v>
      </c>
      <c r="AG303" s="17">
        <v>0</v>
      </c>
      <c r="AH303" s="17">
        <v>0</v>
      </c>
      <c r="AI303" s="17">
        <v>0</v>
      </c>
      <c r="AJ303" s="17">
        <v>0</v>
      </c>
      <c r="AK303" s="17">
        <v>0</v>
      </c>
      <c r="AL303" s="17">
        <v>0</v>
      </c>
      <c r="AM303" s="17">
        <v>0</v>
      </c>
      <c r="AN303" s="17">
        <v>0</v>
      </c>
      <c r="AO303" s="17">
        <v>8</v>
      </c>
      <c r="AP303" s="17">
        <v>23</v>
      </c>
      <c r="AQ303" s="17">
        <v>43</v>
      </c>
      <c r="AR303" s="17">
        <v>84</v>
      </c>
      <c r="AS303" s="17">
        <v>136</v>
      </c>
      <c r="AT303" s="17">
        <v>191</v>
      </c>
      <c r="AU303" s="17">
        <v>274</v>
      </c>
      <c r="AV303" s="17">
        <v>351</v>
      </c>
      <c r="AW303" s="17">
        <v>457</v>
      </c>
      <c r="AX303" s="17">
        <v>558</v>
      </c>
      <c r="AY303" s="17">
        <v>736</v>
      </c>
      <c r="AZ303" s="17">
        <v>918</v>
      </c>
      <c r="BA303" s="17">
        <v>1126</v>
      </c>
      <c r="BB303" s="17">
        <v>1338</v>
      </c>
      <c r="BC303" s="17">
        <v>1624</v>
      </c>
      <c r="BD303" s="17">
        <v>1959</v>
      </c>
      <c r="BE303" s="17">
        <v>2416</v>
      </c>
      <c r="BF303" s="17">
        <v>2816</v>
      </c>
      <c r="BG303" s="17">
        <v>3215</v>
      </c>
      <c r="BH303" s="17">
        <v>3542</v>
      </c>
      <c r="BI303" s="17">
        <v>3858</v>
      </c>
      <c r="BJ303" s="17">
        <v>4154</v>
      </c>
      <c r="BK303" s="17">
        <v>4475</v>
      </c>
      <c r="BL303" s="17">
        <v>4781</v>
      </c>
      <c r="BM303" s="17">
        <v>5145</v>
      </c>
      <c r="BN303" s="17">
        <v>5499</v>
      </c>
      <c r="BO303" s="17">
        <v>5800</v>
      </c>
      <c r="BP303" s="17">
        <v>6109</v>
      </c>
      <c r="BQ303" s="17">
        <v>6420</v>
      </c>
      <c r="BR303" s="17">
        <v>6806</v>
      </c>
      <c r="BS303" s="17">
        <v>7127</v>
      </c>
      <c r="BT303" s="17">
        <v>7432</v>
      </c>
      <c r="BU303" s="17">
        <v>7726</v>
      </c>
      <c r="BV303" s="17">
        <v>7971</v>
      </c>
      <c r="BW303" s="17">
        <v>8178</v>
      </c>
      <c r="BX303" s="17">
        <v>8335</v>
      </c>
      <c r="BY303" s="17">
        <v>8460</v>
      </c>
      <c r="BZ303" s="17">
        <v>8570</v>
      </c>
      <c r="CA303" s="17">
        <v>8637</v>
      </c>
      <c r="CB303" s="17">
        <v>8682</v>
      </c>
      <c r="CC303" s="17">
        <v>8710</v>
      </c>
      <c r="CD303" s="17">
        <v>8732</v>
      </c>
      <c r="CE303" s="17">
        <v>8743</v>
      </c>
      <c r="CF303" s="17">
        <v>8751</v>
      </c>
      <c r="CG303" s="17">
        <v>8758</v>
      </c>
      <c r="CH303" s="17">
        <v>8760</v>
      </c>
      <c r="CI303" s="17">
        <v>8760</v>
      </c>
      <c r="CJ303" s="17">
        <v>8760</v>
      </c>
      <c r="CK303" s="17">
        <v>8760</v>
      </c>
      <c r="CL303" s="17">
        <v>8760</v>
      </c>
      <c r="CM303" s="17">
        <v>8760</v>
      </c>
      <c r="CN303" s="17">
        <v>8760</v>
      </c>
      <c r="CO303" s="17">
        <v>8760</v>
      </c>
      <c r="CP303" s="17">
        <v>8760</v>
      </c>
      <c r="CQ303" s="17">
        <v>8760</v>
      </c>
      <c r="CR303" s="17">
        <v>8760</v>
      </c>
      <c r="CS303" s="17">
        <v>8760</v>
      </c>
      <c r="CT303" s="17">
        <v>8760</v>
      </c>
      <c r="CU303" s="17">
        <v>8760</v>
      </c>
      <c r="CV303" s="17">
        <v>8760</v>
      </c>
      <c r="CW303" s="17">
        <v>8760</v>
      </c>
      <c r="CX303" s="17">
        <v>8760</v>
      </c>
      <c r="CY303" s="17">
        <v>8760</v>
      </c>
      <c r="CZ303" s="17">
        <v>8760</v>
      </c>
      <c r="DA303" s="17">
        <v>8760</v>
      </c>
      <c r="DB303" s="17">
        <v>8760</v>
      </c>
    </row>
    <row r="304" spans="1:106" s="17" customFormat="1" x14ac:dyDescent="0.25">
      <c r="A304" s="22" t="s">
        <v>321</v>
      </c>
      <c r="B304" s="17" t="s">
        <v>308</v>
      </c>
      <c r="C304" s="17" t="s">
        <v>438</v>
      </c>
      <c r="D304" s="17" t="s">
        <v>757</v>
      </c>
      <c r="E304" s="17" t="s">
        <v>950</v>
      </c>
      <c r="F304" s="17">
        <v>102639</v>
      </c>
      <c r="G304" s="17">
        <v>0</v>
      </c>
      <c r="H304" s="17">
        <v>0</v>
      </c>
      <c r="I304" s="17">
        <v>0</v>
      </c>
      <c r="J304" s="17">
        <v>0</v>
      </c>
      <c r="K304" s="17">
        <v>0</v>
      </c>
      <c r="L304" s="17">
        <v>0</v>
      </c>
      <c r="M304" s="17">
        <v>0</v>
      </c>
      <c r="N304" s="17">
        <v>0</v>
      </c>
      <c r="O304" s="17">
        <v>0</v>
      </c>
      <c r="P304" s="17">
        <v>0</v>
      </c>
      <c r="Q304" s="17">
        <v>0</v>
      </c>
      <c r="R304" s="17">
        <v>0</v>
      </c>
      <c r="S304" s="17">
        <v>0</v>
      </c>
      <c r="T304" s="17">
        <v>0</v>
      </c>
      <c r="U304" s="17">
        <v>0</v>
      </c>
      <c r="V304" s="17">
        <v>0</v>
      </c>
      <c r="W304" s="17">
        <v>0</v>
      </c>
      <c r="X304" s="17">
        <v>0</v>
      </c>
      <c r="Y304" s="17">
        <v>0</v>
      </c>
      <c r="Z304" s="17">
        <v>0</v>
      </c>
      <c r="AA304" s="17">
        <v>0</v>
      </c>
      <c r="AB304" s="17">
        <v>0</v>
      </c>
      <c r="AC304" s="17">
        <v>0</v>
      </c>
      <c r="AD304" s="17">
        <v>0</v>
      </c>
      <c r="AE304" s="17">
        <v>0</v>
      </c>
      <c r="AF304" s="17">
        <v>0</v>
      </c>
      <c r="AG304" s="17">
        <v>0</v>
      </c>
      <c r="AH304" s="17">
        <v>0</v>
      </c>
      <c r="AI304" s="17">
        <v>0</v>
      </c>
      <c r="AJ304" s="17">
        <v>0</v>
      </c>
      <c r="AK304" s="17">
        <v>0</v>
      </c>
      <c r="AL304" s="17">
        <v>0</v>
      </c>
      <c r="AM304" s="17">
        <v>4</v>
      </c>
      <c r="AN304" s="17">
        <v>8</v>
      </c>
      <c r="AO304" s="17">
        <v>17</v>
      </c>
      <c r="AP304" s="17">
        <v>21</v>
      </c>
      <c r="AQ304" s="17">
        <v>41</v>
      </c>
      <c r="AR304" s="17">
        <v>74</v>
      </c>
      <c r="AS304" s="17">
        <v>107</v>
      </c>
      <c r="AT304" s="17">
        <v>138</v>
      </c>
      <c r="AU304" s="17">
        <v>205</v>
      </c>
      <c r="AV304" s="17">
        <v>267</v>
      </c>
      <c r="AW304" s="17">
        <v>354</v>
      </c>
      <c r="AX304" s="17">
        <v>458</v>
      </c>
      <c r="AY304" s="17">
        <v>597</v>
      </c>
      <c r="AZ304" s="17">
        <v>734</v>
      </c>
      <c r="BA304" s="17">
        <v>866</v>
      </c>
      <c r="BB304" s="17">
        <v>1084</v>
      </c>
      <c r="BC304" s="17">
        <v>1376</v>
      </c>
      <c r="BD304" s="17">
        <v>1735</v>
      </c>
      <c r="BE304" s="17">
        <v>2240</v>
      </c>
      <c r="BF304" s="17">
        <v>2676</v>
      </c>
      <c r="BG304" s="17">
        <v>3070</v>
      </c>
      <c r="BH304" s="17">
        <v>3427</v>
      </c>
      <c r="BI304" s="17">
        <v>3857</v>
      </c>
      <c r="BJ304" s="17">
        <v>4275</v>
      </c>
      <c r="BK304" s="17">
        <v>4617</v>
      </c>
      <c r="BL304" s="17">
        <v>4919</v>
      </c>
      <c r="BM304" s="17">
        <v>5171</v>
      </c>
      <c r="BN304" s="17">
        <v>5483</v>
      </c>
      <c r="BO304" s="17">
        <v>5776</v>
      </c>
      <c r="BP304" s="17">
        <v>6099</v>
      </c>
      <c r="BQ304" s="17">
        <v>6429</v>
      </c>
      <c r="BR304" s="17">
        <v>6805</v>
      </c>
      <c r="BS304" s="17">
        <v>7195</v>
      </c>
      <c r="BT304" s="17">
        <v>7485</v>
      </c>
      <c r="BU304" s="17">
        <v>7779</v>
      </c>
      <c r="BV304" s="17">
        <v>8010</v>
      </c>
      <c r="BW304" s="17">
        <v>8190</v>
      </c>
      <c r="BX304" s="17">
        <v>8337</v>
      </c>
      <c r="BY304" s="17">
        <v>8469</v>
      </c>
      <c r="BZ304" s="17">
        <v>8579</v>
      </c>
      <c r="CA304" s="17">
        <v>8641</v>
      </c>
      <c r="CB304" s="17">
        <v>8690</v>
      </c>
      <c r="CC304" s="17">
        <v>8717</v>
      </c>
      <c r="CD304" s="17">
        <v>8737</v>
      </c>
      <c r="CE304" s="17">
        <v>8746</v>
      </c>
      <c r="CF304" s="17">
        <v>8752</v>
      </c>
      <c r="CG304" s="17">
        <v>8756</v>
      </c>
      <c r="CH304" s="17">
        <v>8760</v>
      </c>
      <c r="CI304" s="17">
        <v>8760</v>
      </c>
      <c r="CJ304" s="17">
        <v>8760</v>
      </c>
      <c r="CK304" s="17">
        <v>8760</v>
      </c>
      <c r="CL304" s="17">
        <v>8760</v>
      </c>
      <c r="CM304" s="17">
        <v>8760</v>
      </c>
      <c r="CN304" s="17">
        <v>8760</v>
      </c>
      <c r="CO304" s="17">
        <v>8760</v>
      </c>
      <c r="CP304" s="17">
        <v>8760</v>
      </c>
      <c r="CQ304" s="17">
        <v>8760</v>
      </c>
      <c r="CR304" s="17">
        <v>8760</v>
      </c>
      <c r="CS304" s="17">
        <v>8760</v>
      </c>
      <c r="CT304" s="17">
        <v>8760</v>
      </c>
      <c r="CU304" s="17">
        <v>8760</v>
      </c>
      <c r="CV304" s="17">
        <v>8760</v>
      </c>
      <c r="CW304" s="17">
        <v>8760</v>
      </c>
      <c r="CX304" s="17">
        <v>8760</v>
      </c>
      <c r="CY304" s="17">
        <v>8760</v>
      </c>
      <c r="CZ304" s="17">
        <v>8760</v>
      </c>
      <c r="DA304" s="17">
        <v>8760</v>
      </c>
      <c r="DB304" s="17">
        <v>8760</v>
      </c>
    </row>
    <row r="305" spans="1:106" s="17" customFormat="1" x14ac:dyDescent="0.25">
      <c r="A305" s="22" t="s">
        <v>322</v>
      </c>
      <c r="B305" s="17" t="s">
        <v>309</v>
      </c>
      <c r="C305" s="17" t="s">
        <v>438</v>
      </c>
      <c r="D305" s="17" t="s">
        <v>951</v>
      </c>
      <c r="E305" s="17" t="s">
        <v>952</v>
      </c>
      <c r="F305" s="17">
        <v>102617</v>
      </c>
      <c r="G305" s="17">
        <v>0</v>
      </c>
      <c r="H305" s="17">
        <v>0</v>
      </c>
      <c r="I305" s="17">
        <v>0</v>
      </c>
      <c r="J305" s="17">
        <v>0</v>
      </c>
      <c r="K305" s="17">
        <v>0</v>
      </c>
      <c r="L305" s="17">
        <v>0</v>
      </c>
      <c r="M305" s="17">
        <v>0</v>
      </c>
      <c r="N305" s="17">
        <v>0</v>
      </c>
      <c r="O305" s="17">
        <v>0</v>
      </c>
      <c r="P305" s="17">
        <v>0</v>
      </c>
      <c r="Q305" s="17">
        <v>0</v>
      </c>
      <c r="R305" s="17">
        <v>0</v>
      </c>
      <c r="S305" s="17">
        <v>0</v>
      </c>
      <c r="T305" s="17">
        <v>0</v>
      </c>
      <c r="U305" s="17">
        <v>0</v>
      </c>
      <c r="V305" s="17">
        <v>0</v>
      </c>
      <c r="W305" s="17">
        <v>0</v>
      </c>
      <c r="X305" s="17">
        <v>0</v>
      </c>
      <c r="Y305" s="17">
        <v>0</v>
      </c>
      <c r="Z305" s="17">
        <v>0</v>
      </c>
      <c r="AA305" s="17">
        <v>0</v>
      </c>
      <c r="AB305" s="17">
        <v>0</v>
      </c>
      <c r="AC305" s="17">
        <v>0</v>
      </c>
      <c r="AD305" s="17">
        <v>0</v>
      </c>
      <c r="AE305" s="17">
        <v>1</v>
      </c>
      <c r="AF305" s="17">
        <v>5</v>
      </c>
      <c r="AG305" s="17">
        <v>8</v>
      </c>
      <c r="AH305" s="17">
        <v>12</v>
      </c>
      <c r="AI305" s="17">
        <v>19</v>
      </c>
      <c r="AJ305" s="17">
        <v>27</v>
      </c>
      <c r="AK305" s="17">
        <v>29</v>
      </c>
      <c r="AL305" s="17">
        <v>33</v>
      </c>
      <c r="AM305" s="17">
        <v>47</v>
      </c>
      <c r="AN305" s="17">
        <v>57</v>
      </c>
      <c r="AO305" s="17">
        <v>72</v>
      </c>
      <c r="AP305" s="17">
        <v>88</v>
      </c>
      <c r="AQ305" s="17">
        <v>119</v>
      </c>
      <c r="AR305" s="17">
        <v>145</v>
      </c>
      <c r="AS305" s="17">
        <v>170</v>
      </c>
      <c r="AT305" s="17">
        <v>212</v>
      </c>
      <c r="AU305" s="17">
        <v>283</v>
      </c>
      <c r="AV305" s="17">
        <v>352</v>
      </c>
      <c r="AW305" s="17">
        <v>456</v>
      </c>
      <c r="AX305" s="17">
        <v>580</v>
      </c>
      <c r="AY305" s="17">
        <v>769</v>
      </c>
      <c r="AZ305" s="17">
        <v>946</v>
      </c>
      <c r="BA305" s="17">
        <v>1206</v>
      </c>
      <c r="BB305" s="17">
        <v>1468</v>
      </c>
      <c r="BC305" s="17">
        <v>1799</v>
      </c>
      <c r="BD305" s="17">
        <v>2147</v>
      </c>
      <c r="BE305" s="17">
        <v>2551</v>
      </c>
      <c r="BF305" s="17">
        <v>2923</v>
      </c>
      <c r="BG305" s="17">
        <v>3273</v>
      </c>
      <c r="BH305" s="17">
        <v>3672</v>
      </c>
      <c r="BI305" s="17">
        <v>4023</v>
      </c>
      <c r="BJ305" s="17">
        <v>4408</v>
      </c>
      <c r="BK305" s="17">
        <v>4748</v>
      </c>
      <c r="BL305" s="17">
        <v>5073</v>
      </c>
      <c r="BM305" s="17">
        <v>5362</v>
      </c>
      <c r="BN305" s="17">
        <v>5702</v>
      </c>
      <c r="BO305" s="17">
        <v>6025</v>
      </c>
      <c r="BP305" s="17">
        <v>6318</v>
      </c>
      <c r="BQ305" s="17">
        <v>6643</v>
      </c>
      <c r="BR305" s="17">
        <v>7007</v>
      </c>
      <c r="BS305" s="17">
        <v>7267</v>
      </c>
      <c r="BT305" s="17">
        <v>7532</v>
      </c>
      <c r="BU305" s="17">
        <v>7768</v>
      </c>
      <c r="BV305" s="17">
        <v>7976</v>
      </c>
      <c r="BW305" s="17">
        <v>8147</v>
      </c>
      <c r="BX305" s="17">
        <v>8312</v>
      </c>
      <c r="BY305" s="17">
        <v>8430</v>
      </c>
      <c r="BZ305" s="17">
        <v>8512</v>
      </c>
      <c r="CA305" s="17">
        <v>8588</v>
      </c>
      <c r="CB305" s="17">
        <v>8633</v>
      </c>
      <c r="CC305" s="17">
        <v>8665</v>
      </c>
      <c r="CD305" s="17">
        <v>8686</v>
      </c>
      <c r="CE305" s="17">
        <v>8707</v>
      </c>
      <c r="CF305" s="17">
        <v>8726</v>
      </c>
      <c r="CG305" s="17">
        <v>8750</v>
      </c>
      <c r="CH305" s="17">
        <v>8760</v>
      </c>
      <c r="CI305" s="17">
        <v>8760</v>
      </c>
      <c r="CJ305" s="17">
        <v>8760</v>
      </c>
      <c r="CK305" s="17">
        <v>8760</v>
      </c>
      <c r="CL305" s="17">
        <v>8760</v>
      </c>
      <c r="CM305" s="17">
        <v>8760</v>
      </c>
      <c r="CN305" s="17">
        <v>8760</v>
      </c>
      <c r="CO305" s="17">
        <v>8760</v>
      </c>
      <c r="CP305" s="17">
        <v>8760</v>
      </c>
      <c r="CQ305" s="17">
        <v>8760</v>
      </c>
      <c r="CR305" s="17">
        <v>8760</v>
      </c>
      <c r="CS305" s="17">
        <v>8760</v>
      </c>
      <c r="CT305" s="17">
        <v>8760</v>
      </c>
      <c r="CU305" s="17">
        <v>8760</v>
      </c>
      <c r="CV305" s="17">
        <v>8760</v>
      </c>
      <c r="CW305" s="17">
        <v>8760</v>
      </c>
      <c r="CX305" s="17">
        <v>8760</v>
      </c>
      <c r="CY305" s="17">
        <v>8760</v>
      </c>
      <c r="CZ305" s="17">
        <v>8760</v>
      </c>
      <c r="DA305" s="17">
        <v>8760</v>
      </c>
      <c r="DB305" s="17">
        <v>8760</v>
      </c>
    </row>
    <row r="306" spans="1:106" s="17" customFormat="1" x14ac:dyDescent="0.25">
      <c r="A306" s="22" t="s">
        <v>323</v>
      </c>
      <c r="B306" s="17" t="s">
        <v>422</v>
      </c>
    </row>
    <row r="307" spans="1:106" s="17" customFormat="1" x14ac:dyDescent="0.25">
      <c r="A307" s="22" t="s">
        <v>324</v>
      </c>
      <c r="B307" s="17" t="s">
        <v>310</v>
      </c>
      <c r="C307" s="17" t="s">
        <v>438</v>
      </c>
      <c r="D307" s="17" t="s">
        <v>953</v>
      </c>
      <c r="E307" s="17" t="s">
        <v>954</v>
      </c>
      <c r="F307" s="17">
        <v>102418</v>
      </c>
      <c r="G307" s="17">
        <v>0</v>
      </c>
      <c r="H307" s="17">
        <v>0</v>
      </c>
      <c r="I307" s="17">
        <v>0</v>
      </c>
      <c r="J307" s="17">
        <v>0</v>
      </c>
      <c r="K307" s="17">
        <v>0</v>
      </c>
      <c r="L307" s="17">
        <v>0</v>
      </c>
      <c r="M307" s="17">
        <v>0</v>
      </c>
      <c r="N307" s="17">
        <v>0</v>
      </c>
      <c r="O307" s="17">
        <v>0</v>
      </c>
      <c r="P307" s="17">
        <v>0</v>
      </c>
      <c r="Q307" s="17">
        <v>0</v>
      </c>
      <c r="R307" s="17">
        <v>0</v>
      </c>
      <c r="S307" s="17">
        <v>0</v>
      </c>
      <c r="T307" s="17">
        <v>0</v>
      </c>
      <c r="U307" s="17">
        <v>0</v>
      </c>
      <c r="V307" s="17">
        <v>0</v>
      </c>
      <c r="W307" s="17">
        <v>0</v>
      </c>
      <c r="X307" s="17">
        <v>0</v>
      </c>
      <c r="Y307" s="17">
        <v>0</v>
      </c>
      <c r="Z307" s="17">
        <v>0</v>
      </c>
      <c r="AA307" s="17">
        <v>0</v>
      </c>
      <c r="AB307" s="17">
        <v>0</v>
      </c>
      <c r="AC307" s="17">
        <v>0</v>
      </c>
      <c r="AD307" s="17">
        <v>0</v>
      </c>
      <c r="AE307" s="17">
        <v>0</v>
      </c>
      <c r="AF307" s="17">
        <v>0</v>
      </c>
      <c r="AG307" s="17">
        <v>0</v>
      </c>
      <c r="AH307" s="17">
        <v>0</v>
      </c>
      <c r="AI307" s="17">
        <v>0</v>
      </c>
      <c r="AJ307" s="17">
        <v>3</v>
      </c>
      <c r="AK307" s="17">
        <v>5</v>
      </c>
      <c r="AL307" s="17">
        <v>6</v>
      </c>
      <c r="AM307" s="17">
        <v>19</v>
      </c>
      <c r="AN307" s="17">
        <v>24</v>
      </c>
      <c r="AO307" s="17">
        <v>29</v>
      </c>
      <c r="AP307" s="17">
        <v>37</v>
      </c>
      <c r="AQ307" s="17">
        <v>41</v>
      </c>
      <c r="AR307" s="17">
        <v>47</v>
      </c>
      <c r="AS307" s="17">
        <v>72</v>
      </c>
      <c r="AT307" s="17">
        <v>92</v>
      </c>
      <c r="AU307" s="17">
        <v>123</v>
      </c>
      <c r="AV307" s="17">
        <v>162</v>
      </c>
      <c r="AW307" s="17">
        <v>228</v>
      </c>
      <c r="AX307" s="17">
        <v>316</v>
      </c>
      <c r="AY307" s="17">
        <v>400</v>
      </c>
      <c r="AZ307" s="17">
        <v>509</v>
      </c>
      <c r="BA307" s="17">
        <v>692</v>
      </c>
      <c r="BB307" s="17">
        <v>949</v>
      </c>
      <c r="BC307" s="17">
        <v>1308</v>
      </c>
      <c r="BD307" s="17">
        <v>1726</v>
      </c>
      <c r="BE307" s="17">
        <v>2238</v>
      </c>
      <c r="BF307" s="17">
        <v>2644</v>
      </c>
      <c r="BG307" s="17">
        <v>3030</v>
      </c>
      <c r="BH307" s="17">
        <v>3415</v>
      </c>
      <c r="BI307" s="17">
        <v>3730</v>
      </c>
      <c r="BJ307" s="17">
        <v>4080</v>
      </c>
      <c r="BK307" s="17">
        <v>4372</v>
      </c>
      <c r="BL307" s="17">
        <v>4711</v>
      </c>
      <c r="BM307" s="17">
        <v>5101</v>
      </c>
      <c r="BN307" s="17">
        <v>5509</v>
      </c>
      <c r="BO307" s="17">
        <v>5923</v>
      </c>
      <c r="BP307" s="17">
        <v>6394</v>
      </c>
      <c r="BQ307" s="17">
        <v>6750</v>
      </c>
      <c r="BR307" s="17">
        <v>7105</v>
      </c>
      <c r="BS307" s="17">
        <v>7459</v>
      </c>
      <c r="BT307" s="17">
        <v>7755</v>
      </c>
      <c r="BU307" s="17">
        <v>8022</v>
      </c>
      <c r="BV307" s="17">
        <v>8226</v>
      </c>
      <c r="BW307" s="17">
        <v>8389</v>
      </c>
      <c r="BX307" s="17">
        <v>8521</v>
      </c>
      <c r="BY307" s="17">
        <v>8607</v>
      </c>
      <c r="BZ307" s="17">
        <v>8662</v>
      </c>
      <c r="CA307" s="17">
        <v>8698</v>
      </c>
      <c r="CB307" s="17">
        <v>8718</v>
      </c>
      <c r="CC307" s="17">
        <v>8738</v>
      </c>
      <c r="CD307" s="17">
        <v>8753</v>
      </c>
      <c r="CE307" s="17">
        <v>8758</v>
      </c>
      <c r="CF307" s="17">
        <v>8760</v>
      </c>
      <c r="CG307" s="17">
        <v>8760</v>
      </c>
      <c r="CH307" s="17">
        <v>8760</v>
      </c>
      <c r="CI307" s="17">
        <v>8760</v>
      </c>
      <c r="CJ307" s="17">
        <v>8760</v>
      </c>
      <c r="CK307" s="17">
        <v>8760</v>
      </c>
      <c r="CL307" s="17">
        <v>8760</v>
      </c>
      <c r="CM307" s="17">
        <v>8760</v>
      </c>
      <c r="CN307" s="17">
        <v>8760</v>
      </c>
      <c r="CO307" s="17">
        <v>8760</v>
      </c>
      <c r="CP307" s="17">
        <v>8760</v>
      </c>
      <c r="CQ307" s="17">
        <v>8760</v>
      </c>
      <c r="CR307" s="17">
        <v>8760</v>
      </c>
      <c r="CS307" s="17">
        <v>8760</v>
      </c>
      <c r="CT307" s="17">
        <v>8760</v>
      </c>
      <c r="CU307" s="17">
        <v>8760</v>
      </c>
      <c r="CV307" s="17">
        <v>8760</v>
      </c>
      <c r="CW307" s="17">
        <v>8760</v>
      </c>
      <c r="CX307" s="17">
        <v>8760</v>
      </c>
      <c r="CY307" s="17">
        <v>8760</v>
      </c>
      <c r="CZ307" s="17">
        <v>8760</v>
      </c>
      <c r="DA307" s="17">
        <v>8760</v>
      </c>
      <c r="DB307" s="17">
        <v>8760</v>
      </c>
    </row>
    <row r="308" spans="1:106" s="17" customFormat="1" x14ac:dyDescent="0.25">
      <c r="A308" s="22" t="s">
        <v>325</v>
      </c>
      <c r="B308" s="17" t="s">
        <v>311</v>
      </c>
      <c r="C308" s="17" t="s">
        <v>438</v>
      </c>
      <c r="D308" s="17" t="s">
        <v>955</v>
      </c>
      <c r="E308" s="17" t="s">
        <v>956</v>
      </c>
      <c r="F308" s="17">
        <v>102319</v>
      </c>
      <c r="G308" s="17">
        <v>0</v>
      </c>
      <c r="H308" s="17">
        <v>0</v>
      </c>
      <c r="I308" s="17">
        <v>0</v>
      </c>
      <c r="J308" s="17">
        <v>0</v>
      </c>
      <c r="K308" s="17">
        <v>0</v>
      </c>
      <c r="L308" s="17">
        <v>0</v>
      </c>
      <c r="M308" s="17">
        <v>0</v>
      </c>
      <c r="N308" s="17">
        <v>0</v>
      </c>
      <c r="O308" s="17">
        <v>0</v>
      </c>
      <c r="P308" s="17">
        <v>0</v>
      </c>
      <c r="Q308" s="17">
        <v>0</v>
      </c>
      <c r="R308" s="17">
        <v>0</v>
      </c>
      <c r="S308" s="17">
        <v>0</v>
      </c>
      <c r="T308" s="17">
        <v>0</v>
      </c>
      <c r="U308" s="17">
        <v>0</v>
      </c>
      <c r="V308" s="17">
        <v>0</v>
      </c>
      <c r="W308" s="17">
        <v>0</v>
      </c>
      <c r="X308" s="17">
        <v>0</v>
      </c>
      <c r="Y308" s="17">
        <v>0</v>
      </c>
      <c r="Z308" s="17">
        <v>0</v>
      </c>
      <c r="AA308" s="17">
        <v>0</v>
      </c>
      <c r="AB308" s="17">
        <v>0</v>
      </c>
      <c r="AC308" s="17">
        <v>0</v>
      </c>
      <c r="AD308" s="17">
        <v>0</v>
      </c>
      <c r="AE308" s="17">
        <v>0</v>
      </c>
      <c r="AF308" s="17">
        <v>0</v>
      </c>
      <c r="AG308" s="17">
        <v>0</v>
      </c>
      <c r="AH308" s="17">
        <v>0</v>
      </c>
      <c r="AI308" s="17">
        <v>0</v>
      </c>
      <c r="AJ308" s="17">
        <v>0</v>
      </c>
      <c r="AK308" s="17">
        <v>0</v>
      </c>
      <c r="AL308" s="17">
        <v>1</v>
      </c>
      <c r="AM308" s="17">
        <v>3</v>
      </c>
      <c r="AN308" s="17">
        <v>9</v>
      </c>
      <c r="AO308" s="17">
        <v>15</v>
      </c>
      <c r="AP308" s="17">
        <v>30</v>
      </c>
      <c r="AQ308" s="17">
        <v>55</v>
      </c>
      <c r="AR308" s="17">
        <v>74</v>
      </c>
      <c r="AS308" s="17">
        <v>110</v>
      </c>
      <c r="AT308" s="17">
        <v>142</v>
      </c>
      <c r="AU308" s="17">
        <v>203</v>
      </c>
      <c r="AV308" s="17">
        <v>252</v>
      </c>
      <c r="AW308" s="17">
        <v>322</v>
      </c>
      <c r="AX308" s="17">
        <v>412</v>
      </c>
      <c r="AY308" s="17">
        <v>535</v>
      </c>
      <c r="AZ308" s="17">
        <v>677</v>
      </c>
      <c r="BA308" s="17">
        <v>843</v>
      </c>
      <c r="BB308" s="17">
        <v>1112</v>
      </c>
      <c r="BC308" s="17">
        <v>1456</v>
      </c>
      <c r="BD308" s="17">
        <v>1865</v>
      </c>
      <c r="BE308" s="17">
        <v>2345</v>
      </c>
      <c r="BF308" s="17">
        <v>2808</v>
      </c>
      <c r="BG308" s="17">
        <v>3264</v>
      </c>
      <c r="BH308" s="17">
        <v>3694</v>
      </c>
      <c r="BI308" s="17">
        <v>4040</v>
      </c>
      <c r="BJ308" s="17">
        <v>4384</v>
      </c>
      <c r="BK308" s="17">
        <v>4706</v>
      </c>
      <c r="BL308" s="17">
        <v>5052</v>
      </c>
      <c r="BM308" s="17">
        <v>5421</v>
      </c>
      <c r="BN308" s="17">
        <v>5829</v>
      </c>
      <c r="BO308" s="17">
        <v>6246</v>
      </c>
      <c r="BP308" s="17">
        <v>6607</v>
      </c>
      <c r="BQ308" s="17">
        <v>6944</v>
      </c>
      <c r="BR308" s="17">
        <v>7229</v>
      </c>
      <c r="BS308" s="17">
        <v>7508</v>
      </c>
      <c r="BT308" s="17">
        <v>7745</v>
      </c>
      <c r="BU308" s="17">
        <v>7934</v>
      </c>
      <c r="BV308" s="17">
        <v>8087</v>
      </c>
      <c r="BW308" s="17">
        <v>8222</v>
      </c>
      <c r="BX308" s="17">
        <v>8321</v>
      </c>
      <c r="BY308" s="17">
        <v>8424</v>
      </c>
      <c r="BZ308" s="17">
        <v>8513</v>
      </c>
      <c r="CA308" s="17">
        <v>8583</v>
      </c>
      <c r="CB308" s="17">
        <v>8650</v>
      </c>
      <c r="CC308" s="17">
        <v>8699</v>
      </c>
      <c r="CD308" s="17">
        <v>8735</v>
      </c>
      <c r="CE308" s="17">
        <v>8748</v>
      </c>
      <c r="CF308" s="17">
        <v>8757</v>
      </c>
      <c r="CG308" s="17">
        <v>8760</v>
      </c>
      <c r="CH308" s="17">
        <v>8760</v>
      </c>
      <c r="CI308" s="17">
        <v>8760</v>
      </c>
      <c r="CJ308" s="17">
        <v>8760</v>
      </c>
      <c r="CK308" s="17">
        <v>8760</v>
      </c>
      <c r="CL308" s="17">
        <v>8760</v>
      </c>
      <c r="CM308" s="17">
        <v>8760</v>
      </c>
      <c r="CN308" s="17">
        <v>8760</v>
      </c>
      <c r="CO308" s="17">
        <v>8760</v>
      </c>
      <c r="CP308" s="17">
        <v>8760</v>
      </c>
      <c r="CQ308" s="17">
        <v>8760</v>
      </c>
      <c r="CR308" s="17">
        <v>8760</v>
      </c>
      <c r="CS308" s="17">
        <v>8760</v>
      </c>
      <c r="CT308" s="17">
        <v>8760</v>
      </c>
      <c r="CU308" s="17">
        <v>8760</v>
      </c>
      <c r="CV308" s="17">
        <v>8760</v>
      </c>
      <c r="CW308" s="17">
        <v>8760</v>
      </c>
      <c r="CX308" s="17">
        <v>8760</v>
      </c>
      <c r="CY308" s="17">
        <v>8760</v>
      </c>
      <c r="CZ308" s="17">
        <v>8760</v>
      </c>
      <c r="DA308" s="17">
        <v>8760</v>
      </c>
      <c r="DB308" s="17">
        <v>8760</v>
      </c>
    </row>
    <row r="309" spans="1:106" s="17" customFormat="1" x14ac:dyDescent="0.25">
      <c r="A309" s="22" t="s">
        <v>326</v>
      </c>
      <c r="B309" s="17" t="s">
        <v>312</v>
      </c>
      <c r="C309" s="17" t="s">
        <v>438</v>
      </c>
      <c r="D309" s="17" t="s">
        <v>957</v>
      </c>
      <c r="E309" s="17" t="s">
        <v>958</v>
      </c>
      <c r="F309" s="17">
        <v>102405</v>
      </c>
      <c r="G309" s="17">
        <v>0</v>
      </c>
      <c r="H309" s="17">
        <v>0</v>
      </c>
      <c r="I309" s="17">
        <v>0</v>
      </c>
      <c r="J309" s="17">
        <v>0</v>
      </c>
      <c r="K309" s="17">
        <v>0</v>
      </c>
      <c r="L309" s="17">
        <v>0</v>
      </c>
      <c r="M309" s="17">
        <v>0</v>
      </c>
      <c r="N309" s="17">
        <v>0</v>
      </c>
      <c r="O309" s="17">
        <v>0</v>
      </c>
      <c r="P309" s="17">
        <v>0</v>
      </c>
      <c r="Q309" s="17">
        <v>0</v>
      </c>
      <c r="R309" s="17">
        <v>0</v>
      </c>
      <c r="S309" s="17">
        <v>0</v>
      </c>
      <c r="T309" s="17">
        <v>0</v>
      </c>
      <c r="U309" s="17">
        <v>0</v>
      </c>
      <c r="V309" s="17">
        <v>0</v>
      </c>
      <c r="W309" s="17">
        <v>0</v>
      </c>
      <c r="X309" s="17">
        <v>0</v>
      </c>
      <c r="Y309" s="17">
        <v>0</v>
      </c>
      <c r="Z309" s="17">
        <v>0</v>
      </c>
      <c r="AA309" s="17">
        <v>0</v>
      </c>
      <c r="AB309" s="17">
        <v>0</v>
      </c>
      <c r="AC309" s="17">
        <v>0</v>
      </c>
      <c r="AD309" s="17">
        <v>0</v>
      </c>
      <c r="AE309" s="17">
        <v>0</v>
      </c>
      <c r="AF309" s="17">
        <v>0</v>
      </c>
      <c r="AG309" s="17">
        <v>0</v>
      </c>
      <c r="AH309" s="17">
        <v>0</v>
      </c>
      <c r="AI309" s="17">
        <v>0</v>
      </c>
      <c r="AJ309" s="17">
        <v>1</v>
      </c>
      <c r="AK309" s="17">
        <v>3</v>
      </c>
      <c r="AL309" s="17">
        <v>5</v>
      </c>
      <c r="AM309" s="17">
        <v>10</v>
      </c>
      <c r="AN309" s="17">
        <v>11</v>
      </c>
      <c r="AO309" s="17">
        <v>13</v>
      </c>
      <c r="AP309" s="17">
        <v>20</v>
      </c>
      <c r="AQ309" s="17">
        <v>39</v>
      </c>
      <c r="AR309" s="17">
        <v>63</v>
      </c>
      <c r="AS309" s="17">
        <v>91</v>
      </c>
      <c r="AT309" s="17">
        <v>128</v>
      </c>
      <c r="AU309" s="17">
        <v>176</v>
      </c>
      <c r="AV309" s="17">
        <v>237</v>
      </c>
      <c r="AW309" s="17">
        <v>292</v>
      </c>
      <c r="AX309" s="17">
        <v>354</v>
      </c>
      <c r="AY309" s="17">
        <v>472</v>
      </c>
      <c r="AZ309" s="17">
        <v>611</v>
      </c>
      <c r="BA309" s="17">
        <v>785</v>
      </c>
      <c r="BB309" s="17">
        <v>991</v>
      </c>
      <c r="BC309" s="17">
        <v>1251</v>
      </c>
      <c r="BD309" s="17">
        <v>1564</v>
      </c>
      <c r="BE309" s="17">
        <v>1980</v>
      </c>
      <c r="BF309" s="17">
        <v>2357</v>
      </c>
      <c r="BG309" s="17">
        <v>2767</v>
      </c>
      <c r="BH309" s="17">
        <v>3185</v>
      </c>
      <c r="BI309" s="17">
        <v>3652</v>
      </c>
      <c r="BJ309" s="17">
        <v>4055</v>
      </c>
      <c r="BK309" s="17">
        <v>4420</v>
      </c>
      <c r="BL309" s="17">
        <v>4742</v>
      </c>
      <c r="BM309" s="17">
        <v>5066</v>
      </c>
      <c r="BN309" s="17">
        <v>5439</v>
      </c>
      <c r="BO309" s="17">
        <v>5773</v>
      </c>
      <c r="BP309" s="17">
        <v>6134</v>
      </c>
      <c r="BQ309" s="17">
        <v>6449</v>
      </c>
      <c r="BR309" s="17">
        <v>6764</v>
      </c>
      <c r="BS309" s="17">
        <v>7131</v>
      </c>
      <c r="BT309" s="17">
        <v>7468</v>
      </c>
      <c r="BU309" s="17">
        <v>7710</v>
      </c>
      <c r="BV309" s="17">
        <v>7910</v>
      </c>
      <c r="BW309" s="17">
        <v>8090</v>
      </c>
      <c r="BX309" s="17">
        <v>8256</v>
      </c>
      <c r="BY309" s="17">
        <v>8373</v>
      </c>
      <c r="BZ309" s="17">
        <v>8460</v>
      </c>
      <c r="CA309" s="17">
        <v>8539</v>
      </c>
      <c r="CB309" s="17">
        <v>8607</v>
      </c>
      <c r="CC309" s="17">
        <v>8663</v>
      </c>
      <c r="CD309" s="17">
        <v>8705</v>
      </c>
      <c r="CE309" s="17">
        <v>8726</v>
      </c>
      <c r="CF309" s="17">
        <v>8740</v>
      </c>
      <c r="CG309" s="17">
        <v>8751</v>
      </c>
      <c r="CH309" s="17">
        <v>8759</v>
      </c>
      <c r="CI309" s="17">
        <v>8760</v>
      </c>
      <c r="CJ309" s="17">
        <v>8760</v>
      </c>
      <c r="CK309" s="17">
        <v>8760</v>
      </c>
      <c r="CL309" s="17">
        <v>8760</v>
      </c>
      <c r="CM309" s="17">
        <v>8760</v>
      </c>
      <c r="CN309" s="17">
        <v>8760</v>
      </c>
      <c r="CO309" s="17">
        <v>8760</v>
      </c>
      <c r="CP309" s="17">
        <v>8760</v>
      </c>
      <c r="CQ309" s="17">
        <v>8760</v>
      </c>
      <c r="CR309" s="17">
        <v>8760</v>
      </c>
      <c r="CS309" s="17">
        <v>8760</v>
      </c>
      <c r="CT309" s="17">
        <v>8760</v>
      </c>
      <c r="CU309" s="17">
        <v>8760</v>
      </c>
      <c r="CV309" s="17">
        <v>8760</v>
      </c>
      <c r="CW309" s="17">
        <v>8760</v>
      </c>
      <c r="CX309" s="17">
        <v>8760</v>
      </c>
      <c r="CY309" s="17">
        <v>8760</v>
      </c>
      <c r="CZ309" s="17">
        <v>8760</v>
      </c>
      <c r="DA309" s="17">
        <v>8760</v>
      </c>
      <c r="DB309" s="17">
        <v>8760</v>
      </c>
    </row>
    <row r="310" spans="1:106" s="17" customFormat="1" x14ac:dyDescent="0.25">
      <c r="A310" s="22" t="s">
        <v>327</v>
      </c>
      <c r="B310" s="17" t="s">
        <v>313</v>
      </c>
      <c r="C310" s="17" t="s">
        <v>438</v>
      </c>
      <c r="D310" s="17" t="s">
        <v>959</v>
      </c>
      <c r="E310" s="17" t="s">
        <v>960</v>
      </c>
      <c r="F310" s="17">
        <v>102649</v>
      </c>
      <c r="G310" s="17">
        <v>0</v>
      </c>
      <c r="H310" s="17">
        <v>0</v>
      </c>
      <c r="I310" s="17">
        <v>0</v>
      </c>
      <c r="J310" s="17">
        <v>0</v>
      </c>
      <c r="K310" s="17">
        <v>0</v>
      </c>
      <c r="L310" s="17">
        <v>0</v>
      </c>
      <c r="M310" s="17">
        <v>0</v>
      </c>
      <c r="N310" s="17">
        <v>0</v>
      </c>
      <c r="O310" s="17">
        <v>0</v>
      </c>
      <c r="P310" s="17">
        <v>0</v>
      </c>
      <c r="Q310" s="17">
        <v>0</v>
      </c>
      <c r="R310" s="17">
        <v>0</v>
      </c>
      <c r="S310" s="17">
        <v>0</v>
      </c>
      <c r="T310" s="17">
        <v>0</v>
      </c>
      <c r="U310" s="17">
        <v>0</v>
      </c>
      <c r="V310" s="17">
        <v>0</v>
      </c>
      <c r="W310" s="17">
        <v>0</v>
      </c>
      <c r="X310" s="17">
        <v>0</v>
      </c>
      <c r="Y310" s="17">
        <v>0</v>
      </c>
      <c r="Z310" s="17">
        <v>0</v>
      </c>
      <c r="AA310" s="17">
        <v>0</v>
      </c>
      <c r="AB310" s="17">
        <v>0</v>
      </c>
      <c r="AC310" s="17">
        <v>0</v>
      </c>
      <c r="AD310" s="17">
        <v>0</v>
      </c>
      <c r="AE310" s="17">
        <v>0</v>
      </c>
      <c r="AF310" s="17">
        <v>0</v>
      </c>
      <c r="AG310" s="17">
        <v>0</v>
      </c>
      <c r="AH310" s="17">
        <v>0</v>
      </c>
      <c r="AI310" s="17">
        <v>0</v>
      </c>
      <c r="AJ310" s="17">
        <v>0</v>
      </c>
      <c r="AK310" s="17">
        <v>0</v>
      </c>
      <c r="AL310" s="17">
        <v>0</v>
      </c>
      <c r="AM310" s="17">
        <v>4</v>
      </c>
      <c r="AN310" s="17">
        <v>7</v>
      </c>
      <c r="AO310" s="17">
        <v>15</v>
      </c>
      <c r="AP310" s="17">
        <v>44</v>
      </c>
      <c r="AQ310" s="17">
        <v>74</v>
      </c>
      <c r="AR310" s="17">
        <v>109</v>
      </c>
      <c r="AS310" s="17">
        <v>150</v>
      </c>
      <c r="AT310" s="17">
        <v>189</v>
      </c>
      <c r="AU310" s="17">
        <v>239</v>
      </c>
      <c r="AV310" s="17">
        <v>299</v>
      </c>
      <c r="AW310" s="17">
        <v>386</v>
      </c>
      <c r="AX310" s="17">
        <v>503</v>
      </c>
      <c r="AY310" s="17">
        <v>667</v>
      </c>
      <c r="AZ310" s="17">
        <v>891</v>
      </c>
      <c r="BA310" s="17">
        <v>1113</v>
      </c>
      <c r="BB310" s="17">
        <v>1346</v>
      </c>
      <c r="BC310" s="17">
        <v>1615</v>
      </c>
      <c r="BD310" s="17">
        <v>1927</v>
      </c>
      <c r="BE310" s="17">
        <v>2394</v>
      </c>
      <c r="BF310" s="17">
        <v>2849</v>
      </c>
      <c r="BG310" s="17">
        <v>3238</v>
      </c>
      <c r="BH310" s="17">
        <v>3583</v>
      </c>
      <c r="BI310" s="17">
        <v>3939</v>
      </c>
      <c r="BJ310" s="17">
        <v>4318</v>
      </c>
      <c r="BK310" s="17">
        <v>4619</v>
      </c>
      <c r="BL310" s="17">
        <v>4886</v>
      </c>
      <c r="BM310" s="17">
        <v>5148</v>
      </c>
      <c r="BN310" s="17">
        <v>5446</v>
      </c>
      <c r="BO310" s="17">
        <v>5776</v>
      </c>
      <c r="BP310" s="17">
        <v>6106</v>
      </c>
      <c r="BQ310" s="17">
        <v>6434</v>
      </c>
      <c r="BR310" s="17">
        <v>6797</v>
      </c>
      <c r="BS310" s="17">
        <v>7120</v>
      </c>
      <c r="BT310" s="17">
        <v>7430</v>
      </c>
      <c r="BU310" s="17">
        <v>7682</v>
      </c>
      <c r="BV310" s="17">
        <v>7902</v>
      </c>
      <c r="BW310" s="17">
        <v>8097</v>
      </c>
      <c r="BX310" s="17">
        <v>8278</v>
      </c>
      <c r="BY310" s="17">
        <v>8424</v>
      </c>
      <c r="BZ310" s="17">
        <v>8519</v>
      </c>
      <c r="CA310" s="17">
        <v>8589</v>
      </c>
      <c r="CB310" s="17">
        <v>8647</v>
      </c>
      <c r="CC310" s="17">
        <v>8692</v>
      </c>
      <c r="CD310" s="17">
        <v>8714</v>
      </c>
      <c r="CE310" s="17">
        <v>8732</v>
      </c>
      <c r="CF310" s="17">
        <v>8747</v>
      </c>
      <c r="CG310" s="17">
        <v>8756</v>
      </c>
      <c r="CH310" s="17">
        <v>8760</v>
      </c>
      <c r="CI310" s="17">
        <v>8760</v>
      </c>
      <c r="CJ310" s="17">
        <v>8760</v>
      </c>
      <c r="CK310" s="17">
        <v>8760</v>
      </c>
      <c r="CL310" s="17">
        <v>8760</v>
      </c>
      <c r="CM310" s="17">
        <v>8760</v>
      </c>
      <c r="CN310" s="17">
        <v>8760</v>
      </c>
      <c r="CO310" s="17">
        <v>8760</v>
      </c>
      <c r="CP310" s="17">
        <v>8760</v>
      </c>
      <c r="CQ310" s="17">
        <v>8760</v>
      </c>
      <c r="CR310" s="17">
        <v>8760</v>
      </c>
      <c r="CS310" s="17">
        <v>8760</v>
      </c>
      <c r="CT310" s="17">
        <v>8760</v>
      </c>
      <c r="CU310" s="17">
        <v>8760</v>
      </c>
      <c r="CV310" s="17">
        <v>8760</v>
      </c>
      <c r="CW310" s="17">
        <v>8760</v>
      </c>
      <c r="CX310" s="17">
        <v>8760</v>
      </c>
      <c r="CY310" s="17">
        <v>8760</v>
      </c>
      <c r="CZ310" s="17">
        <v>8760</v>
      </c>
      <c r="DA310" s="17">
        <v>8760</v>
      </c>
      <c r="DB310" s="17">
        <v>8760</v>
      </c>
    </row>
    <row r="311" spans="1:106" s="17" customFormat="1" x14ac:dyDescent="0.25">
      <c r="A311" s="22" t="s">
        <v>328</v>
      </c>
      <c r="B311" s="17" t="s">
        <v>316</v>
      </c>
      <c r="C311" s="17" t="s">
        <v>438</v>
      </c>
      <c r="D311" s="17" t="s">
        <v>961</v>
      </c>
      <c r="E311" s="17" t="s">
        <v>962</v>
      </c>
      <c r="F311" s="17">
        <v>102705</v>
      </c>
      <c r="G311" s="17">
        <v>0</v>
      </c>
      <c r="H311" s="17">
        <v>0</v>
      </c>
      <c r="I311" s="17">
        <v>0</v>
      </c>
      <c r="J311" s="17">
        <v>0</v>
      </c>
      <c r="K311" s="17">
        <v>0</v>
      </c>
      <c r="L311" s="17">
        <v>0</v>
      </c>
      <c r="M311" s="17">
        <v>0</v>
      </c>
      <c r="N311" s="17">
        <v>0</v>
      </c>
      <c r="O311" s="17">
        <v>0</v>
      </c>
      <c r="P311" s="17">
        <v>0</v>
      </c>
      <c r="Q311" s="17">
        <v>0</v>
      </c>
      <c r="R311" s="17">
        <v>0</v>
      </c>
      <c r="S311" s="17">
        <v>0</v>
      </c>
      <c r="T311" s="17">
        <v>0</v>
      </c>
      <c r="U311" s="17">
        <v>0</v>
      </c>
      <c r="V311" s="17">
        <v>0</v>
      </c>
      <c r="W311" s="17">
        <v>0</v>
      </c>
      <c r="X311" s="17">
        <v>0</v>
      </c>
      <c r="Y311" s="17">
        <v>0</v>
      </c>
      <c r="Z311" s="17">
        <v>0</v>
      </c>
      <c r="AA311" s="17">
        <v>0</v>
      </c>
      <c r="AB311" s="17">
        <v>0</v>
      </c>
      <c r="AC311" s="17">
        <v>0</v>
      </c>
      <c r="AD311" s="17">
        <v>0</v>
      </c>
      <c r="AE311" s="17">
        <v>3</v>
      </c>
      <c r="AF311" s="17">
        <v>9</v>
      </c>
      <c r="AG311" s="17">
        <v>14</v>
      </c>
      <c r="AH311" s="17">
        <v>18</v>
      </c>
      <c r="AI311" s="17">
        <v>33</v>
      </c>
      <c r="AJ311" s="17">
        <v>40</v>
      </c>
      <c r="AK311" s="17">
        <v>65</v>
      </c>
      <c r="AL311" s="17">
        <v>92</v>
      </c>
      <c r="AM311" s="17">
        <v>121</v>
      </c>
      <c r="AN311" s="17">
        <v>155</v>
      </c>
      <c r="AO311" s="17">
        <v>182</v>
      </c>
      <c r="AP311" s="17">
        <v>228</v>
      </c>
      <c r="AQ311" s="17">
        <v>294</v>
      </c>
      <c r="AR311" s="17">
        <v>370</v>
      </c>
      <c r="AS311" s="17">
        <v>477</v>
      </c>
      <c r="AT311" s="17">
        <v>582</v>
      </c>
      <c r="AU311" s="17">
        <v>701</v>
      </c>
      <c r="AV311" s="17">
        <v>842</v>
      </c>
      <c r="AW311" s="17">
        <v>963</v>
      </c>
      <c r="AX311" s="17">
        <v>1111</v>
      </c>
      <c r="AY311" s="17">
        <v>1273</v>
      </c>
      <c r="AZ311" s="17">
        <v>1495</v>
      </c>
      <c r="BA311" s="17">
        <v>1775</v>
      </c>
      <c r="BB311" s="17">
        <v>2087</v>
      </c>
      <c r="BC311" s="17">
        <v>2402</v>
      </c>
      <c r="BD311" s="17">
        <v>2753</v>
      </c>
      <c r="BE311" s="17">
        <v>3141</v>
      </c>
      <c r="BF311" s="17">
        <v>3506</v>
      </c>
      <c r="BG311" s="17">
        <v>3843</v>
      </c>
      <c r="BH311" s="17">
        <v>4139</v>
      </c>
      <c r="BI311" s="17">
        <v>4492</v>
      </c>
      <c r="BJ311" s="17">
        <v>4843</v>
      </c>
      <c r="BK311" s="17">
        <v>5209</v>
      </c>
      <c r="BL311" s="17">
        <v>5541</v>
      </c>
      <c r="BM311" s="17">
        <v>5862</v>
      </c>
      <c r="BN311" s="17">
        <v>6170</v>
      </c>
      <c r="BO311" s="17">
        <v>6503</v>
      </c>
      <c r="BP311" s="17">
        <v>6835</v>
      </c>
      <c r="BQ311" s="17">
        <v>7109</v>
      </c>
      <c r="BR311" s="17">
        <v>7368</v>
      </c>
      <c r="BS311" s="17">
        <v>7623</v>
      </c>
      <c r="BT311" s="17">
        <v>7837</v>
      </c>
      <c r="BU311" s="17">
        <v>8017</v>
      </c>
      <c r="BV311" s="17">
        <v>8185</v>
      </c>
      <c r="BW311" s="17">
        <v>8313</v>
      </c>
      <c r="BX311" s="17">
        <v>8428</v>
      </c>
      <c r="BY311" s="17">
        <v>8517</v>
      </c>
      <c r="BZ311" s="17">
        <v>8589</v>
      </c>
      <c r="CA311" s="17">
        <v>8627</v>
      </c>
      <c r="CB311" s="17">
        <v>8665</v>
      </c>
      <c r="CC311" s="17">
        <v>8695</v>
      </c>
      <c r="CD311" s="17">
        <v>8723</v>
      </c>
      <c r="CE311" s="17">
        <v>8742</v>
      </c>
      <c r="CF311" s="17">
        <v>8756</v>
      </c>
      <c r="CG311" s="17">
        <v>8760</v>
      </c>
      <c r="CH311" s="17">
        <v>8760</v>
      </c>
      <c r="CI311" s="17">
        <v>8760</v>
      </c>
      <c r="CJ311" s="17">
        <v>8760</v>
      </c>
      <c r="CK311" s="17">
        <v>8760</v>
      </c>
      <c r="CL311" s="17">
        <v>8760</v>
      </c>
      <c r="CM311" s="17">
        <v>8760</v>
      </c>
      <c r="CN311" s="17">
        <v>8760</v>
      </c>
      <c r="CO311" s="17">
        <v>8760</v>
      </c>
      <c r="CP311" s="17">
        <v>8760</v>
      </c>
      <c r="CQ311" s="17">
        <v>8760</v>
      </c>
      <c r="CR311" s="17">
        <v>8760</v>
      </c>
      <c r="CS311" s="17">
        <v>8760</v>
      </c>
      <c r="CT311" s="17">
        <v>8760</v>
      </c>
      <c r="CU311" s="17">
        <v>8760</v>
      </c>
      <c r="CV311" s="17">
        <v>8760</v>
      </c>
      <c r="CW311" s="17">
        <v>8760</v>
      </c>
      <c r="CX311" s="17">
        <v>8760</v>
      </c>
      <c r="CY311" s="17">
        <v>8760</v>
      </c>
      <c r="CZ311" s="17">
        <v>8760</v>
      </c>
      <c r="DA311" s="17">
        <v>8760</v>
      </c>
      <c r="DB311" s="17">
        <v>8760</v>
      </c>
    </row>
    <row r="312" spans="1:106" s="17" customFormat="1" x14ac:dyDescent="0.25">
      <c r="A312" s="22" t="s">
        <v>329</v>
      </c>
      <c r="B312" s="17" t="s">
        <v>317</v>
      </c>
      <c r="C312" s="17" t="s">
        <v>438</v>
      </c>
      <c r="D312" s="17" t="s">
        <v>963</v>
      </c>
      <c r="E312" s="17" t="s">
        <v>964</v>
      </c>
      <c r="F312" s="17">
        <v>102523</v>
      </c>
      <c r="G312" s="17">
        <v>0</v>
      </c>
      <c r="H312" s="17">
        <v>0</v>
      </c>
      <c r="I312" s="17">
        <v>0</v>
      </c>
      <c r="J312" s="17">
        <v>0</v>
      </c>
      <c r="K312" s="17">
        <v>0</v>
      </c>
      <c r="L312" s="17">
        <v>0</v>
      </c>
      <c r="M312" s="17">
        <v>0</v>
      </c>
      <c r="N312" s="17">
        <v>0</v>
      </c>
      <c r="O312" s="17">
        <v>0</v>
      </c>
      <c r="P312" s="17">
        <v>0</v>
      </c>
      <c r="Q312" s="17">
        <v>0</v>
      </c>
      <c r="R312" s="17">
        <v>0</v>
      </c>
      <c r="S312" s="17">
        <v>0</v>
      </c>
      <c r="T312" s="17">
        <v>0</v>
      </c>
      <c r="U312" s="17">
        <v>0</v>
      </c>
      <c r="V312" s="17">
        <v>0</v>
      </c>
      <c r="W312" s="17">
        <v>0</v>
      </c>
      <c r="X312" s="17">
        <v>0</v>
      </c>
      <c r="Y312" s="17">
        <v>0</v>
      </c>
      <c r="Z312" s="17">
        <v>0</v>
      </c>
      <c r="AA312" s="17">
        <v>0</v>
      </c>
      <c r="AB312" s="17">
        <v>0</v>
      </c>
      <c r="AC312" s="17">
        <v>0</v>
      </c>
      <c r="AD312" s="17">
        <v>0</v>
      </c>
      <c r="AE312" s="17">
        <v>0</v>
      </c>
      <c r="AF312" s="17">
        <v>0</v>
      </c>
      <c r="AG312" s="17">
        <v>0</v>
      </c>
      <c r="AH312" s="17">
        <v>1</v>
      </c>
      <c r="AI312" s="17">
        <v>6</v>
      </c>
      <c r="AJ312" s="17">
        <v>11</v>
      </c>
      <c r="AK312" s="17">
        <v>15</v>
      </c>
      <c r="AL312" s="17">
        <v>22</v>
      </c>
      <c r="AM312" s="17">
        <v>41</v>
      </c>
      <c r="AN312" s="17">
        <v>51</v>
      </c>
      <c r="AO312" s="17">
        <v>69</v>
      </c>
      <c r="AP312" s="17">
        <v>88</v>
      </c>
      <c r="AQ312" s="17">
        <v>119</v>
      </c>
      <c r="AR312" s="17">
        <v>155</v>
      </c>
      <c r="AS312" s="17">
        <v>186</v>
      </c>
      <c r="AT312" s="17">
        <v>216</v>
      </c>
      <c r="AU312" s="17">
        <v>258</v>
      </c>
      <c r="AV312" s="17">
        <v>331</v>
      </c>
      <c r="AW312" s="17">
        <v>387</v>
      </c>
      <c r="AX312" s="17">
        <v>458</v>
      </c>
      <c r="AY312" s="17">
        <v>541</v>
      </c>
      <c r="AZ312" s="17">
        <v>672</v>
      </c>
      <c r="BA312" s="17">
        <v>799</v>
      </c>
      <c r="BB312" s="17">
        <v>1005</v>
      </c>
      <c r="BC312" s="17">
        <v>1251</v>
      </c>
      <c r="BD312" s="17">
        <v>1606</v>
      </c>
      <c r="BE312" s="17">
        <v>2039</v>
      </c>
      <c r="BF312" s="17">
        <v>2462</v>
      </c>
      <c r="BG312" s="17">
        <v>2836</v>
      </c>
      <c r="BH312" s="17">
        <v>3248</v>
      </c>
      <c r="BI312" s="17">
        <v>3610</v>
      </c>
      <c r="BJ312" s="17">
        <v>3991</v>
      </c>
      <c r="BK312" s="17">
        <v>4359</v>
      </c>
      <c r="BL312" s="17">
        <v>4732</v>
      </c>
      <c r="BM312" s="17">
        <v>5184</v>
      </c>
      <c r="BN312" s="17">
        <v>5620</v>
      </c>
      <c r="BO312" s="17">
        <v>6018</v>
      </c>
      <c r="BP312" s="17">
        <v>6399</v>
      </c>
      <c r="BQ312" s="17">
        <v>6747</v>
      </c>
      <c r="BR312" s="17">
        <v>7091</v>
      </c>
      <c r="BS312" s="17">
        <v>7397</v>
      </c>
      <c r="BT312" s="17">
        <v>7673</v>
      </c>
      <c r="BU312" s="17">
        <v>7919</v>
      </c>
      <c r="BV312" s="17">
        <v>8161</v>
      </c>
      <c r="BW312" s="17">
        <v>8334</v>
      </c>
      <c r="BX312" s="17">
        <v>8452</v>
      </c>
      <c r="BY312" s="17">
        <v>8541</v>
      </c>
      <c r="BZ312" s="17">
        <v>8618</v>
      </c>
      <c r="CA312" s="17">
        <v>8656</v>
      </c>
      <c r="CB312" s="17">
        <v>8692</v>
      </c>
      <c r="CC312" s="17">
        <v>8722</v>
      </c>
      <c r="CD312" s="17">
        <v>8744</v>
      </c>
      <c r="CE312" s="17">
        <v>8755</v>
      </c>
      <c r="CF312" s="17">
        <v>8760</v>
      </c>
      <c r="CG312" s="17">
        <v>8760</v>
      </c>
      <c r="CH312" s="17">
        <v>8760</v>
      </c>
      <c r="CI312" s="17">
        <v>8760</v>
      </c>
      <c r="CJ312" s="17">
        <v>8760</v>
      </c>
      <c r="CK312" s="17">
        <v>8760</v>
      </c>
      <c r="CL312" s="17">
        <v>8760</v>
      </c>
      <c r="CM312" s="17">
        <v>8760</v>
      </c>
      <c r="CN312" s="17">
        <v>8760</v>
      </c>
      <c r="CO312" s="17">
        <v>8760</v>
      </c>
      <c r="CP312" s="17">
        <v>8760</v>
      </c>
      <c r="CQ312" s="17">
        <v>8760</v>
      </c>
      <c r="CR312" s="17">
        <v>8760</v>
      </c>
      <c r="CS312" s="17">
        <v>8760</v>
      </c>
      <c r="CT312" s="17">
        <v>8760</v>
      </c>
      <c r="CU312" s="17">
        <v>8760</v>
      </c>
      <c r="CV312" s="17">
        <v>8760</v>
      </c>
      <c r="CW312" s="17">
        <v>8760</v>
      </c>
      <c r="CX312" s="17">
        <v>8760</v>
      </c>
      <c r="CY312" s="17">
        <v>8760</v>
      </c>
      <c r="CZ312" s="17">
        <v>8760</v>
      </c>
      <c r="DA312" s="17">
        <v>8760</v>
      </c>
      <c r="DB312" s="17">
        <v>8760</v>
      </c>
    </row>
    <row r="313" spans="1:106" s="17" customFormat="1" x14ac:dyDescent="0.25">
      <c r="A313" s="22" t="s">
        <v>330</v>
      </c>
      <c r="B313" s="17" t="s">
        <v>318</v>
      </c>
      <c r="C313" s="17" t="s">
        <v>438</v>
      </c>
      <c r="D313" s="17" t="s">
        <v>965</v>
      </c>
      <c r="E313" s="17" t="s">
        <v>966</v>
      </c>
      <c r="F313" s="17">
        <v>102314</v>
      </c>
      <c r="G313" s="17">
        <v>0</v>
      </c>
      <c r="H313" s="17">
        <v>0</v>
      </c>
      <c r="I313" s="17">
        <v>0</v>
      </c>
      <c r="J313" s="17">
        <v>0</v>
      </c>
      <c r="K313" s="17">
        <v>0</v>
      </c>
      <c r="L313" s="17">
        <v>0</v>
      </c>
      <c r="M313" s="17">
        <v>0</v>
      </c>
      <c r="N313" s="17">
        <v>0</v>
      </c>
      <c r="O313" s="17">
        <v>0</v>
      </c>
      <c r="P313" s="17">
        <v>0</v>
      </c>
      <c r="Q313" s="17">
        <v>0</v>
      </c>
      <c r="R313" s="17">
        <v>0</v>
      </c>
      <c r="S313" s="17">
        <v>0</v>
      </c>
      <c r="T313" s="17">
        <v>0</v>
      </c>
      <c r="U313" s="17">
        <v>0</v>
      </c>
      <c r="V313" s="17">
        <v>0</v>
      </c>
      <c r="W313" s="17">
        <v>0</v>
      </c>
      <c r="X313" s="17">
        <v>0</v>
      </c>
      <c r="Y313" s="17">
        <v>0</v>
      </c>
      <c r="Z313" s="17">
        <v>0</v>
      </c>
      <c r="AA313" s="17">
        <v>0</v>
      </c>
      <c r="AB313" s="17">
        <v>0</v>
      </c>
      <c r="AC313" s="17">
        <v>0</v>
      </c>
      <c r="AD313" s="17">
        <v>0</v>
      </c>
      <c r="AE313" s="17">
        <v>0</v>
      </c>
      <c r="AF313" s="17">
        <v>0</v>
      </c>
      <c r="AG313" s="17">
        <v>0</v>
      </c>
      <c r="AH313" s="17">
        <v>0</v>
      </c>
      <c r="AI313" s="17">
        <v>0</v>
      </c>
      <c r="AJ313" s="17">
        <v>0</v>
      </c>
      <c r="AK313" s="17">
        <v>0</v>
      </c>
      <c r="AL313" s="17">
        <v>0</v>
      </c>
      <c r="AM313" s="17">
        <v>0</v>
      </c>
      <c r="AN313" s="17">
        <v>0</v>
      </c>
      <c r="AO313" s="17">
        <v>0</v>
      </c>
      <c r="AP313" s="17">
        <v>0</v>
      </c>
      <c r="AQ313" s="17">
        <v>0</v>
      </c>
      <c r="AR313" s="17">
        <v>0</v>
      </c>
      <c r="AS313" s="17">
        <v>7</v>
      </c>
      <c r="AT313" s="17">
        <v>21</v>
      </c>
      <c r="AU313" s="17">
        <v>47</v>
      </c>
      <c r="AV313" s="17">
        <v>55</v>
      </c>
      <c r="AW313" s="17">
        <v>79</v>
      </c>
      <c r="AX313" s="17">
        <v>133</v>
      </c>
      <c r="AY313" s="17">
        <v>211</v>
      </c>
      <c r="AZ313" s="17">
        <v>338</v>
      </c>
      <c r="BA313" s="17">
        <v>477</v>
      </c>
      <c r="BB313" s="17">
        <v>628</v>
      </c>
      <c r="BC313" s="17">
        <v>830</v>
      </c>
      <c r="BD313" s="17">
        <v>1119</v>
      </c>
      <c r="BE313" s="17">
        <v>1550</v>
      </c>
      <c r="BF313" s="17">
        <v>2043</v>
      </c>
      <c r="BG313" s="17">
        <v>2524</v>
      </c>
      <c r="BH313" s="17">
        <v>3020</v>
      </c>
      <c r="BI313" s="17">
        <v>3384</v>
      </c>
      <c r="BJ313" s="17">
        <v>3695</v>
      </c>
      <c r="BK313" s="17">
        <v>4004</v>
      </c>
      <c r="BL313" s="17">
        <v>4371</v>
      </c>
      <c r="BM313" s="17">
        <v>4698</v>
      </c>
      <c r="BN313" s="17">
        <v>5001</v>
      </c>
      <c r="BO313" s="17">
        <v>5343</v>
      </c>
      <c r="BP313" s="17">
        <v>5695</v>
      </c>
      <c r="BQ313" s="17">
        <v>6131</v>
      </c>
      <c r="BR313" s="17">
        <v>6587</v>
      </c>
      <c r="BS313" s="17">
        <v>7065</v>
      </c>
      <c r="BT313" s="17">
        <v>7517</v>
      </c>
      <c r="BU313" s="17">
        <v>7853</v>
      </c>
      <c r="BV313" s="17">
        <v>8147</v>
      </c>
      <c r="BW313" s="17">
        <v>8357</v>
      </c>
      <c r="BX313" s="17">
        <v>8517</v>
      </c>
      <c r="BY313" s="17">
        <v>8630</v>
      </c>
      <c r="BZ313" s="17">
        <v>8699</v>
      </c>
      <c r="CA313" s="17">
        <v>8728</v>
      </c>
      <c r="CB313" s="17">
        <v>8741</v>
      </c>
      <c r="CC313" s="17">
        <v>8749</v>
      </c>
      <c r="CD313" s="17">
        <v>8754</v>
      </c>
      <c r="CE313" s="17">
        <v>8755</v>
      </c>
      <c r="CF313" s="17">
        <v>8760</v>
      </c>
      <c r="CG313" s="17">
        <v>8760</v>
      </c>
      <c r="CH313" s="17">
        <v>8760</v>
      </c>
      <c r="CI313" s="17">
        <v>8760</v>
      </c>
      <c r="CJ313" s="17">
        <v>8760</v>
      </c>
      <c r="CK313" s="17">
        <v>8760</v>
      </c>
      <c r="CL313" s="17">
        <v>8760</v>
      </c>
      <c r="CM313" s="17">
        <v>8760</v>
      </c>
      <c r="CN313" s="17">
        <v>8760</v>
      </c>
      <c r="CO313" s="17">
        <v>8760</v>
      </c>
      <c r="CP313" s="17">
        <v>8760</v>
      </c>
      <c r="CQ313" s="17">
        <v>8760</v>
      </c>
      <c r="CR313" s="17">
        <v>8760</v>
      </c>
      <c r="CS313" s="17">
        <v>8760</v>
      </c>
      <c r="CT313" s="17">
        <v>8760</v>
      </c>
      <c r="CU313" s="17">
        <v>8760</v>
      </c>
      <c r="CV313" s="17">
        <v>8760</v>
      </c>
      <c r="CW313" s="17">
        <v>8760</v>
      </c>
      <c r="CX313" s="17">
        <v>8760</v>
      </c>
      <c r="CY313" s="17">
        <v>8760</v>
      </c>
      <c r="CZ313" s="17">
        <v>8760</v>
      </c>
      <c r="DA313" s="17">
        <v>8760</v>
      </c>
      <c r="DB313" s="17">
        <v>8760</v>
      </c>
    </row>
    <row r="314" spans="1:106" s="17" customFormat="1" x14ac:dyDescent="0.25">
      <c r="A314" s="22" t="s">
        <v>331</v>
      </c>
      <c r="B314" s="17" t="s">
        <v>967</v>
      </c>
      <c r="C314" s="17" t="s">
        <v>438</v>
      </c>
      <c r="D314" s="17" t="s">
        <v>968</v>
      </c>
      <c r="E314" s="17" t="s">
        <v>969</v>
      </c>
      <c r="F314" s="17">
        <v>102614</v>
      </c>
      <c r="G314" s="17">
        <v>0</v>
      </c>
      <c r="H314" s="17">
        <v>0</v>
      </c>
      <c r="I314" s="17">
        <v>0</v>
      </c>
      <c r="J314" s="17">
        <v>0</v>
      </c>
      <c r="K314" s="17">
        <v>0</v>
      </c>
      <c r="L314" s="17">
        <v>0</v>
      </c>
      <c r="M314" s="17">
        <v>0</v>
      </c>
      <c r="N314" s="17">
        <v>0</v>
      </c>
      <c r="O314" s="17">
        <v>0</v>
      </c>
      <c r="P314" s="17">
        <v>0</v>
      </c>
      <c r="Q314" s="17">
        <v>0</v>
      </c>
      <c r="R314" s="17">
        <v>0</v>
      </c>
      <c r="S314" s="17">
        <v>0</v>
      </c>
      <c r="T314" s="17">
        <v>0</v>
      </c>
      <c r="U314" s="17">
        <v>0</v>
      </c>
      <c r="V314" s="17">
        <v>0</v>
      </c>
      <c r="W314" s="17">
        <v>0</v>
      </c>
      <c r="X314" s="17">
        <v>0</v>
      </c>
      <c r="Y314" s="17">
        <v>0</v>
      </c>
      <c r="Z314" s="17">
        <v>0</v>
      </c>
      <c r="AA314" s="17">
        <v>0</v>
      </c>
      <c r="AB314" s="17">
        <v>0</v>
      </c>
      <c r="AC314" s="17">
        <v>0</v>
      </c>
      <c r="AD314" s="17">
        <v>0</v>
      </c>
      <c r="AE314" s="17">
        <v>0</v>
      </c>
      <c r="AF314" s="17">
        <v>0</v>
      </c>
      <c r="AG314" s="17">
        <v>0</v>
      </c>
      <c r="AH314" s="17">
        <v>0</v>
      </c>
      <c r="AI314" s="17">
        <v>0</v>
      </c>
      <c r="AJ314" s="17">
        <v>0</v>
      </c>
      <c r="AK314" s="17">
        <v>0</v>
      </c>
      <c r="AL314" s="17">
        <v>0</v>
      </c>
      <c r="AM314" s="17">
        <v>0</v>
      </c>
      <c r="AN314" s="17">
        <v>0</v>
      </c>
      <c r="AO314" s="17">
        <v>1</v>
      </c>
      <c r="AP314" s="17">
        <v>4</v>
      </c>
      <c r="AQ314" s="17">
        <v>13</v>
      </c>
      <c r="AR314" s="17">
        <v>41</v>
      </c>
      <c r="AS314" s="17">
        <v>77</v>
      </c>
      <c r="AT314" s="17">
        <v>114</v>
      </c>
      <c r="AU314" s="17">
        <v>148</v>
      </c>
      <c r="AV314" s="17">
        <v>206</v>
      </c>
      <c r="AW314" s="17">
        <v>255</v>
      </c>
      <c r="AX314" s="17">
        <v>318</v>
      </c>
      <c r="AY314" s="17">
        <v>409</v>
      </c>
      <c r="AZ314" s="17">
        <v>556</v>
      </c>
      <c r="BA314" s="17">
        <v>744</v>
      </c>
      <c r="BB314" s="17">
        <v>1001</v>
      </c>
      <c r="BC314" s="17">
        <v>1365</v>
      </c>
      <c r="BD314" s="17">
        <v>1770</v>
      </c>
      <c r="BE314" s="17">
        <v>2288</v>
      </c>
      <c r="BF314" s="17">
        <v>2685</v>
      </c>
      <c r="BG314" s="17">
        <v>3147</v>
      </c>
      <c r="BH314" s="17">
        <v>3556</v>
      </c>
      <c r="BI314" s="17">
        <v>3881</v>
      </c>
      <c r="BJ314" s="17">
        <v>4167</v>
      </c>
      <c r="BK314" s="17">
        <v>4462</v>
      </c>
      <c r="BL314" s="17">
        <v>4752</v>
      </c>
      <c r="BM314" s="17">
        <v>5086</v>
      </c>
      <c r="BN314" s="17">
        <v>5418</v>
      </c>
      <c r="BO314" s="17">
        <v>5724</v>
      </c>
      <c r="BP314" s="17">
        <v>6044</v>
      </c>
      <c r="BQ314" s="17">
        <v>6407</v>
      </c>
      <c r="BR314" s="17">
        <v>6845</v>
      </c>
      <c r="BS314" s="17">
        <v>7243</v>
      </c>
      <c r="BT314" s="17">
        <v>7591</v>
      </c>
      <c r="BU314" s="17">
        <v>7857</v>
      </c>
      <c r="BV314" s="17">
        <v>8096</v>
      </c>
      <c r="BW314" s="17">
        <v>8285</v>
      </c>
      <c r="BX314" s="17">
        <v>8445</v>
      </c>
      <c r="BY314" s="17">
        <v>8575</v>
      </c>
      <c r="BZ314" s="17">
        <v>8662</v>
      </c>
      <c r="CA314" s="17">
        <v>8714</v>
      </c>
      <c r="CB314" s="17">
        <v>8746</v>
      </c>
      <c r="CC314" s="17">
        <v>8758</v>
      </c>
      <c r="CD314" s="17">
        <v>8760</v>
      </c>
      <c r="CE314" s="17">
        <v>8760</v>
      </c>
      <c r="CF314" s="17">
        <v>8760</v>
      </c>
      <c r="CG314" s="17">
        <v>8760</v>
      </c>
      <c r="CH314" s="17">
        <v>8760</v>
      </c>
      <c r="CI314" s="17">
        <v>8760</v>
      </c>
      <c r="CJ314" s="17">
        <v>8760</v>
      </c>
      <c r="CK314" s="17">
        <v>8760</v>
      </c>
      <c r="CL314" s="17">
        <v>8760</v>
      </c>
      <c r="CM314" s="17">
        <v>8760</v>
      </c>
      <c r="CN314" s="17">
        <v>8760</v>
      </c>
      <c r="CO314" s="17">
        <v>8760</v>
      </c>
      <c r="CP314" s="17">
        <v>8760</v>
      </c>
      <c r="CQ314" s="17">
        <v>8760</v>
      </c>
      <c r="CR314" s="17">
        <v>8760</v>
      </c>
      <c r="CS314" s="17">
        <v>8760</v>
      </c>
      <c r="CT314" s="17">
        <v>8760</v>
      </c>
      <c r="CU314" s="17">
        <v>8760</v>
      </c>
      <c r="CV314" s="17">
        <v>8760</v>
      </c>
      <c r="CW314" s="17">
        <v>8760</v>
      </c>
      <c r="CX314" s="17">
        <v>8760</v>
      </c>
      <c r="CY314" s="17">
        <v>8760</v>
      </c>
      <c r="CZ314" s="17">
        <v>8760</v>
      </c>
      <c r="DA314" s="17">
        <v>8760</v>
      </c>
      <c r="DB314" s="17">
        <v>8760</v>
      </c>
    </row>
    <row r="315" spans="1:106" s="17" customFormat="1" x14ac:dyDescent="0.25">
      <c r="A315" s="22" t="s">
        <v>332</v>
      </c>
      <c r="B315" s="17" t="s">
        <v>325</v>
      </c>
      <c r="C315" s="17" t="s">
        <v>438</v>
      </c>
      <c r="D315" s="17" t="s">
        <v>970</v>
      </c>
      <c r="E315" s="17" t="s">
        <v>971</v>
      </c>
      <c r="F315" s="17">
        <v>102323</v>
      </c>
      <c r="G315" s="17">
        <v>0</v>
      </c>
      <c r="H315" s="17">
        <v>0</v>
      </c>
      <c r="I315" s="17">
        <v>0</v>
      </c>
      <c r="J315" s="17">
        <v>0</v>
      </c>
      <c r="K315" s="17">
        <v>0</v>
      </c>
      <c r="L315" s="17">
        <v>0</v>
      </c>
      <c r="M315" s="17">
        <v>0</v>
      </c>
      <c r="N315" s="17">
        <v>0</v>
      </c>
      <c r="O315" s="17">
        <v>0</v>
      </c>
      <c r="P315" s="17">
        <v>0</v>
      </c>
      <c r="Q315" s="17">
        <v>0</v>
      </c>
      <c r="R315" s="17">
        <v>0</v>
      </c>
      <c r="S315" s="17">
        <v>0</v>
      </c>
      <c r="T315" s="17">
        <v>0</v>
      </c>
      <c r="U315" s="17">
        <v>0</v>
      </c>
      <c r="V315" s="17">
        <v>0</v>
      </c>
      <c r="W315" s="17">
        <v>0</v>
      </c>
      <c r="X315" s="17">
        <v>0</v>
      </c>
      <c r="Y315" s="17">
        <v>0</v>
      </c>
      <c r="Z315" s="17">
        <v>0</v>
      </c>
      <c r="AA315" s="17">
        <v>0</v>
      </c>
      <c r="AB315" s="17">
        <v>0</v>
      </c>
      <c r="AC315" s="17">
        <v>0</v>
      </c>
      <c r="AD315" s="17">
        <v>0</v>
      </c>
      <c r="AE315" s="17">
        <v>0</v>
      </c>
      <c r="AF315" s="17">
        <v>0</v>
      </c>
      <c r="AG315" s="17">
        <v>0</v>
      </c>
      <c r="AH315" s="17">
        <v>0</v>
      </c>
      <c r="AI315" s="17">
        <v>0</v>
      </c>
      <c r="AJ315" s="17">
        <v>0</v>
      </c>
      <c r="AK315" s="17">
        <v>9</v>
      </c>
      <c r="AL315" s="17">
        <v>12</v>
      </c>
      <c r="AM315" s="17">
        <v>17</v>
      </c>
      <c r="AN315" s="17">
        <v>38</v>
      </c>
      <c r="AO315" s="17">
        <v>63</v>
      </c>
      <c r="AP315" s="17">
        <v>81</v>
      </c>
      <c r="AQ315" s="17">
        <v>105</v>
      </c>
      <c r="AR315" s="17">
        <v>157</v>
      </c>
      <c r="AS315" s="17">
        <v>214</v>
      </c>
      <c r="AT315" s="17">
        <v>272</v>
      </c>
      <c r="AU315" s="17">
        <v>336</v>
      </c>
      <c r="AV315" s="17">
        <v>456</v>
      </c>
      <c r="AW315" s="17">
        <v>533</v>
      </c>
      <c r="AX315" s="17">
        <v>650</v>
      </c>
      <c r="AY315" s="17">
        <v>788</v>
      </c>
      <c r="AZ315" s="17">
        <v>924</v>
      </c>
      <c r="BA315" s="17">
        <v>1112</v>
      </c>
      <c r="BB315" s="17">
        <v>1312</v>
      </c>
      <c r="BC315" s="17">
        <v>1530</v>
      </c>
      <c r="BD315" s="17">
        <v>1845</v>
      </c>
      <c r="BE315" s="17">
        <v>2253</v>
      </c>
      <c r="BF315" s="17">
        <v>2716</v>
      </c>
      <c r="BG315" s="17">
        <v>3097</v>
      </c>
      <c r="BH315" s="17">
        <v>3565</v>
      </c>
      <c r="BI315" s="17">
        <v>3951</v>
      </c>
      <c r="BJ315" s="17">
        <v>4349</v>
      </c>
      <c r="BK315" s="17">
        <v>4692</v>
      </c>
      <c r="BL315" s="17">
        <v>5079</v>
      </c>
      <c r="BM315" s="17">
        <v>5431</v>
      </c>
      <c r="BN315" s="17">
        <v>5817</v>
      </c>
      <c r="BO315" s="17">
        <v>6214</v>
      </c>
      <c r="BP315" s="17">
        <v>6596</v>
      </c>
      <c r="BQ315" s="17">
        <v>6924</v>
      </c>
      <c r="BR315" s="17">
        <v>7243</v>
      </c>
      <c r="BS315" s="17">
        <v>7549</v>
      </c>
      <c r="BT315" s="17">
        <v>7809</v>
      </c>
      <c r="BU315" s="17">
        <v>8018</v>
      </c>
      <c r="BV315" s="17">
        <v>8192</v>
      </c>
      <c r="BW315" s="17">
        <v>8341</v>
      </c>
      <c r="BX315" s="17">
        <v>8454</v>
      </c>
      <c r="BY315" s="17">
        <v>8539</v>
      </c>
      <c r="BZ315" s="17">
        <v>8598</v>
      </c>
      <c r="CA315" s="17">
        <v>8633</v>
      </c>
      <c r="CB315" s="17">
        <v>8681</v>
      </c>
      <c r="CC315" s="17">
        <v>8711</v>
      </c>
      <c r="CD315" s="17">
        <v>8743</v>
      </c>
      <c r="CE315" s="17">
        <v>8753</v>
      </c>
      <c r="CF315" s="17">
        <v>8759</v>
      </c>
      <c r="CG315" s="17">
        <v>8760</v>
      </c>
      <c r="CH315" s="17">
        <v>8760</v>
      </c>
      <c r="CI315" s="17">
        <v>8760</v>
      </c>
      <c r="CJ315" s="17">
        <v>8760</v>
      </c>
      <c r="CK315" s="17">
        <v>8760</v>
      </c>
      <c r="CL315" s="17">
        <v>8760</v>
      </c>
      <c r="CM315" s="17">
        <v>8760</v>
      </c>
      <c r="CN315" s="17">
        <v>8760</v>
      </c>
      <c r="CO315" s="17">
        <v>8760</v>
      </c>
      <c r="CP315" s="17">
        <v>8760</v>
      </c>
      <c r="CQ315" s="17">
        <v>8760</v>
      </c>
      <c r="CR315" s="17">
        <v>8760</v>
      </c>
      <c r="CS315" s="17">
        <v>8760</v>
      </c>
      <c r="CT315" s="17">
        <v>8760</v>
      </c>
      <c r="CU315" s="17">
        <v>8760</v>
      </c>
      <c r="CV315" s="17">
        <v>8760</v>
      </c>
      <c r="CW315" s="17">
        <v>8760</v>
      </c>
      <c r="CX315" s="17">
        <v>8760</v>
      </c>
      <c r="CY315" s="17">
        <v>8760</v>
      </c>
      <c r="CZ315" s="17">
        <v>8760</v>
      </c>
      <c r="DA315" s="17">
        <v>8760</v>
      </c>
      <c r="DB315" s="17">
        <v>8760</v>
      </c>
    </row>
    <row r="316" spans="1:106" s="17" customFormat="1" x14ac:dyDescent="0.25">
      <c r="B316" s="17" t="s">
        <v>326</v>
      </c>
      <c r="C316" s="17" t="s">
        <v>438</v>
      </c>
      <c r="D316" s="17" t="s">
        <v>972</v>
      </c>
      <c r="E316" s="17" t="s">
        <v>973</v>
      </c>
      <c r="F316" s="17">
        <v>102902</v>
      </c>
      <c r="G316" s="17">
        <v>0</v>
      </c>
      <c r="H316" s="17">
        <v>0</v>
      </c>
      <c r="I316" s="17">
        <v>0</v>
      </c>
      <c r="J316" s="17">
        <v>0</v>
      </c>
      <c r="K316" s="17">
        <v>0</v>
      </c>
      <c r="L316" s="17">
        <v>0</v>
      </c>
      <c r="M316" s="17">
        <v>0</v>
      </c>
      <c r="N316" s="17">
        <v>0</v>
      </c>
      <c r="O316" s="17">
        <v>0</v>
      </c>
      <c r="P316" s="17">
        <v>0</v>
      </c>
      <c r="Q316" s="17">
        <v>0</v>
      </c>
      <c r="R316" s="17">
        <v>0</v>
      </c>
      <c r="S316" s="17">
        <v>0</v>
      </c>
      <c r="T316" s="17">
        <v>0</v>
      </c>
      <c r="U316" s="17">
        <v>3</v>
      </c>
      <c r="V316" s="17">
        <v>11</v>
      </c>
      <c r="W316" s="17">
        <v>17</v>
      </c>
      <c r="X316" s="17">
        <v>27</v>
      </c>
      <c r="Y316" s="17">
        <v>37</v>
      </c>
      <c r="Z316" s="17">
        <v>53</v>
      </c>
      <c r="AA316" s="17">
        <v>67</v>
      </c>
      <c r="AB316" s="17">
        <v>83</v>
      </c>
      <c r="AC316" s="17">
        <v>101</v>
      </c>
      <c r="AD316" s="17">
        <v>119</v>
      </c>
      <c r="AE316" s="17">
        <v>141</v>
      </c>
      <c r="AF316" s="17">
        <v>159</v>
      </c>
      <c r="AG316" s="17">
        <v>182</v>
      </c>
      <c r="AH316" s="17">
        <v>211</v>
      </c>
      <c r="AI316" s="17">
        <v>247</v>
      </c>
      <c r="AJ316" s="17">
        <v>293</v>
      </c>
      <c r="AK316" s="17">
        <v>354</v>
      </c>
      <c r="AL316" s="17">
        <v>429</v>
      </c>
      <c r="AM316" s="17">
        <v>502</v>
      </c>
      <c r="AN316" s="17">
        <v>565</v>
      </c>
      <c r="AO316" s="17">
        <v>636</v>
      </c>
      <c r="AP316" s="17">
        <v>711</v>
      </c>
      <c r="AQ316" s="17">
        <v>819</v>
      </c>
      <c r="AR316" s="17">
        <v>903</v>
      </c>
      <c r="AS316" s="17">
        <v>1002</v>
      </c>
      <c r="AT316" s="17">
        <v>1111</v>
      </c>
      <c r="AU316" s="17">
        <v>1243</v>
      </c>
      <c r="AV316" s="17">
        <v>1406</v>
      </c>
      <c r="AW316" s="17">
        <v>1600</v>
      </c>
      <c r="AX316" s="17">
        <v>1873</v>
      </c>
      <c r="AY316" s="17">
        <v>2143</v>
      </c>
      <c r="AZ316" s="17">
        <v>2492</v>
      </c>
      <c r="BA316" s="17">
        <v>2839</v>
      </c>
      <c r="BB316" s="17">
        <v>3184</v>
      </c>
      <c r="BC316" s="17">
        <v>3502</v>
      </c>
      <c r="BD316" s="17">
        <v>3871</v>
      </c>
      <c r="BE316" s="17">
        <v>4267</v>
      </c>
      <c r="BF316" s="17">
        <v>4571</v>
      </c>
      <c r="BG316" s="17">
        <v>4861</v>
      </c>
      <c r="BH316" s="17">
        <v>5170</v>
      </c>
      <c r="BI316" s="17">
        <v>5454</v>
      </c>
      <c r="BJ316" s="17">
        <v>5722</v>
      </c>
      <c r="BK316" s="17">
        <v>6014</v>
      </c>
      <c r="BL316" s="17">
        <v>6342</v>
      </c>
      <c r="BM316" s="17">
        <v>6624</v>
      </c>
      <c r="BN316" s="17">
        <v>6941</v>
      </c>
      <c r="BO316" s="17">
        <v>7254</v>
      </c>
      <c r="BP316" s="17">
        <v>7496</v>
      </c>
      <c r="BQ316" s="17">
        <v>7780</v>
      </c>
      <c r="BR316" s="17">
        <v>7989</v>
      </c>
      <c r="BS316" s="17">
        <v>8187</v>
      </c>
      <c r="BT316" s="17">
        <v>8334</v>
      </c>
      <c r="BU316" s="17">
        <v>8459</v>
      </c>
      <c r="BV316" s="17">
        <v>8577</v>
      </c>
      <c r="BW316" s="17">
        <v>8656</v>
      </c>
      <c r="BX316" s="17">
        <v>8687</v>
      </c>
      <c r="BY316" s="17">
        <v>8707</v>
      </c>
      <c r="BZ316" s="17">
        <v>8727</v>
      </c>
      <c r="CA316" s="17">
        <v>8737</v>
      </c>
      <c r="CB316" s="17">
        <v>8740</v>
      </c>
      <c r="CC316" s="17">
        <v>8743</v>
      </c>
      <c r="CD316" s="17">
        <v>8747</v>
      </c>
      <c r="CE316" s="17">
        <v>8755</v>
      </c>
      <c r="CF316" s="17">
        <v>8760</v>
      </c>
      <c r="CG316" s="17">
        <v>8760</v>
      </c>
      <c r="CH316" s="17">
        <v>8760</v>
      </c>
      <c r="CI316" s="17">
        <v>8760</v>
      </c>
      <c r="CJ316" s="17">
        <v>8760</v>
      </c>
      <c r="CK316" s="17">
        <v>8760</v>
      </c>
      <c r="CL316" s="17">
        <v>8760</v>
      </c>
      <c r="CM316" s="17">
        <v>8760</v>
      </c>
      <c r="CN316" s="17">
        <v>8760</v>
      </c>
      <c r="CO316" s="17">
        <v>8760</v>
      </c>
      <c r="CP316" s="17">
        <v>8760</v>
      </c>
      <c r="CQ316" s="17">
        <v>8760</v>
      </c>
      <c r="CR316" s="17">
        <v>8760</v>
      </c>
      <c r="CS316" s="17">
        <v>8760</v>
      </c>
      <c r="CT316" s="17">
        <v>8760</v>
      </c>
      <c r="CU316" s="17">
        <v>8760</v>
      </c>
      <c r="CV316" s="17">
        <v>8760</v>
      </c>
      <c r="CW316" s="17">
        <v>8760</v>
      </c>
      <c r="CX316" s="17">
        <v>8760</v>
      </c>
      <c r="CY316" s="17">
        <v>8760</v>
      </c>
      <c r="CZ316" s="17">
        <v>8760</v>
      </c>
      <c r="DA316" s="17">
        <v>8760</v>
      </c>
      <c r="DB316" s="17">
        <v>8760</v>
      </c>
    </row>
    <row r="317" spans="1:106" s="17" customFormat="1" x14ac:dyDescent="0.25">
      <c r="B317" s="17" t="s">
        <v>327</v>
      </c>
      <c r="C317" s="17" t="s">
        <v>438</v>
      </c>
      <c r="D317" s="17" t="s">
        <v>974</v>
      </c>
      <c r="E317" s="17" t="s">
        <v>975</v>
      </c>
      <c r="F317" s="17">
        <v>102327</v>
      </c>
      <c r="G317" s="17">
        <v>0</v>
      </c>
      <c r="H317" s="17">
        <v>0</v>
      </c>
      <c r="I317" s="17">
        <v>0</v>
      </c>
      <c r="J317" s="17">
        <v>0</v>
      </c>
      <c r="K317" s="17">
        <v>0</v>
      </c>
      <c r="L317" s="17">
        <v>0</v>
      </c>
      <c r="M317" s="17">
        <v>0</v>
      </c>
      <c r="N317" s="17">
        <v>0</v>
      </c>
      <c r="O317" s="17">
        <v>0</v>
      </c>
      <c r="P317" s="17">
        <v>0</v>
      </c>
      <c r="Q317" s="17">
        <v>0</v>
      </c>
      <c r="R317" s="17">
        <v>0</v>
      </c>
      <c r="S317" s="17">
        <v>0</v>
      </c>
      <c r="T317" s="17">
        <v>0</v>
      </c>
      <c r="U317" s="17">
        <v>0</v>
      </c>
      <c r="V317" s="17">
        <v>0</v>
      </c>
      <c r="W317" s="17">
        <v>0</v>
      </c>
      <c r="X317" s="17">
        <v>0</v>
      </c>
      <c r="Y317" s="17">
        <v>0</v>
      </c>
      <c r="Z317" s="17">
        <v>0</v>
      </c>
      <c r="AA317" s="17">
        <v>0</v>
      </c>
      <c r="AB317" s="17">
        <v>0</v>
      </c>
      <c r="AC317" s="17">
        <v>0</v>
      </c>
      <c r="AD317" s="17">
        <v>0</v>
      </c>
      <c r="AE317" s="17">
        <v>0</v>
      </c>
      <c r="AF317" s="17">
        <v>0</v>
      </c>
      <c r="AG317" s="17">
        <v>5</v>
      </c>
      <c r="AH317" s="17">
        <v>9</v>
      </c>
      <c r="AI317" s="17">
        <v>12</v>
      </c>
      <c r="AJ317" s="17">
        <v>13</v>
      </c>
      <c r="AK317" s="17">
        <v>20</v>
      </c>
      <c r="AL317" s="17">
        <v>25</v>
      </c>
      <c r="AM317" s="17">
        <v>29</v>
      </c>
      <c r="AN317" s="17">
        <v>36</v>
      </c>
      <c r="AO317" s="17">
        <v>59</v>
      </c>
      <c r="AP317" s="17">
        <v>68</v>
      </c>
      <c r="AQ317" s="17">
        <v>80</v>
      </c>
      <c r="AR317" s="17">
        <v>106</v>
      </c>
      <c r="AS317" s="17">
        <v>148</v>
      </c>
      <c r="AT317" s="17">
        <v>200</v>
      </c>
      <c r="AU317" s="17">
        <v>281</v>
      </c>
      <c r="AV317" s="17">
        <v>344</v>
      </c>
      <c r="AW317" s="17">
        <v>435</v>
      </c>
      <c r="AX317" s="17">
        <v>542</v>
      </c>
      <c r="AY317" s="17">
        <v>654</v>
      </c>
      <c r="AZ317" s="17">
        <v>810</v>
      </c>
      <c r="BA317" s="17">
        <v>1007</v>
      </c>
      <c r="BB317" s="17">
        <v>1217</v>
      </c>
      <c r="BC317" s="17">
        <v>1497</v>
      </c>
      <c r="BD317" s="17">
        <v>1867</v>
      </c>
      <c r="BE317" s="17">
        <v>2299</v>
      </c>
      <c r="BF317" s="17">
        <v>2645</v>
      </c>
      <c r="BG317" s="17">
        <v>3048</v>
      </c>
      <c r="BH317" s="17">
        <v>3463</v>
      </c>
      <c r="BI317" s="17">
        <v>3935</v>
      </c>
      <c r="BJ317" s="17">
        <v>4326</v>
      </c>
      <c r="BK317" s="17">
        <v>4725</v>
      </c>
      <c r="BL317" s="17">
        <v>5085</v>
      </c>
      <c r="BM317" s="17">
        <v>5418</v>
      </c>
      <c r="BN317" s="17">
        <v>5772</v>
      </c>
      <c r="BO317" s="17">
        <v>6082</v>
      </c>
      <c r="BP317" s="17">
        <v>6410</v>
      </c>
      <c r="BQ317" s="17">
        <v>6728</v>
      </c>
      <c r="BR317" s="17">
        <v>7013</v>
      </c>
      <c r="BS317" s="17">
        <v>7299</v>
      </c>
      <c r="BT317" s="17">
        <v>7552</v>
      </c>
      <c r="BU317" s="17">
        <v>7789</v>
      </c>
      <c r="BV317" s="17">
        <v>7949</v>
      </c>
      <c r="BW317" s="17">
        <v>8090</v>
      </c>
      <c r="BX317" s="17">
        <v>8227</v>
      </c>
      <c r="BY317" s="17">
        <v>8312</v>
      </c>
      <c r="BZ317" s="17">
        <v>8401</v>
      </c>
      <c r="CA317" s="17">
        <v>8499</v>
      </c>
      <c r="CB317" s="17">
        <v>8568</v>
      </c>
      <c r="CC317" s="17">
        <v>8616</v>
      </c>
      <c r="CD317" s="17">
        <v>8666</v>
      </c>
      <c r="CE317" s="17">
        <v>8711</v>
      </c>
      <c r="CF317" s="17">
        <v>8738</v>
      </c>
      <c r="CG317" s="17">
        <v>8756</v>
      </c>
      <c r="CH317" s="17">
        <v>8759</v>
      </c>
      <c r="CI317" s="17">
        <v>8760</v>
      </c>
      <c r="CJ317" s="17">
        <v>8760</v>
      </c>
      <c r="CK317" s="17">
        <v>8760</v>
      </c>
      <c r="CL317" s="17">
        <v>8760</v>
      </c>
      <c r="CM317" s="17">
        <v>8760</v>
      </c>
      <c r="CN317" s="17">
        <v>8760</v>
      </c>
      <c r="CO317" s="17">
        <v>8760</v>
      </c>
      <c r="CP317" s="17">
        <v>8760</v>
      </c>
      <c r="CQ317" s="17">
        <v>8760</v>
      </c>
      <c r="CR317" s="17">
        <v>8760</v>
      </c>
      <c r="CS317" s="17">
        <v>8760</v>
      </c>
      <c r="CT317" s="17">
        <v>8760</v>
      </c>
      <c r="CU317" s="17">
        <v>8760</v>
      </c>
      <c r="CV317" s="17">
        <v>8760</v>
      </c>
      <c r="CW317" s="17">
        <v>8760</v>
      </c>
      <c r="CX317" s="17">
        <v>8760</v>
      </c>
      <c r="CY317" s="17">
        <v>8760</v>
      </c>
      <c r="CZ317" s="17">
        <v>8760</v>
      </c>
      <c r="DA317" s="17">
        <v>8760</v>
      </c>
      <c r="DB317" s="17">
        <v>8760</v>
      </c>
    </row>
    <row r="318" spans="1:106" s="17" customFormat="1" x14ac:dyDescent="0.25">
      <c r="B318" s="17" t="s">
        <v>328</v>
      </c>
      <c r="C318" s="17" t="s">
        <v>438</v>
      </c>
      <c r="D318" s="17" t="s">
        <v>976</v>
      </c>
      <c r="E318" s="17" t="s">
        <v>977</v>
      </c>
      <c r="F318" s="17">
        <v>102906</v>
      </c>
      <c r="G318" s="17">
        <v>0</v>
      </c>
      <c r="H318" s="17">
        <v>0</v>
      </c>
      <c r="I318" s="17">
        <v>0</v>
      </c>
      <c r="J318" s="17">
        <v>0</v>
      </c>
      <c r="K318" s="17">
        <v>0</v>
      </c>
      <c r="L318" s="17">
        <v>0</v>
      </c>
      <c r="M318" s="17">
        <v>0</v>
      </c>
      <c r="N318" s="17">
        <v>0</v>
      </c>
      <c r="O318" s="17">
        <v>0</v>
      </c>
      <c r="P318" s="17">
        <v>0</v>
      </c>
      <c r="Q318" s="17">
        <v>0</v>
      </c>
      <c r="R318" s="17">
        <v>0</v>
      </c>
      <c r="S318" s="17">
        <v>0</v>
      </c>
      <c r="T318" s="17">
        <v>0</v>
      </c>
      <c r="U318" s="17">
        <v>0</v>
      </c>
      <c r="V318" s="17">
        <v>0</v>
      </c>
      <c r="W318" s="17">
        <v>0</v>
      </c>
      <c r="X318" s="17">
        <v>0</v>
      </c>
      <c r="Y318" s="17">
        <v>0</v>
      </c>
      <c r="Z318" s="17">
        <v>0</v>
      </c>
      <c r="AA318" s="17">
        <v>4</v>
      </c>
      <c r="AB318" s="17">
        <v>7</v>
      </c>
      <c r="AC318" s="17">
        <v>9</v>
      </c>
      <c r="AD318" s="17">
        <v>20</v>
      </c>
      <c r="AE318" s="17">
        <v>37</v>
      </c>
      <c r="AF318" s="17">
        <v>60</v>
      </c>
      <c r="AG318" s="17">
        <v>86</v>
      </c>
      <c r="AH318" s="17">
        <v>111</v>
      </c>
      <c r="AI318" s="17">
        <v>140</v>
      </c>
      <c r="AJ318" s="17">
        <v>169</v>
      </c>
      <c r="AK318" s="17">
        <v>202</v>
      </c>
      <c r="AL318" s="17">
        <v>238</v>
      </c>
      <c r="AM318" s="17">
        <v>276</v>
      </c>
      <c r="AN318" s="17">
        <v>320</v>
      </c>
      <c r="AO318" s="17">
        <v>390</v>
      </c>
      <c r="AP318" s="17">
        <v>468</v>
      </c>
      <c r="AQ318" s="17">
        <v>585</v>
      </c>
      <c r="AR318" s="17">
        <v>684</v>
      </c>
      <c r="AS318" s="17">
        <v>801</v>
      </c>
      <c r="AT318" s="17">
        <v>928</v>
      </c>
      <c r="AU318" s="17">
        <v>1094</v>
      </c>
      <c r="AV318" s="17">
        <v>1253</v>
      </c>
      <c r="AW318" s="17">
        <v>1412</v>
      </c>
      <c r="AX318" s="17">
        <v>1582</v>
      </c>
      <c r="AY318" s="17">
        <v>1819</v>
      </c>
      <c r="AZ318" s="17">
        <v>2067</v>
      </c>
      <c r="BA318" s="17">
        <v>2369</v>
      </c>
      <c r="BB318" s="17">
        <v>2695</v>
      </c>
      <c r="BC318" s="17">
        <v>3044</v>
      </c>
      <c r="BD318" s="17">
        <v>3447</v>
      </c>
      <c r="BE318" s="17">
        <v>3893</v>
      </c>
      <c r="BF318" s="17">
        <v>4249</v>
      </c>
      <c r="BG318" s="17">
        <v>4561</v>
      </c>
      <c r="BH318" s="17">
        <v>4824</v>
      </c>
      <c r="BI318" s="17">
        <v>5029</v>
      </c>
      <c r="BJ318" s="17">
        <v>5257</v>
      </c>
      <c r="BK318" s="17">
        <v>5548</v>
      </c>
      <c r="BL318" s="17">
        <v>5806</v>
      </c>
      <c r="BM318" s="17">
        <v>6074</v>
      </c>
      <c r="BN318" s="17">
        <v>6327</v>
      </c>
      <c r="BO318" s="17">
        <v>6614</v>
      </c>
      <c r="BP318" s="17">
        <v>6886</v>
      </c>
      <c r="BQ318" s="17">
        <v>7193</v>
      </c>
      <c r="BR318" s="17">
        <v>7471</v>
      </c>
      <c r="BS318" s="17">
        <v>7714</v>
      </c>
      <c r="BT318" s="17">
        <v>7971</v>
      </c>
      <c r="BU318" s="17">
        <v>8183</v>
      </c>
      <c r="BV318" s="17">
        <v>8335</v>
      </c>
      <c r="BW318" s="17">
        <v>8467</v>
      </c>
      <c r="BX318" s="17">
        <v>8545</v>
      </c>
      <c r="BY318" s="17">
        <v>8609</v>
      </c>
      <c r="BZ318" s="17">
        <v>8651</v>
      </c>
      <c r="CA318" s="17">
        <v>8691</v>
      </c>
      <c r="CB318" s="17">
        <v>8716</v>
      </c>
      <c r="CC318" s="17">
        <v>8739</v>
      </c>
      <c r="CD318" s="17">
        <v>8750</v>
      </c>
      <c r="CE318" s="17">
        <v>8754</v>
      </c>
      <c r="CF318" s="17">
        <v>8756</v>
      </c>
      <c r="CG318" s="17">
        <v>8758</v>
      </c>
      <c r="CH318" s="17">
        <v>8760</v>
      </c>
      <c r="CI318" s="17">
        <v>8760</v>
      </c>
      <c r="CJ318" s="17">
        <v>8760</v>
      </c>
      <c r="CK318" s="17">
        <v>8760</v>
      </c>
      <c r="CL318" s="17">
        <v>8760</v>
      </c>
      <c r="CM318" s="17">
        <v>8760</v>
      </c>
      <c r="CN318" s="17">
        <v>8760</v>
      </c>
      <c r="CO318" s="17">
        <v>8760</v>
      </c>
      <c r="CP318" s="17">
        <v>8760</v>
      </c>
      <c r="CQ318" s="17">
        <v>8760</v>
      </c>
      <c r="CR318" s="17">
        <v>8760</v>
      </c>
      <c r="CS318" s="17">
        <v>8760</v>
      </c>
      <c r="CT318" s="17">
        <v>8760</v>
      </c>
      <c r="CU318" s="17">
        <v>8760</v>
      </c>
      <c r="CV318" s="17">
        <v>8760</v>
      </c>
      <c r="CW318" s="17">
        <v>8760</v>
      </c>
      <c r="CX318" s="17">
        <v>8760</v>
      </c>
      <c r="CY318" s="17">
        <v>8760</v>
      </c>
      <c r="CZ318" s="17">
        <v>8760</v>
      </c>
      <c r="DA318" s="17">
        <v>8760</v>
      </c>
      <c r="DB318" s="17">
        <v>8760</v>
      </c>
    </row>
    <row r="319" spans="1:106" s="17" customFormat="1" x14ac:dyDescent="0.25">
      <c r="B319" s="17" t="s">
        <v>329</v>
      </c>
      <c r="C319" s="17" t="s">
        <v>438</v>
      </c>
      <c r="D319" s="17" t="s">
        <v>978</v>
      </c>
      <c r="E319" s="17" t="s">
        <v>979</v>
      </c>
      <c r="F319" s="17">
        <v>102410</v>
      </c>
      <c r="G319" s="17">
        <v>0</v>
      </c>
      <c r="H319" s="17">
        <v>0</v>
      </c>
      <c r="I319" s="17">
        <v>0</v>
      </c>
      <c r="J319" s="17">
        <v>0</v>
      </c>
      <c r="K319" s="17">
        <v>0</v>
      </c>
      <c r="L319" s="17">
        <v>0</v>
      </c>
      <c r="M319" s="17">
        <v>0</v>
      </c>
      <c r="N319" s="17">
        <v>0</v>
      </c>
      <c r="O319" s="17">
        <v>0</v>
      </c>
      <c r="P319" s="17">
        <v>0</v>
      </c>
      <c r="Q319" s="17">
        <v>0</v>
      </c>
      <c r="R319" s="17">
        <v>0</v>
      </c>
      <c r="S319" s="17">
        <v>0</v>
      </c>
      <c r="T319" s="17">
        <v>0</v>
      </c>
      <c r="U319" s="17">
        <v>0</v>
      </c>
      <c r="V319" s="17">
        <v>0</v>
      </c>
      <c r="W319" s="17">
        <v>0</v>
      </c>
      <c r="X319" s="17">
        <v>0</v>
      </c>
      <c r="Y319" s="17">
        <v>0</v>
      </c>
      <c r="Z319" s="17">
        <v>0</v>
      </c>
      <c r="AA319" s="17">
        <v>0</v>
      </c>
      <c r="AB319" s="17">
        <v>0</v>
      </c>
      <c r="AC319" s="17">
        <v>0</v>
      </c>
      <c r="AD319" s="17">
        <v>0</v>
      </c>
      <c r="AE319" s="17">
        <v>0</v>
      </c>
      <c r="AF319" s="17">
        <v>0</v>
      </c>
      <c r="AG319" s="17">
        <v>0</v>
      </c>
      <c r="AH319" s="17">
        <v>0</v>
      </c>
      <c r="AI319" s="17">
        <v>0</v>
      </c>
      <c r="AJ319" s="17">
        <v>0</v>
      </c>
      <c r="AK319" s="17">
        <v>0</v>
      </c>
      <c r="AL319" s="17">
        <v>0</v>
      </c>
      <c r="AM319" s="17">
        <v>0</v>
      </c>
      <c r="AN319" s="17">
        <v>4</v>
      </c>
      <c r="AO319" s="17">
        <v>8</v>
      </c>
      <c r="AP319" s="17">
        <v>10</v>
      </c>
      <c r="AQ319" s="17">
        <v>20</v>
      </c>
      <c r="AR319" s="17">
        <v>29</v>
      </c>
      <c r="AS319" s="17">
        <v>61</v>
      </c>
      <c r="AT319" s="17">
        <v>116</v>
      </c>
      <c r="AU319" s="17">
        <v>165</v>
      </c>
      <c r="AV319" s="17">
        <v>252</v>
      </c>
      <c r="AW319" s="17">
        <v>372</v>
      </c>
      <c r="AX319" s="17">
        <v>548</v>
      </c>
      <c r="AY319" s="17">
        <v>691</v>
      </c>
      <c r="AZ319" s="17">
        <v>875</v>
      </c>
      <c r="BA319" s="17">
        <v>1110</v>
      </c>
      <c r="BB319" s="17">
        <v>1360</v>
      </c>
      <c r="BC319" s="17">
        <v>1671</v>
      </c>
      <c r="BD319" s="17">
        <v>2010</v>
      </c>
      <c r="BE319" s="17">
        <v>2447</v>
      </c>
      <c r="BF319" s="17">
        <v>2873</v>
      </c>
      <c r="BG319" s="17">
        <v>3256</v>
      </c>
      <c r="BH319" s="17">
        <v>3602</v>
      </c>
      <c r="BI319" s="17">
        <v>3932</v>
      </c>
      <c r="BJ319" s="17">
        <v>4256</v>
      </c>
      <c r="BK319" s="17">
        <v>4587</v>
      </c>
      <c r="BL319" s="17">
        <v>4880</v>
      </c>
      <c r="BM319" s="17">
        <v>5195</v>
      </c>
      <c r="BN319" s="17">
        <v>5471</v>
      </c>
      <c r="BO319" s="17">
        <v>5798</v>
      </c>
      <c r="BP319" s="17">
        <v>6162</v>
      </c>
      <c r="BQ319" s="17">
        <v>6524</v>
      </c>
      <c r="BR319" s="17">
        <v>6903</v>
      </c>
      <c r="BS319" s="17">
        <v>7215</v>
      </c>
      <c r="BT319" s="17">
        <v>7508</v>
      </c>
      <c r="BU319" s="17">
        <v>7761</v>
      </c>
      <c r="BV319" s="17">
        <v>7986</v>
      </c>
      <c r="BW319" s="17">
        <v>8182</v>
      </c>
      <c r="BX319" s="17">
        <v>8337</v>
      </c>
      <c r="BY319" s="17">
        <v>8447</v>
      </c>
      <c r="BZ319" s="17">
        <v>8528</v>
      </c>
      <c r="CA319" s="17">
        <v>8597</v>
      </c>
      <c r="CB319" s="17">
        <v>8655</v>
      </c>
      <c r="CC319" s="17">
        <v>8695</v>
      </c>
      <c r="CD319" s="17">
        <v>8729</v>
      </c>
      <c r="CE319" s="17">
        <v>8750</v>
      </c>
      <c r="CF319" s="17">
        <v>8760</v>
      </c>
      <c r="CG319" s="17">
        <v>8760</v>
      </c>
      <c r="CH319" s="17">
        <v>8760</v>
      </c>
      <c r="CI319" s="17">
        <v>8760</v>
      </c>
      <c r="CJ319" s="17">
        <v>8760</v>
      </c>
      <c r="CK319" s="17">
        <v>8760</v>
      </c>
      <c r="CL319" s="17">
        <v>8760</v>
      </c>
      <c r="CM319" s="17">
        <v>8760</v>
      </c>
      <c r="CN319" s="17">
        <v>8760</v>
      </c>
      <c r="CO319" s="17">
        <v>8760</v>
      </c>
      <c r="CP319" s="17">
        <v>8760</v>
      </c>
      <c r="CQ319" s="17">
        <v>8760</v>
      </c>
      <c r="CR319" s="17">
        <v>8760</v>
      </c>
      <c r="CS319" s="17">
        <v>8760</v>
      </c>
      <c r="CT319" s="17">
        <v>8760</v>
      </c>
      <c r="CU319" s="17">
        <v>8760</v>
      </c>
      <c r="CV319" s="17">
        <v>8760</v>
      </c>
      <c r="CW319" s="17">
        <v>8760</v>
      </c>
      <c r="CX319" s="17">
        <v>8760</v>
      </c>
      <c r="CY319" s="17">
        <v>8760</v>
      </c>
      <c r="CZ319" s="17">
        <v>8760</v>
      </c>
      <c r="DA319" s="17">
        <v>8760</v>
      </c>
      <c r="DB319" s="17">
        <v>8760</v>
      </c>
    </row>
    <row r="320" spans="1:106" s="17" customFormat="1" x14ac:dyDescent="0.25">
      <c r="B320" s="17" t="s">
        <v>330</v>
      </c>
      <c r="C320" s="17" t="s">
        <v>438</v>
      </c>
      <c r="D320" s="17" t="s">
        <v>980</v>
      </c>
      <c r="E320" s="17" t="s">
        <v>981</v>
      </c>
      <c r="F320" s="17">
        <v>102330</v>
      </c>
      <c r="G320" s="17">
        <v>0</v>
      </c>
      <c r="H320" s="17">
        <v>0</v>
      </c>
      <c r="I320" s="17">
        <v>0</v>
      </c>
      <c r="J320" s="17">
        <v>0</v>
      </c>
      <c r="K320" s="17">
        <v>0</v>
      </c>
      <c r="L320" s="17">
        <v>0</v>
      </c>
      <c r="M320" s="17">
        <v>0</v>
      </c>
      <c r="N320" s="17">
        <v>0</v>
      </c>
      <c r="O320" s="17">
        <v>0</v>
      </c>
      <c r="P320" s="17">
        <v>0</v>
      </c>
      <c r="Q320" s="17">
        <v>0</v>
      </c>
      <c r="R320" s="17">
        <v>0</v>
      </c>
      <c r="S320" s="17">
        <v>0</v>
      </c>
      <c r="T320" s="17">
        <v>0</v>
      </c>
      <c r="U320" s="17">
        <v>0</v>
      </c>
      <c r="V320" s="17">
        <v>0</v>
      </c>
      <c r="W320" s="17">
        <v>0</v>
      </c>
      <c r="X320" s="17">
        <v>0</v>
      </c>
      <c r="Y320" s="17">
        <v>0</v>
      </c>
      <c r="Z320" s="17">
        <v>0</v>
      </c>
      <c r="AA320" s="17">
        <v>0</v>
      </c>
      <c r="AB320" s="17">
        <v>0</v>
      </c>
      <c r="AC320" s="17">
        <v>0</v>
      </c>
      <c r="AD320" s="17">
        <v>0</v>
      </c>
      <c r="AE320" s="17">
        <v>0</v>
      </c>
      <c r="AF320" s="17">
        <v>0</v>
      </c>
      <c r="AG320" s="17">
        <v>0</v>
      </c>
      <c r="AH320" s="17">
        <v>0</v>
      </c>
      <c r="AI320" s="17">
        <v>0</v>
      </c>
      <c r="AJ320" s="17">
        <v>0</v>
      </c>
      <c r="AK320" s="17">
        <v>0</v>
      </c>
      <c r="AL320" s="17">
        <v>0</v>
      </c>
      <c r="AM320" s="17">
        <v>0</v>
      </c>
      <c r="AN320" s="17">
        <v>0</v>
      </c>
      <c r="AO320" s="17">
        <v>0</v>
      </c>
      <c r="AP320" s="17">
        <v>0</v>
      </c>
      <c r="AQ320" s="17">
        <v>0</v>
      </c>
      <c r="AR320" s="17">
        <v>0</v>
      </c>
      <c r="AS320" s="17">
        <v>10</v>
      </c>
      <c r="AT320" s="17">
        <v>24</v>
      </c>
      <c r="AU320" s="17">
        <v>60</v>
      </c>
      <c r="AV320" s="17">
        <v>122</v>
      </c>
      <c r="AW320" s="17">
        <v>203</v>
      </c>
      <c r="AX320" s="17">
        <v>305</v>
      </c>
      <c r="AY320" s="17">
        <v>409</v>
      </c>
      <c r="AZ320" s="17">
        <v>526</v>
      </c>
      <c r="BA320" s="17">
        <v>654</v>
      </c>
      <c r="BB320" s="17">
        <v>810</v>
      </c>
      <c r="BC320" s="17">
        <v>1040</v>
      </c>
      <c r="BD320" s="17">
        <v>1339</v>
      </c>
      <c r="BE320" s="17">
        <v>1715</v>
      </c>
      <c r="BF320" s="17">
        <v>2271</v>
      </c>
      <c r="BG320" s="17">
        <v>2796</v>
      </c>
      <c r="BH320" s="17">
        <v>3260</v>
      </c>
      <c r="BI320" s="17">
        <v>3748</v>
      </c>
      <c r="BJ320" s="17">
        <v>4009</v>
      </c>
      <c r="BK320" s="17">
        <v>4381</v>
      </c>
      <c r="BL320" s="17">
        <v>4667</v>
      </c>
      <c r="BM320" s="17">
        <v>4993</v>
      </c>
      <c r="BN320" s="17">
        <v>5349</v>
      </c>
      <c r="BO320" s="17">
        <v>5728</v>
      </c>
      <c r="BP320" s="17">
        <v>6131</v>
      </c>
      <c r="BQ320" s="17">
        <v>6510</v>
      </c>
      <c r="BR320" s="17">
        <v>6917</v>
      </c>
      <c r="BS320" s="17">
        <v>7274</v>
      </c>
      <c r="BT320" s="17">
        <v>7606</v>
      </c>
      <c r="BU320" s="17">
        <v>7869</v>
      </c>
      <c r="BV320" s="17">
        <v>8090</v>
      </c>
      <c r="BW320" s="17">
        <v>8260</v>
      </c>
      <c r="BX320" s="17">
        <v>8392</v>
      </c>
      <c r="BY320" s="17">
        <v>8484</v>
      </c>
      <c r="BZ320" s="17">
        <v>8553</v>
      </c>
      <c r="CA320" s="17">
        <v>8613</v>
      </c>
      <c r="CB320" s="17">
        <v>8661</v>
      </c>
      <c r="CC320" s="17">
        <v>8699</v>
      </c>
      <c r="CD320" s="17">
        <v>8727</v>
      </c>
      <c r="CE320" s="17">
        <v>8748</v>
      </c>
      <c r="CF320" s="17">
        <v>8759</v>
      </c>
      <c r="CG320" s="17">
        <v>8759</v>
      </c>
      <c r="CH320" s="17">
        <v>8760</v>
      </c>
      <c r="CI320" s="17">
        <v>8760</v>
      </c>
      <c r="CJ320" s="17">
        <v>8760</v>
      </c>
      <c r="CK320" s="17">
        <v>8760</v>
      </c>
      <c r="CL320" s="17">
        <v>8760</v>
      </c>
      <c r="CM320" s="17">
        <v>8760</v>
      </c>
      <c r="CN320" s="17">
        <v>8760</v>
      </c>
      <c r="CO320" s="17">
        <v>8760</v>
      </c>
      <c r="CP320" s="17">
        <v>8760</v>
      </c>
      <c r="CQ320" s="17">
        <v>8760</v>
      </c>
      <c r="CR320" s="17">
        <v>8760</v>
      </c>
      <c r="CS320" s="17">
        <v>8760</v>
      </c>
      <c r="CT320" s="17">
        <v>8760</v>
      </c>
      <c r="CU320" s="17">
        <v>8760</v>
      </c>
      <c r="CV320" s="17">
        <v>8760</v>
      </c>
      <c r="CW320" s="17">
        <v>8760</v>
      </c>
      <c r="CX320" s="17">
        <v>8760</v>
      </c>
      <c r="CY320" s="17">
        <v>8760</v>
      </c>
      <c r="CZ320" s="17">
        <v>8760</v>
      </c>
      <c r="DA320" s="17">
        <v>8760</v>
      </c>
      <c r="DB320" s="17">
        <v>8760</v>
      </c>
    </row>
    <row r="321" spans="2:113" s="17" customFormat="1" x14ac:dyDescent="0.25">
      <c r="B321" s="17" t="s">
        <v>319</v>
      </c>
      <c r="C321" s="17" t="s">
        <v>438</v>
      </c>
      <c r="D321" s="17" t="s">
        <v>982</v>
      </c>
      <c r="E321" s="17" t="s">
        <v>983</v>
      </c>
      <c r="F321" s="17">
        <v>102246</v>
      </c>
      <c r="G321" s="17">
        <v>0</v>
      </c>
      <c r="H321" s="17">
        <v>0</v>
      </c>
      <c r="I321" s="17">
        <v>0</v>
      </c>
      <c r="J321" s="17">
        <v>0</v>
      </c>
      <c r="K321" s="17">
        <v>0</v>
      </c>
      <c r="L321" s="17">
        <v>0</v>
      </c>
      <c r="M321" s="17">
        <v>0</v>
      </c>
      <c r="N321" s="17">
        <v>0</v>
      </c>
      <c r="O321" s="17">
        <v>0</v>
      </c>
      <c r="P321" s="17">
        <v>0</v>
      </c>
      <c r="Q321" s="17">
        <v>0</v>
      </c>
      <c r="R321" s="17">
        <v>0</v>
      </c>
      <c r="S321" s="17">
        <v>0</v>
      </c>
      <c r="T321" s="17">
        <v>0</v>
      </c>
      <c r="U321" s="17">
        <v>0</v>
      </c>
      <c r="V321" s="17">
        <v>0</v>
      </c>
      <c r="W321" s="17">
        <v>0</v>
      </c>
      <c r="X321" s="17">
        <v>0</v>
      </c>
      <c r="Y321" s="17">
        <v>0</v>
      </c>
      <c r="Z321" s="17">
        <v>0</v>
      </c>
      <c r="AA321" s="17">
        <v>0</v>
      </c>
      <c r="AB321" s="17">
        <v>0</v>
      </c>
      <c r="AC321" s="17">
        <v>0</v>
      </c>
      <c r="AD321" s="17">
        <v>0</v>
      </c>
      <c r="AE321" s="17">
        <v>0</v>
      </c>
      <c r="AF321" s="17">
        <v>0</v>
      </c>
      <c r="AG321" s="17">
        <v>0</v>
      </c>
      <c r="AH321" s="17">
        <v>0</v>
      </c>
      <c r="AI321" s="17">
        <v>0</v>
      </c>
      <c r="AJ321" s="17">
        <v>0</v>
      </c>
      <c r="AK321" s="17">
        <v>0</v>
      </c>
      <c r="AL321" s="17">
        <v>0</v>
      </c>
      <c r="AM321" s="17">
        <v>0</v>
      </c>
      <c r="AN321" s="17">
        <v>1</v>
      </c>
      <c r="AO321" s="17">
        <v>7</v>
      </c>
      <c r="AP321" s="17">
        <v>11</v>
      </c>
      <c r="AQ321" s="17">
        <v>20</v>
      </c>
      <c r="AR321" s="17">
        <v>29</v>
      </c>
      <c r="AS321" s="17">
        <v>48</v>
      </c>
      <c r="AT321" s="17">
        <v>85</v>
      </c>
      <c r="AU321" s="17">
        <v>143</v>
      </c>
      <c r="AV321" s="17">
        <v>222</v>
      </c>
      <c r="AW321" s="17">
        <v>293</v>
      </c>
      <c r="AX321" s="17">
        <v>376</v>
      </c>
      <c r="AY321" s="17">
        <v>486</v>
      </c>
      <c r="AZ321" s="17">
        <v>632</v>
      </c>
      <c r="BA321" s="17">
        <v>796</v>
      </c>
      <c r="BB321" s="17">
        <v>978</v>
      </c>
      <c r="BC321" s="17">
        <v>1219</v>
      </c>
      <c r="BD321" s="17">
        <v>1573</v>
      </c>
      <c r="BE321" s="17">
        <v>2032</v>
      </c>
      <c r="BF321" s="17">
        <v>2542</v>
      </c>
      <c r="BG321" s="17">
        <v>2969</v>
      </c>
      <c r="BH321" s="17">
        <v>3389</v>
      </c>
      <c r="BI321" s="17">
        <v>3775</v>
      </c>
      <c r="BJ321" s="17">
        <v>4147</v>
      </c>
      <c r="BK321" s="17">
        <v>4499</v>
      </c>
      <c r="BL321" s="17">
        <v>4821</v>
      </c>
      <c r="BM321" s="17">
        <v>5176</v>
      </c>
      <c r="BN321" s="17">
        <v>5561</v>
      </c>
      <c r="BO321" s="17">
        <v>5957</v>
      </c>
      <c r="BP321" s="17">
        <v>6318</v>
      </c>
      <c r="BQ321" s="17">
        <v>6695</v>
      </c>
      <c r="BR321" s="17">
        <v>7080</v>
      </c>
      <c r="BS321" s="17">
        <v>7444</v>
      </c>
      <c r="BT321" s="17">
        <v>7749</v>
      </c>
      <c r="BU321" s="17">
        <v>8029</v>
      </c>
      <c r="BV321" s="17">
        <v>8214</v>
      </c>
      <c r="BW321" s="17">
        <v>8383</v>
      </c>
      <c r="BX321" s="17">
        <v>8494</v>
      </c>
      <c r="BY321" s="17">
        <v>8583</v>
      </c>
      <c r="BZ321" s="17">
        <v>8636</v>
      </c>
      <c r="CA321" s="17">
        <v>8674</v>
      </c>
      <c r="CB321" s="17">
        <v>8695</v>
      </c>
      <c r="CC321" s="17">
        <v>8717</v>
      </c>
      <c r="CD321" s="17">
        <v>8735</v>
      </c>
      <c r="CE321" s="17">
        <v>8750</v>
      </c>
      <c r="CF321" s="17">
        <v>8758</v>
      </c>
      <c r="CG321" s="17">
        <v>8760</v>
      </c>
      <c r="CH321" s="17">
        <v>8760</v>
      </c>
      <c r="CI321" s="17">
        <v>8760</v>
      </c>
      <c r="CJ321" s="17">
        <v>8760</v>
      </c>
      <c r="CK321" s="17">
        <v>8760</v>
      </c>
      <c r="CL321" s="17">
        <v>8760</v>
      </c>
      <c r="CM321" s="17">
        <v>8760</v>
      </c>
      <c r="CN321" s="17">
        <v>8760</v>
      </c>
      <c r="CO321" s="17">
        <v>8760</v>
      </c>
      <c r="CP321" s="17">
        <v>8760</v>
      </c>
      <c r="CQ321" s="17">
        <v>8760</v>
      </c>
      <c r="CR321" s="17">
        <v>8760</v>
      </c>
      <c r="CS321" s="17">
        <v>8760</v>
      </c>
      <c r="CT321" s="17">
        <v>8760</v>
      </c>
      <c r="CU321" s="17">
        <v>8760</v>
      </c>
      <c r="CV321" s="17">
        <v>8760</v>
      </c>
      <c r="CW321" s="17">
        <v>8760</v>
      </c>
      <c r="CX321" s="17">
        <v>8760</v>
      </c>
      <c r="CY321" s="17">
        <v>8760</v>
      </c>
      <c r="CZ321" s="17">
        <v>8760</v>
      </c>
      <c r="DA321" s="17">
        <v>8760</v>
      </c>
      <c r="DB321" s="17">
        <v>8760</v>
      </c>
    </row>
    <row r="322" spans="2:113" s="17" customFormat="1" x14ac:dyDescent="0.25">
      <c r="B322" s="17" t="s">
        <v>314</v>
      </c>
      <c r="C322" s="17" t="s">
        <v>438</v>
      </c>
      <c r="D322" s="17" t="s">
        <v>984</v>
      </c>
      <c r="E322" s="17" t="s">
        <v>985</v>
      </c>
      <c r="F322" s="17">
        <v>102211</v>
      </c>
      <c r="G322" s="17">
        <v>0</v>
      </c>
      <c r="H322" s="17">
        <v>0</v>
      </c>
      <c r="I322" s="17">
        <v>0</v>
      </c>
      <c r="J322" s="17">
        <v>0</v>
      </c>
      <c r="K322" s="17">
        <v>0</v>
      </c>
      <c r="L322" s="17">
        <v>0</v>
      </c>
      <c r="M322" s="17">
        <v>0</v>
      </c>
      <c r="N322" s="17">
        <v>0</v>
      </c>
      <c r="O322" s="17">
        <v>0</v>
      </c>
      <c r="P322" s="17">
        <v>0</v>
      </c>
      <c r="Q322" s="17">
        <v>0</v>
      </c>
      <c r="R322" s="17">
        <v>0</v>
      </c>
      <c r="S322" s="17">
        <v>0</v>
      </c>
      <c r="T322" s="17">
        <v>0</v>
      </c>
      <c r="U322" s="17">
        <v>0</v>
      </c>
      <c r="V322" s="17">
        <v>0</v>
      </c>
      <c r="W322" s="17">
        <v>0</v>
      </c>
      <c r="X322" s="17">
        <v>0</v>
      </c>
      <c r="Y322" s="17">
        <v>0</v>
      </c>
      <c r="Z322" s="17">
        <v>0</v>
      </c>
      <c r="AA322" s="17">
        <v>0</v>
      </c>
      <c r="AB322" s="17">
        <v>0</v>
      </c>
      <c r="AC322" s="17">
        <v>0</v>
      </c>
      <c r="AD322" s="17">
        <v>0</v>
      </c>
      <c r="AE322" s="17">
        <v>0</v>
      </c>
      <c r="AF322" s="17">
        <v>0</v>
      </c>
      <c r="AG322" s="17">
        <v>0</v>
      </c>
      <c r="AH322" s="17">
        <v>0</v>
      </c>
      <c r="AI322" s="17">
        <v>0</v>
      </c>
      <c r="AJ322" s="17">
        <v>0</v>
      </c>
      <c r="AK322" s="17">
        <v>0</v>
      </c>
      <c r="AL322" s="17">
        <v>0</v>
      </c>
      <c r="AM322" s="17">
        <v>0</v>
      </c>
      <c r="AN322" s="17">
        <v>0</v>
      </c>
      <c r="AO322" s="17">
        <v>2</v>
      </c>
      <c r="AP322" s="17">
        <v>6</v>
      </c>
      <c r="AQ322" s="17">
        <v>12</v>
      </c>
      <c r="AR322" s="17">
        <v>29</v>
      </c>
      <c r="AS322" s="17">
        <v>49</v>
      </c>
      <c r="AT322" s="17">
        <v>84</v>
      </c>
      <c r="AU322" s="17">
        <v>125</v>
      </c>
      <c r="AV322" s="17">
        <v>183</v>
      </c>
      <c r="AW322" s="17">
        <v>241</v>
      </c>
      <c r="AX322" s="17">
        <v>327</v>
      </c>
      <c r="AY322" s="17">
        <v>436</v>
      </c>
      <c r="AZ322" s="17">
        <v>606</v>
      </c>
      <c r="BA322" s="17">
        <v>796</v>
      </c>
      <c r="BB322" s="17">
        <v>1050</v>
      </c>
      <c r="BC322" s="17">
        <v>1323</v>
      </c>
      <c r="BD322" s="17">
        <v>1645</v>
      </c>
      <c r="BE322" s="17">
        <v>2049</v>
      </c>
      <c r="BF322" s="17">
        <v>2459</v>
      </c>
      <c r="BG322" s="17">
        <v>2811</v>
      </c>
      <c r="BH322" s="17">
        <v>3164</v>
      </c>
      <c r="BI322" s="17">
        <v>3529</v>
      </c>
      <c r="BJ322" s="17">
        <v>3884</v>
      </c>
      <c r="BK322" s="17">
        <v>4269</v>
      </c>
      <c r="BL322" s="17">
        <v>4591</v>
      </c>
      <c r="BM322" s="17">
        <v>4893</v>
      </c>
      <c r="BN322" s="17">
        <v>5283</v>
      </c>
      <c r="BO322" s="17">
        <v>5707</v>
      </c>
      <c r="BP322" s="17">
        <v>6106</v>
      </c>
      <c r="BQ322" s="17">
        <v>6500</v>
      </c>
      <c r="BR322" s="17">
        <v>6871</v>
      </c>
      <c r="BS322" s="17">
        <v>7246</v>
      </c>
      <c r="BT322" s="17">
        <v>7587</v>
      </c>
      <c r="BU322" s="17">
        <v>7864</v>
      </c>
      <c r="BV322" s="17">
        <v>8108</v>
      </c>
      <c r="BW322" s="17">
        <v>8275</v>
      </c>
      <c r="BX322" s="17">
        <v>8407</v>
      </c>
      <c r="BY322" s="17">
        <v>8510</v>
      </c>
      <c r="BZ322" s="17">
        <v>8584</v>
      </c>
      <c r="CA322" s="17">
        <v>8647</v>
      </c>
      <c r="CB322" s="17">
        <v>8696</v>
      </c>
      <c r="CC322" s="17">
        <v>8724</v>
      </c>
      <c r="CD322" s="17">
        <v>8748</v>
      </c>
      <c r="CE322" s="17">
        <v>8757</v>
      </c>
      <c r="CF322" s="17">
        <v>8760</v>
      </c>
      <c r="CG322" s="17">
        <v>8760</v>
      </c>
      <c r="CH322" s="17">
        <v>8760</v>
      </c>
      <c r="CI322" s="17">
        <v>8760</v>
      </c>
      <c r="CJ322" s="17">
        <v>8760</v>
      </c>
      <c r="CK322" s="17">
        <v>8760</v>
      </c>
      <c r="CL322" s="17">
        <v>8760</v>
      </c>
      <c r="CM322" s="17">
        <v>8760</v>
      </c>
      <c r="CN322" s="17">
        <v>8760</v>
      </c>
      <c r="CO322" s="17">
        <v>8760</v>
      </c>
      <c r="CP322" s="17">
        <v>8760</v>
      </c>
      <c r="CQ322" s="17">
        <v>8760</v>
      </c>
      <c r="CR322" s="17">
        <v>8760</v>
      </c>
      <c r="CS322" s="17">
        <v>8760</v>
      </c>
      <c r="CT322" s="17">
        <v>8760</v>
      </c>
      <c r="CU322" s="17">
        <v>8760</v>
      </c>
      <c r="CV322" s="17">
        <v>8760</v>
      </c>
      <c r="CW322" s="17">
        <v>8760</v>
      </c>
      <c r="CX322" s="17">
        <v>8760</v>
      </c>
      <c r="CY322" s="17">
        <v>8760</v>
      </c>
      <c r="CZ322" s="17">
        <v>8760</v>
      </c>
      <c r="DA322" s="17">
        <v>8760</v>
      </c>
      <c r="DB322" s="17">
        <v>8760</v>
      </c>
    </row>
    <row r="323" spans="2:113" s="17" customFormat="1" x14ac:dyDescent="0.25">
      <c r="B323" s="17" t="s">
        <v>423</v>
      </c>
      <c r="C323" s="17" t="s">
        <v>438</v>
      </c>
      <c r="D323" s="17" t="s">
        <v>986</v>
      </c>
      <c r="E323" s="17" t="s">
        <v>987</v>
      </c>
      <c r="F323" s="17">
        <v>102904</v>
      </c>
      <c r="G323" s="17">
        <v>0</v>
      </c>
      <c r="H323" s="17">
        <v>0</v>
      </c>
      <c r="I323" s="17">
        <v>0</v>
      </c>
      <c r="J323" s="17">
        <v>0</v>
      </c>
      <c r="K323" s="17">
        <v>0</v>
      </c>
      <c r="L323" s="17">
        <v>0</v>
      </c>
      <c r="M323" s="17">
        <v>0</v>
      </c>
      <c r="N323" s="17">
        <v>0</v>
      </c>
      <c r="O323" s="17">
        <v>0</v>
      </c>
      <c r="P323" s="17">
        <v>0</v>
      </c>
      <c r="Q323" s="17">
        <v>0</v>
      </c>
      <c r="R323" s="17">
        <v>0</v>
      </c>
      <c r="S323" s="17">
        <v>0</v>
      </c>
      <c r="T323" s="17">
        <v>0</v>
      </c>
      <c r="U323" s="17">
        <v>0</v>
      </c>
      <c r="V323" s="17">
        <v>0</v>
      </c>
      <c r="W323" s="17">
        <v>0</v>
      </c>
      <c r="X323" s="17">
        <v>0</v>
      </c>
      <c r="Y323" s="17">
        <v>0</v>
      </c>
      <c r="Z323" s="17">
        <v>0</v>
      </c>
      <c r="AA323" s="17">
        <v>0</v>
      </c>
      <c r="AB323" s="17">
        <v>0</v>
      </c>
      <c r="AC323" s="17">
        <v>0</v>
      </c>
      <c r="AD323" s="17">
        <v>0</v>
      </c>
      <c r="AE323" s="17">
        <v>3</v>
      </c>
      <c r="AF323" s="17">
        <v>7</v>
      </c>
      <c r="AG323" s="17">
        <v>11</v>
      </c>
      <c r="AH323" s="17">
        <v>18</v>
      </c>
      <c r="AI323" s="17">
        <v>64</v>
      </c>
      <c r="AJ323" s="17">
        <v>97</v>
      </c>
      <c r="AK323" s="17">
        <v>121</v>
      </c>
      <c r="AL323" s="17">
        <v>149</v>
      </c>
      <c r="AM323" s="17">
        <v>179</v>
      </c>
      <c r="AN323" s="17">
        <v>239</v>
      </c>
      <c r="AO323" s="17">
        <v>309</v>
      </c>
      <c r="AP323" s="17">
        <v>363</v>
      </c>
      <c r="AQ323" s="17">
        <v>430</v>
      </c>
      <c r="AR323" s="17">
        <v>487</v>
      </c>
      <c r="AS323" s="17">
        <v>560</v>
      </c>
      <c r="AT323" s="17">
        <v>634</v>
      </c>
      <c r="AU323" s="17">
        <v>741</v>
      </c>
      <c r="AV323" s="17">
        <v>914</v>
      </c>
      <c r="AW323" s="17">
        <v>1083</v>
      </c>
      <c r="AX323" s="17">
        <v>1247</v>
      </c>
      <c r="AY323" s="17">
        <v>1472</v>
      </c>
      <c r="AZ323" s="17">
        <v>1795</v>
      </c>
      <c r="BA323" s="17">
        <v>2170</v>
      </c>
      <c r="BB323" s="17">
        <v>2524</v>
      </c>
      <c r="BC323" s="17">
        <v>2906</v>
      </c>
      <c r="BD323" s="17">
        <v>3325</v>
      </c>
      <c r="BE323" s="17">
        <v>3793</v>
      </c>
      <c r="BF323" s="17">
        <v>4123</v>
      </c>
      <c r="BG323" s="17">
        <v>4472</v>
      </c>
      <c r="BH323" s="17">
        <v>4767</v>
      </c>
      <c r="BI323" s="17">
        <v>5028</v>
      </c>
      <c r="BJ323" s="17">
        <v>5278</v>
      </c>
      <c r="BK323" s="17">
        <v>5539</v>
      </c>
      <c r="BL323" s="17">
        <v>5833</v>
      </c>
      <c r="BM323" s="17">
        <v>6136</v>
      </c>
      <c r="BN323" s="17">
        <v>6396</v>
      </c>
      <c r="BO323" s="17">
        <v>6692</v>
      </c>
      <c r="BP323" s="17">
        <v>7008</v>
      </c>
      <c r="BQ323" s="17">
        <v>7268</v>
      </c>
      <c r="BR323" s="17">
        <v>7550</v>
      </c>
      <c r="BS323" s="17">
        <v>7783</v>
      </c>
      <c r="BT323" s="17">
        <v>7973</v>
      </c>
      <c r="BU323" s="17">
        <v>8144</v>
      </c>
      <c r="BV323" s="17">
        <v>8290</v>
      </c>
      <c r="BW323" s="17">
        <v>8408</v>
      </c>
      <c r="BX323" s="17">
        <v>8487</v>
      </c>
      <c r="BY323" s="17">
        <v>8549</v>
      </c>
      <c r="BZ323" s="17">
        <v>8613</v>
      </c>
      <c r="CA323" s="17">
        <v>8660</v>
      </c>
      <c r="CB323" s="17">
        <v>8699</v>
      </c>
      <c r="CC323" s="17">
        <v>8725</v>
      </c>
      <c r="CD323" s="17">
        <v>8746</v>
      </c>
      <c r="CE323" s="17">
        <v>8756</v>
      </c>
      <c r="CF323" s="17">
        <v>8759</v>
      </c>
      <c r="CG323" s="17">
        <v>8760</v>
      </c>
      <c r="CH323" s="17">
        <v>8760</v>
      </c>
      <c r="CI323" s="17">
        <v>8760</v>
      </c>
      <c r="CJ323" s="17">
        <v>8760</v>
      </c>
      <c r="CK323" s="17">
        <v>8760</v>
      </c>
      <c r="CL323" s="17">
        <v>8760</v>
      </c>
      <c r="CM323" s="17">
        <v>8760</v>
      </c>
      <c r="CN323" s="17">
        <v>8760</v>
      </c>
      <c r="CO323" s="17">
        <v>8760</v>
      </c>
      <c r="CP323" s="17">
        <v>8760</v>
      </c>
      <c r="CQ323" s="17">
        <v>8760</v>
      </c>
      <c r="CR323" s="17">
        <v>8760</v>
      </c>
      <c r="CS323" s="17">
        <v>8760</v>
      </c>
      <c r="CT323" s="17">
        <v>8760</v>
      </c>
      <c r="CU323" s="17">
        <v>8760</v>
      </c>
      <c r="CV323" s="17">
        <v>8760</v>
      </c>
      <c r="CW323" s="17">
        <v>8760</v>
      </c>
      <c r="CX323" s="17">
        <v>8760</v>
      </c>
      <c r="CY323" s="17">
        <v>8760</v>
      </c>
      <c r="CZ323" s="17">
        <v>8760</v>
      </c>
      <c r="DA323" s="17">
        <v>8760</v>
      </c>
      <c r="DB323" s="17">
        <v>8760</v>
      </c>
    </row>
    <row r="324" spans="2:113" s="17" customFormat="1" x14ac:dyDescent="0.25">
      <c r="B324" s="17" t="s">
        <v>320</v>
      </c>
      <c r="C324" s="17" t="s">
        <v>438</v>
      </c>
      <c r="D324" s="17" t="s">
        <v>988</v>
      </c>
      <c r="E324" s="17" t="s">
        <v>989</v>
      </c>
      <c r="F324" s="17">
        <v>102625</v>
      </c>
      <c r="G324" s="17">
        <v>0</v>
      </c>
      <c r="H324" s="17">
        <v>0</v>
      </c>
      <c r="I324" s="17">
        <v>0</v>
      </c>
      <c r="J324" s="17">
        <v>0</v>
      </c>
      <c r="K324" s="17">
        <v>0</v>
      </c>
      <c r="L324" s="17">
        <v>0</v>
      </c>
      <c r="M324" s="17">
        <v>0</v>
      </c>
      <c r="N324" s="17">
        <v>0</v>
      </c>
      <c r="O324" s="17">
        <v>0</v>
      </c>
      <c r="P324" s="17">
        <v>0</v>
      </c>
      <c r="Q324" s="17">
        <v>0</v>
      </c>
      <c r="R324" s="17">
        <v>0</v>
      </c>
      <c r="S324" s="17">
        <v>0</v>
      </c>
      <c r="T324" s="17">
        <v>0</v>
      </c>
      <c r="U324" s="17">
        <v>0</v>
      </c>
      <c r="V324" s="17">
        <v>0</v>
      </c>
      <c r="W324" s="17">
        <v>0</v>
      </c>
      <c r="X324" s="17">
        <v>0</v>
      </c>
      <c r="Y324" s="17">
        <v>0</v>
      </c>
      <c r="Z324" s="17">
        <v>0</v>
      </c>
      <c r="AA324" s="17">
        <v>0</v>
      </c>
      <c r="AB324" s="17">
        <v>0</v>
      </c>
      <c r="AC324" s="17">
        <v>0</v>
      </c>
      <c r="AD324" s="17">
        <v>0</v>
      </c>
      <c r="AE324" s="17">
        <v>0</v>
      </c>
      <c r="AF324" s="17">
        <v>0</v>
      </c>
      <c r="AG324" s="17">
        <v>0</v>
      </c>
      <c r="AH324" s="17">
        <v>0</v>
      </c>
      <c r="AI324" s="17">
        <v>0</v>
      </c>
      <c r="AJ324" s="17">
        <v>0</v>
      </c>
      <c r="AK324" s="17">
        <v>0</v>
      </c>
      <c r="AL324" s="17">
        <v>0</v>
      </c>
      <c r="AM324" s="17">
        <v>0</v>
      </c>
      <c r="AN324" s="17">
        <v>0</v>
      </c>
      <c r="AO324" s="17">
        <v>0</v>
      </c>
      <c r="AP324" s="17">
        <v>0</v>
      </c>
      <c r="AQ324" s="17">
        <v>3</v>
      </c>
      <c r="AR324" s="17">
        <v>12</v>
      </c>
      <c r="AS324" s="17">
        <v>29</v>
      </c>
      <c r="AT324" s="17">
        <v>75</v>
      </c>
      <c r="AU324" s="17">
        <v>111</v>
      </c>
      <c r="AV324" s="17">
        <v>162</v>
      </c>
      <c r="AW324" s="17">
        <v>219</v>
      </c>
      <c r="AX324" s="17">
        <v>278</v>
      </c>
      <c r="AY324" s="17">
        <v>335</v>
      </c>
      <c r="AZ324" s="17">
        <v>432</v>
      </c>
      <c r="BA324" s="17">
        <v>611</v>
      </c>
      <c r="BB324" s="17">
        <v>853</v>
      </c>
      <c r="BC324" s="17">
        <v>1200</v>
      </c>
      <c r="BD324" s="17">
        <v>1660</v>
      </c>
      <c r="BE324" s="17">
        <v>2164</v>
      </c>
      <c r="BF324" s="17">
        <v>2615</v>
      </c>
      <c r="BG324" s="17">
        <v>3099</v>
      </c>
      <c r="BH324" s="17">
        <v>3485</v>
      </c>
      <c r="BI324" s="17">
        <v>3821</v>
      </c>
      <c r="BJ324" s="17">
        <v>4121</v>
      </c>
      <c r="BK324" s="17">
        <v>4431</v>
      </c>
      <c r="BL324" s="17">
        <v>4734</v>
      </c>
      <c r="BM324" s="17">
        <v>5108</v>
      </c>
      <c r="BN324" s="17">
        <v>5439</v>
      </c>
      <c r="BO324" s="17">
        <v>5754</v>
      </c>
      <c r="BP324" s="17">
        <v>6076</v>
      </c>
      <c r="BQ324" s="17">
        <v>6463</v>
      </c>
      <c r="BR324" s="17">
        <v>6881</v>
      </c>
      <c r="BS324" s="17">
        <v>7273</v>
      </c>
      <c r="BT324" s="17">
        <v>7619</v>
      </c>
      <c r="BU324" s="17">
        <v>7892</v>
      </c>
      <c r="BV324" s="17">
        <v>8134</v>
      </c>
      <c r="BW324" s="17">
        <v>8326</v>
      </c>
      <c r="BX324" s="17">
        <v>8477</v>
      </c>
      <c r="BY324" s="17">
        <v>8594</v>
      </c>
      <c r="BZ324" s="17">
        <v>8689</v>
      </c>
      <c r="CA324" s="17">
        <v>8730</v>
      </c>
      <c r="CB324" s="17">
        <v>8743</v>
      </c>
      <c r="CC324" s="17">
        <v>8754</v>
      </c>
      <c r="CD324" s="17">
        <v>8760</v>
      </c>
      <c r="CE324" s="17">
        <v>8760</v>
      </c>
      <c r="CF324" s="17">
        <v>8760</v>
      </c>
      <c r="CG324" s="17">
        <v>8760</v>
      </c>
      <c r="CH324" s="17">
        <v>8760</v>
      </c>
      <c r="CI324" s="17">
        <v>8760</v>
      </c>
      <c r="CJ324" s="17">
        <v>8760</v>
      </c>
      <c r="CK324" s="17">
        <v>8760</v>
      </c>
      <c r="CL324" s="17">
        <v>8760</v>
      </c>
      <c r="CM324" s="17">
        <v>8760</v>
      </c>
      <c r="CN324" s="17">
        <v>8760</v>
      </c>
      <c r="CO324" s="17">
        <v>8760</v>
      </c>
      <c r="CP324" s="17">
        <v>8760</v>
      </c>
      <c r="CQ324" s="17">
        <v>8760</v>
      </c>
      <c r="CR324" s="17">
        <v>8760</v>
      </c>
      <c r="CS324" s="17">
        <v>8760</v>
      </c>
      <c r="CT324" s="17">
        <v>8760</v>
      </c>
      <c r="CU324" s="17">
        <v>8760</v>
      </c>
      <c r="CV324" s="17">
        <v>8760</v>
      </c>
      <c r="CW324" s="17">
        <v>8760</v>
      </c>
      <c r="CX324" s="17">
        <v>8760</v>
      </c>
      <c r="CY324" s="17">
        <v>8760</v>
      </c>
      <c r="CZ324" s="17">
        <v>8760</v>
      </c>
      <c r="DA324" s="17">
        <v>8760</v>
      </c>
      <c r="DB324" s="17">
        <v>8760</v>
      </c>
    </row>
    <row r="325" spans="2:113" s="17" customFormat="1" x14ac:dyDescent="0.25">
      <c r="B325" s="17" t="s">
        <v>321</v>
      </c>
      <c r="C325" s="17" t="s">
        <v>438</v>
      </c>
      <c r="D325" s="17" t="s">
        <v>990</v>
      </c>
      <c r="E325" s="17" t="s">
        <v>991</v>
      </c>
      <c r="F325" s="17">
        <v>102318</v>
      </c>
      <c r="G325" s="17">
        <v>0</v>
      </c>
      <c r="H325" s="17">
        <v>0</v>
      </c>
      <c r="I325" s="17">
        <v>0</v>
      </c>
      <c r="J325" s="17">
        <v>0</v>
      </c>
      <c r="K325" s="17">
        <v>0</v>
      </c>
      <c r="L325" s="17">
        <v>0</v>
      </c>
      <c r="M325" s="17">
        <v>0</v>
      </c>
      <c r="N325" s="17">
        <v>0</v>
      </c>
      <c r="O325" s="17">
        <v>0</v>
      </c>
      <c r="P325" s="17">
        <v>0</v>
      </c>
      <c r="Q325" s="17">
        <v>0</v>
      </c>
      <c r="R325" s="17">
        <v>0</v>
      </c>
      <c r="S325" s="17">
        <v>0</v>
      </c>
      <c r="T325" s="17">
        <v>0</v>
      </c>
      <c r="U325" s="17">
        <v>0</v>
      </c>
      <c r="V325" s="17">
        <v>0</v>
      </c>
      <c r="W325" s="17">
        <v>0</v>
      </c>
      <c r="X325" s="17">
        <v>0</v>
      </c>
      <c r="Y325" s="17">
        <v>0</v>
      </c>
      <c r="Z325" s="17">
        <v>0</v>
      </c>
      <c r="AA325" s="17">
        <v>0</v>
      </c>
      <c r="AB325" s="17">
        <v>0</v>
      </c>
      <c r="AC325" s="17">
        <v>0</v>
      </c>
      <c r="AD325" s="17">
        <v>0</v>
      </c>
      <c r="AE325" s="17">
        <v>0</v>
      </c>
      <c r="AF325" s="17">
        <v>0</v>
      </c>
      <c r="AG325" s="17">
        <v>0</v>
      </c>
      <c r="AH325" s="17">
        <v>0</v>
      </c>
      <c r="AI325" s="17">
        <v>0</v>
      </c>
      <c r="AJ325" s="17">
        <v>2</v>
      </c>
      <c r="AK325" s="17">
        <v>5</v>
      </c>
      <c r="AL325" s="17">
        <v>9</v>
      </c>
      <c r="AM325" s="17">
        <v>15</v>
      </c>
      <c r="AN325" s="17">
        <v>22</v>
      </c>
      <c r="AO325" s="17">
        <v>27</v>
      </c>
      <c r="AP325" s="17">
        <v>36</v>
      </c>
      <c r="AQ325" s="17">
        <v>49</v>
      </c>
      <c r="AR325" s="17">
        <v>66</v>
      </c>
      <c r="AS325" s="17">
        <v>100</v>
      </c>
      <c r="AT325" s="17">
        <v>126</v>
      </c>
      <c r="AU325" s="17">
        <v>179</v>
      </c>
      <c r="AV325" s="17">
        <v>266</v>
      </c>
      <c r="AW325" s="17">
        <v>364</v>
      </c>
      <c r="AX325" s="17">
        <v>470</v>
      </c>
      <c r="AY325" s="17">
        <v>630</v>
      </c>
      <c r="AZ325" s="17">
        <v>810</v>
      </c>
      <c r="BA325" s="17">
        <v>1076</v>
      </c>
      <c r="BB325" s="17">
        <v>1338</v>
      </c>
      <c r="BC325" s="17">
        <v>1592</v>
      </c>
      <c r="BD325" s="17">
        <v>1942</v>
      </c>
      <c r="BE325" s="17">
        <v>2332</v>
      </c>
      <c r="BF325" s="17">
        <v>2729</v>
      </c>
      <c r="BG325" s="17">
        <v>3138</v>
      </c>
      <c r="BH325" s="17">
        <v>3484</v>
      </c>
      <c r="BI325" s="17">
        <v>3880</v>
      </c>
      <c r="BJ325" s="17">
        <v>4223</v>
      </c>
      <c r="BK325" s="17">
        <v>4608</v>
      </c>
      <c r="BL325" s="17">
        <v>4971</v>
      </c>
      <c r="BM325" s="17">
        <v>5338</v>
      </c>
      <c r="BN325" s="17">
        <v>5716</v>
      </c>
      <c r="BO325" s="17">
        <v>6117</v>
      </c>
      <c r="BP325" s="17">
        <v>6476</v>
      </c>
      <c r="BQ325" s="17">
        <v>6840</v>
      </c>
      <c r="BR325" s="17">
        <v>7116</v>
      </c>
      <c r="BS325" s="17">
        <v>7382</v>
      </c>
      <c r="BT325" s="17">
        <v>7640</v>
      </c>
      <c r="BU325" s="17">
        <v>7855</v>
      </c>
      <c r="BV325" s="17">
        <v>8038</v>
      </c>
      <c r="BW325" s="17">
        <v>8169</v>
      </c>
      <c r="BX325" s="17">
        <v>8289</v>
      </c>
      <c r="BY325" s="17">
        <v>8393</v>
      </c>
      <c r="BZ325" s="17">
        <v>8476</v>
      </c>
      <c r="CA325" s="17">
        <v>8572</v>
      </c>
      <c r="CB325" s="17">
        <v>8634</v>
      </c>
      <c r="CC325" s="17">
        <v>8677</v>
      </c>
      <c r="CD325" s="17">
        <v>8710</v>
      </c>
      <c r="CE325" s="17">
        <v>8738</v>
      </c>
      <c r="CF325" s="17">
        <v>8749</v>
      </c>
      <c r="CG325" s="17">
        <v>8759</v>
      </c>
      <c r="CH325" s="17">
        <v>8760</v>
      </c>
      <c r="CI325" s="17">
        <v>8760</v>
      </c>
      <c r="CJ325" s="17">
        <v>8760</v>
      </c>
      <c r="CK325" s="17">
        <v>8760</v>
      </c>
      <c r="CL325" s="17">
        <v>8760</v>
      </c>
      <c r="CM325" s="17">
        <v>8760</v>
      </c>
      <c r="CN325" s="17">
        <v>8760</v>
      </c>
      <c r="CO325" s="17">
        <v>8760</v>
      </c>
      <c r="CP325" s="17">
        <v>8760</v>
      </c>
      <c r="CQ325" s="17">
        <v>8760</v>
      </c>
      <c r="CR325" s="17">
        <v>8760</v>
      </c>
      <c r="CS325" s="17">
        <v>8760</v>
      </c>
      <c r="CT325" s="17">
        <v>8760</v>
      </c>
      <c r="CU325" s="17">
        <v>8760</v>
      </c>
      <c r="CV325" s="17">
        <v>8760</v>
      </c>
      <c r="CW325" s="17">
        <v>8760</v>
      </c>
      <c r="CX325" s="17">
        <v>8760</v>
      </c>
      <c r="CY325" s="17">
        <v>8760</v>
      </c>
      <c r="CZ325" s="17">
        <v>8760</v>
      </c>
      <c r="DA325" s="17">
        <v>8760</v>
      </c>
      <c r="DB325" s="17">
        <v>8760</v>
      </c>
    </row>
    <row r="326" spans="2:113" s="17" customFormat="1" x14ac:dyDescent="0.25">
      <c r="B326" s="17" t="s">
        <v>323</v>
      </c>
      <c r="C326" s="17" t="s">
        <v>438</v>
      </c>
      <c r="D326" s="17" t="s">
        <v>992</v>
      </c>
      <c r="E326" s="17" t="s">
        <v>993</v>
      </c>
      <c r="F326" s="17">
        <v>102329</v>
      </c>
      <c r="G326" s="17">
        <v>0</v>
      </c>
      <c r="H326" s="17">
        <v>0</v>
      </c>
      <c r="I326" s="17">
        <v>0</v>
      </c>
      <c r="J326" s="17">
        <v>0</v>
      </c>
      <c r="K326" s="17">
        <v>0</v>
      </c>
      <c r="L326" s="17">
        <v>0</v>
      </c>
      <c r="M326" s="17">
        <v>0</v>
      </c>
      <c r="N326" s="17">
        <v>0</v>
      </c>
      <c r="O326" s="17">
        <v>0</v>
      </c>
      <c r="P326" s="17">
        <v>0</v>
      </c>
      <c r="Q326" s="17">
        <v>0</v>
      </c>
      <c r="R326" s="17">
        <v>0</v>
      </c>
      <c r="S326" s="17">
        <v>0</v>
      </c>
      <c r="T326" s="17">
        <v>0</v>
      </c>
      <c r="U326" s="17">
        <v>0</v>
      </c>
      <c r="V326" s="17">
        <v>0</v>
      </c>
      <c r="W326" s="17">
        <v>0</v>
      </c>
      <c r="X326" s="17">
        <v>0</v>
      </c>
      <c r="Y326" s="17">
        <v>0</v>
      </c>
      <c r="Z326" s="17">
        <v>0</v>
      </c>
      <c r="AA326" s="17">
        <v>0</v>
      </c>
      <c r="AB326" s="17">
        <v>0</v>
      </c>
      <c r="AC326" s="17">
        <v>0</v>
      </c>
      <c r="AD326" s="17">
        <v>0</v>
      </c>
      <c r="AE326" s="17">
        <v>0</v>
      </c>
      <c r="AF326" s="17">
        <v>0</v>
      </c>
      <c r="AG326" s="17">
        <v>0</v>
      </c>
      <c r="AH326" s="17">
        <v>0</v>
      </c>
      <c r="AI326" s="17">
        <v>0</v>
      </c>
      <c r="AJ326" s="17">
        <v>0</v>
      </c>
      <c r="AK326" s="17">
        <v>0</v>
      </c>
      <c r="AL326" s="17">
        <v>0</v>
      </c>
      <c r="AM326" s="17">
        <v>0</v>
      </c>
      <c r="AN326" s="17">
        <v>0</v>
      </c>
      <c r="AO326" s="17">
        <v>0</v>
      </c>
      <c r="AP326" s="17">
        <v>4</v>
      </c>
      <c r="AQ326" s="17">
        <v>8</v>
      </c>
      <c r="AR326" s="17">
        <v>17</v>
      </c>
      <c r="AS326" s="17">
        <v>30</v>
      </c>
      <c r="AT326" s="17">
        <v>53</v>
      </c>
      <c r="AU326" s="17">
        <v>86</v>
      </c>
      <c r="AV326" s="17">
        <v>135</v>
      </c>
      <c r="AW326" s="17">
        <v>201</v>
      </c>
      <c r="AX326" s="17">
        <v>280</v>
      </c>
      <c r="AY326" s="17">
        <v>357</v>
      </c>
      <c r="AZ326" s="17">
        <v>493</v>
      </c>
      <c r="BA326" s="17">
        <v>668</v>
      </c>
      <c r="BB326" s="17">
        <v>927</v>
      </c>
      <c r="BC326" s="17">
        <v>1217</v>
      </c>
      <c r="BD326" s="17">
        <v>1527</v>
      </c>
      <c r="BE326" s="17">
        <v>1957</v>
      </c>
      <c r="BF326" s="17">
        <v>2404</v>
      </c>
      <c r="BG326" s="17">
        <v>2793</v>
      </c>
      <c r="BH326" s="17">
        <v>3256</v>
      </c>
      <c r="BI326" s="17">
        <v>3746</v>
      </c>
      <c r="BJ326" s="17">
        <v>4141</v>
      </c>
      <c r="BK326" s="17">
        <v>4449</v>
      </c>
      <c r="BL326" s="17">
        <v>4739</v>
      </c>
      <c r="BM326" s="17">
        <v>5023</v>
      </c>
      <c r="BN326" s="17">
        <v>5329</v>
      </c>
      <c r="BO326" s="17">
        <v>5662</v>
      </c>
      <c r="BP326" s="17">
        <v>6020</v>
      </c>
      <c r="BQ326" s="17">
        <v>6366</v>
      </c>
      <c r="BR326" s="17">
        <v>6683</v>
      </c>
      <c r="BS326" s="17">
        <v>7032</v>
      </c>
      <c r="BT326" s="17">
        <v>7345</v>
      </c>
      <c r="BU326" s="17">
        <v>7610</v>
      </c>
      <c r="BV326" s="17">
        <v>7825</v>
      </c>
      <c r="BW326" s="17">
        <v>8024</v>
      </c>
      <c r="BX326" s="17">
        <v>8189</v>
      </c>
      <c r="BY326" s="17">
        <v>8342</v>
      </c>
      <c r="BZ326" s="17">
        <v>8441</v>
      </c>
      <c r="CA326" s="17">
        <v>8540</v>
      </c>
      <c r="CB326" s="17">
        <v>8647</v>
      </c>
      <c r="CC326" s="17">
        <v>8702</v>
      </c>
      <c r="CD326" s="17">
        <v>8742</v>
      </c>
      <c r="CE326" s="17">
        <v>8758</v>
      </c>
      <c r="CF326" s="17">
        <v>8760</v>
      </c>
      <c r="CG326" s="17">
        <v>8760</v>
      </c>
      <c r="CH326" s="17">
        <v>8760</v>
      </c>
      <c r="CI326" s="17">
        <v>8760</v>
      </c>
      <c r="CJ326" s="17">
        <v>8760</v>
      </c>
      <c r="CK326" s="17">
        <v>8760</v>
      </c>
      <c r="CL326" s="17">
        <v>8760</v>
      </c>
      <c r="CM326" s="17">
        <v>8760</v>
      </c>
      <c r="CN326" s="17">
        <v>8760</v>
      </c>
      <c r="CO326" s="17">
        <v>8760</v>
      </c>
      <c r="CP326" s="17">
        <v>8760</v>
      </c>
      <c r="CQ326" s="17">
        <v>8760</v>
      </c>
      <c r="CR326" s="17">
        <v>8760</v>
      </c>
      <c r="CS326" s="17">
        <v>8760</v>
      </c>
      <c r="CT326" s="17">
        <v>8760</v>
      </c>
      <c r="CU326" s="17">
        <v>8760</v>
      </c>
      <c r="CV326" s="17">
        <v>8760</v>
      </c>
      <c r="CW326" s="17">
        <v>8760</v>
      </c>
      <c r="CX326" s="17">
        <v>8760</v>
      </c>
      <c r="CY326" s="17">
        <v>8760</v>
      </c>
      <c r="CZ326" s="17">
        <v>8760</v>
      </c>
      <c r="DA326" s="17">
        <v>8760</v>
      </c>
      <c r="DB326" s="17">
        <v>8760</v>
      </c>
    </row>
    <row r="327" spans="2:113" s="17" customFormat="1" x14ac:dyDescent="0.25">
      <c r="B327" s="17" t="s">
        <v>322</v>
      </c>
      <c r="C327" s="17" t="s">
        <v>438</v>
      </c>
      <c r="D327" s="17" t="s">
        <v>994</v>
      </c>
      <c r="E327" s="17" t="s">
        <v>995</v>
      </c>
      <c r="F327" s="17">
        <v>102605</v>
      </c>
      <c r="G327" s="17">
        <v>0</v>
      </c>
      <c r="H327" s="17">
        <v>0</v>
      </c>
      <c r="I327" s="17">
        <v>0</v>
      </c>
      <c r="J327" s="17">
        <v>0</v>
      </c>
      <c r="K327" s="17">
        <v>0</v>
      </c>
      <c r="L327" s="17">
        <v>0</v>
      </c>
      <c r="M327" s="17">
        <v>0</v>
      </c>
      <c r="N327" s="17">
        <v>0</v>
      </c>
      <c r="O327" s="17">
        <v>0</v>
      </c>
      <c r="P327" s="17">
        <v>0</v>
      </c>
      <c r="Q327" s="17">
        <v>0</v>
      </c>
      <c r="R327" s="17">
        <v>0</v>
      </c>
      <c r="S327" s="17">
        <v>0</v>
      </c>
      <c r="T327" s="17">
        <v>0</v>
      </c>
      <c r="U327" s="17">
        <v>0</v>
      </c>
      <c r="V327" s="17">
        <v>0</v>
      </c>
      <c r="W327" s="17">
        <v>0</v>
      </c>
      <c r="X327" s="17">
        <v>0</v>
      </c>
      <c r="Y327" s="17">
        <v>0</v>
      </c>
      <c r="Z327" s="17">
        <v>0</v>
      </c>
      <c r="AA327" s="17">
        <v>0</v>
      </c>
      <c r="AB327" s="17">
        <v>0</v>
      </c>
      <c r="AC327" s="17">
        <v>0</v>
      </c>
      <c r="AD327" s="17">
        <v>0</v>
      </c>
      <c r="AE327" s="17">
        <v>0</v>
      </c>
      <c r="AF327" s="17">
        <v>0</v>
      </c>
      <c r="AG327" s="17">
        <v>0</v>
      </c>
      <c r="AH327" s="17">
        <v>0</v>
      </c>
      <c r="AI327" s="17">
        <v>0</v>
      </c>
      <c r="AJ327" s="17">
        <v>4</v>
      </c>
      <c r="AK327" s="17">
        <v>5</v>
      </c>
      <c r="AL327" s="17">
        <v>15</v>
      </c>
      <c r="AM327" s="17">
        <v>33</v>
      </c>
      <c r="AN327" s="17">
        <v>46</v>
      </c>
      <c r="AO327" s="17">
        <v>57</v>
      </c>
      <c r="AP327" s="17">
        <v>79</v>
      </c>
      <c r="AQ327" s="17">
        <v>108</v>
      </c>
      <c r="AR327" s="17">
        <v>133</v>
      </c>
      <c r="AS327" s="17">
        <v>169</v>
      </c>
      <c r="AT327" s="17">
        <v>214</v>
      </c>
      <c r="AU327" s="17">
        <v>276</v>
      </c>
      <c r="AV327" s="17">
        <v>342</v>
      </c>
      <c r="AW327" s="17">
        <v>434</v>
      </c>
      <c r="AX327" s="17">
        <v>566</v>
      </c>
      <c r="AY327" s="17">
        <v>705</v>
      </c>
      <c r="AZ327" s="17">
        <v>871</v>
      </c>
      <c r="BA327" s="17">
        <v>1122</v>
      </c>
      <c r="BB327" s="17">
        <v>1433</v>
      </c>
      <c r="BC327" s="17">
        <v>1743</v>
      </c>
      <c r="BD327" s="17">
        <v>2115</v>
      </c>
      <c r="BE327" s="17">
        <v>2532</v>
      </c>
      <c r="BF327" s="17">
        <v>2907</v>
      </c>
      <c r="BG327" s="17">
        <v>3258</v>
      </c>
      <c r="BH327" s="17">
        <v>3582</v>
      </c>
      <c r="BI327" s="17">
        <v>3974</v>
      </c>
      <c r="BJ327" s="17">
        <v>4294</v>
      </c>
      <c r="BK327" s="17">
        <v>4615</v>
      </c>
      <c r="BL327" s="17">
        <v>4942</v>
      </c>
      <c r="BM327" s="17">
        <v>5195</v>
      </c>
      <c r="BN327" s="17">
        <v>5543</v>
      </c>
      <c r="BO327" s="17">
        <v>5886</v>
      </c>
      <c r="BP327" s="17">
        <v>6220</v>
      </c>
      <c r="BQ327" s="17">
        <v>6603</v>
      </c>
      <c r="BR327" s="17">
        <v>6975</v>
      </c>
      <c r="BS327" s="17">
        <v>7311</v>
      </c>
      <c r="BT327" s="17">
        <v>7609</v>
      </c>
      <c r="BU327" s="17">
        <v>7871</v>
      </c>
      <c r="BV327" s="17">
        <v>8066</v>
      </c>
      <c r="BW327" s="17">
        <v>8223</v>
      </c>
      <c r="BX327" s="17">
        <v>8367</v>
      </c>
      <c r="BY327" s="17">
        <v>8504</v>
      </c>
      <c r="BZ327" s="17">
        <v>8574</v>
      </c>
      <c r="CA327" s="17">
        <v>8643</v>
      </c>
      <c r="CB327" s="17">
        <v>8693</v>
      </c>
      <c r="CC327" s="17">
        <v>8717</v>
      </c>
      <c r="CD327" s="17">
        <v>8739</v>
      </c>
      <c r="CE327" s="17">
        <v>8751</v>
      </c>
      <c r="CF327" s="17">
        <v>8754</v>
      </c>
      <c r="CG327" s="17">
        <v>8756</v>
      </c>
      <c r="CH327" s="17">
        <v>8760</v>
      </c>
      <c r="CI327" s="17">
        <v>8760</v>
      </c>
      <c r="CJ327" s="17">
        <v>8760</v>
      </c>
      <c r="CK327" s="17">
        <v>8760</v>
      </c>
      <c r="CL327" s="17">
        <v>8760</v>
      </c>
      <c r="CM327" s="17">
        <v>8760</v>
      </c>
      <c r="CN327" s="17">
        <v>8760</v>
      </c>
      <c r="CO327" s="17">
        <v>8760</v>
      </c>
      <c r="CP327" s="17">
        <v>8760</v>
      </c>
      <c r="CQ327" s="17">
        <v>8760</v>
      </c>
      <c r="CR327" s="17">
        <v>8760</v>
      </c>
      <c r="CS327" s="17">
        <v>8760</v>
      </c>
      <c r="CT327" s="17">
        <v>8760</v>
      </c>
      <c r="CU327" s="17">
        <v>8760</v>
      </c>
      <c r="CV327" s="17">
        <v>8760</v>
      </c>
      <c r="CW327" s="17">
        <v>8760</v>
      </c>
      <c r="CX327" s="17">
        <v>8760</v>
      </c>
      <c r="CY327" s="17">
        <v>8760</v>
      </c>
      <c r="CZ327" s="17">
        <v>8760</v>
      </c>
      <c r="DA327" s="17">
        <v>8760</v>
      </c>
      <c r="DB327" s="17">
        <v>8760</v>
      </c>
    </row>
    <row r="328" spans="2:113" s="17" customFormat="1" x14ac:dyDescent="0.25">
      <c r="B328" s="17" t="s">
        <v>324</v>
      </c>
      <c r="C328" s="17" t="s">
        <v>438</v>
      </c>
      <c r="D328" s="17" t="s">
        <v>996</v>
      </c>
      <c r="E328" s="17" t="s">
        <v>997</v>
      </c>
      <c r="F328" s="17">
        <v>102311</v>
      </c>
      <c r="G328" s="17">
        <v>0</v>
      </c>
      <c r="H328" s="17">
        <v>0</v>
      </c>
      <c r="I328" s="17">
        <v>0</v>
      </c>
      <c r="J328" s="17">
        <v>0</v>
      </c>
      <c r="K328" s="17">
        <v>0</v>
      </c>
      <c r="L328" s="17">
        <v>0</v>
      </c>
      <c r="M328" s="17">
        <v>0</v>
      </c>
      <c r="N328" s="17">
        <v>0</v>
      </c>
      <c r="O328" s="17">
        <v>0</v>
      </c>
      <c r="P328" s="17">
        <v>0</v>
      </c>
      <c r="Q328" s="17">
        <v>0</v>
      </c>
      <c r="R328" s="17">
        <v>0</v>
      </c>
      <c r="S328" s="17">
        <v>0</v>
      </c>
      <c r="T328" s="17">
        <v>0</v>
      </c>
      <c r="U328" s="17">
        <v>0</v>
      </c>
      <c r="V328" s="17">
        <v>0</v>
      </c>
      <c r="W328" s="17">
        <v>0</v>
      </c>
      <c r="X328" s="17">
        <v>0</v>
      </c>
      <c r="Y328" s="17">
        <v>0</v>
      </c>
      <c r="Z328" s="17">
        <v>0</v>
      </c>
      <c r="AA328" s="17">
        <v>0</v>
      </c>
      <c r="AB328" s="17">
        <v>0</v>
      </c>
      <c r="AC328" s="17">
        <v>0</v>
      </c>
      <c r="AD328" s="17">
        <v>0</v>
      </c>
      <c r="AE328" s="17">
        <v>0</v>
      </c>
      <c r="AF328" s="17">
        <v>0</v>
      </c>
      <c r="AG328" s="17">
        <v>0</v>
      </c>
      <c r="AH328" s="17">
        <v>0</v>
      </c>
      <c r="AI328" s="17">
        <v>0</v>
      </c>
      <c r="AJ328" s="17">
        <v>0</v>
      </c>
      <c r="AK328" s="17">
        <v>0</v>
      </c>
      <c r="AL328" s="17">
        <v>0</v>
      </c>
      <c r="AM328" s="17">
        <v>4</v>
      </c>
      <c r="AN328" s="17">
        <v>8</v>
      </c>
      <c r="AO328" s="17">
        <v>12</v>
      </c>
      <c r="AP328" s="17">
        <v>17</v>
      </c>
      <c r="AQ328" s="17">
        <v>28</v>
      </c>
      <c r="AR328" s="17">
        <v>36</v>
      </c>
      <c r="AS328" s="17">
        <v>59</v>
      </c>
      <c r="AT328" s="17">
        <v>105</v>
      </c>
      <c r="AU328" s="17">
        <v>161</v>
      </c>
      <c r="AV328" s="17">
        <v>231</v>
      </c>
      <c r="AW328" s="17">
        <v>307</v>
      </c>
      <c r="AX328" s="17">
        <v>398</v>
      </c>
      <c r="AY328" s="17">
        <v>542</v>
      </c>
      <c r="AZ328" s="17">
        <v>713</v>
      </c>
      <c r="BA328" s="17">
        <v>920</v>
      </c>
      <c r="BB328" s="17">
        <v>1134</v>
      </c>
      <c r="BC328" s="17">
        <v>1392</v>
      </c>
      <c r="BD328" s="17">
        <v>1735</v>
      </c>
      <c r="BE328" s="17">
        <v>2207</v>
      </c>
      <c r="BF328" s="17">
        <v>2613</v>
      </c>
      <c r="BG328" s="17">
        <v>3058</v>
      </c>
      <c r="BH328" s="17">
        <v>3485</v>
      </c>
      <c r="BI328" s="17">
        <v>3848</v>
      </c>
      <c r="BJ328" s="17">
        <v>4220</v>
      </c>
      <c r="BK328" s="17">
        <v>4618</v>
      </c>
      <c r="BL328" s="17">
        <v>4950</v>
      </c>
      <c r="BM328" s="17">
        <v>5249</v>
      </c>
      <c r="BN328" s="17">
        <v>5548</v>
      </c>
      <c r="BO328" s="17">
        <v>5893</v>
      </c>
      <c r="BP328" s="17">
        <v>6253</v>
      </c>
      <c r="BQ328" s="17">
        <v>6637</v>
      </c>
      <c r="BR328" s="17">
        <v>6977</v>
      </c>
      <c r="BS328" s="17">
        <v>7287</v>
      </c>
      <c r="BT328" s="17">
        <v>7589</v>
      </c>
      <c r="BU328" s="17">
        <v>7891</v>
      </c>
      <c r="BV328" s="17">
        <v>8113</v>
      </c>
      <c r="BW328" s="17">
        <v>8281</v>
      </c>
      <c r="BX328" s="17">
        <v>8424</v>
      </c>
      <c r="BY328" s="17">
        <v>8535</v>
      </c>
      <c r="BZ328" s="17">
        <v>8605</v>
      </c>
      <c r="CA328" s="17">
        <v>8668</v>
      </c>
      <c r="CB328" s="17">
        <v>8705</v>
      </c>
      <c r="CC328" s="17">
        <v>8725</v>
      </c>
      <c r="CD328" s="17">
        <v>8745</v>
      </c>
      <c r="CE328" s="17">
        <v>8753</v>
      </c>
      <c r="CF328" s="17">
        <v>8755</v>
      </c>
      <c r="CG328" s="17">
        <v>8758</v>
      </c>
      <c r="CH328" s="17">
        <v>8760</v>
      </c>
      <c r="CI328" s="17">
        <v>8760</v>
      </c>
      <c r="CJ328" s="17">
        <v>8760</v>
      </c>
      <c r="CK328" s="17">
        <v>8760</v>
      </c>
      <c r="CL328" s="17">
        <v>8760</v>
      </c>
      <c r="CM328" s="17">
        <v>8760</v>
      </c>
      <c r="CN328" s="17">
        <v>8760</v>
      </c>
      <c r="CO328" s="17">
        <v>8760</v>
      </c>
      <c r="CP328" s="17">
        <v>8760</v>
      </c>
      <c r="CQ328" s="17">
        <v>8760</v>
      </c>
      <c r="CR328" s="17">
        <v>8760</v>
      </c>
      <c r="CS328" s="17">
        <v>8760</v>
      </c>
      <c r="CT328" s="17">
        <v>8760</v>
      </c>
      <c r="CU328" s="17">
        <v>8760</v>
      </c>
      <c r="CV328" s="17">
        <v>8760</v>
      </c>
      <c r="CW328" s="17">
        <v>8760</v>
      </c>
      <c r="CX328" s="17">
        <v>8760</v>
      </c>
      <c r="CY328" s="17">
        <v>8760</v>
      </c>
      <c r="CZ328" s="17">
        <v>8760</v>
      </c>
      <c r="DA328" s="17">
        <v>8760</v>
      </c>
      <c r="DB328" s="17">
        <v>8760</v>
      </c>
    </row>
    <row r="329" spans="2:113" s="17" customFormat="1" x14ac:dyDescent="0.25">
      <c r="B329" s="17" t="s">
        <v>331</v>
      </c>
      <c r="C329" s="17" t="s">
        <v>438</v>
      </c>
      <c r="D329" s="17" t="s">
        <v>998</v>
      </c>
      <c r="E329" s="17" t="s">
        <v>999</v>
      </c>
      <c r="F329" s="17">
        <v>102422</v>
      </c>
      <c r="G329" s="17">
        <v>0</v>
      </c>
      <c r="H329" s="17">
        <v>0</v>
      </c>
      <c r="I329" s="17">
        <v>0</v>
      </c>
      <c r="J329" s="17">
        <v>0</v>
      </c>
      <c r="K329" s="17">
        <v>0</v>
      </c>
      <c r="L329" s="17">
        <v>0</v>
      </c>
      <c r="M329" s="17">
        <v>0</v>
      </c>
      <c r="N329" s="17">
        <v>0</v>
      </c>
      <c r="O329" s="17">
        <v>0</v>
      </c>
      <c r="P329" s="17">
        <v>0</v>
      </c>
      <c r="Q329" s="17">
        <v>0</v>
      </c>
      <c r="R329" s="17">
        <v>0</v>
      </c>
      <c r="S329" s="17">
        <v>0</v>
      </c>
      <c r="T329" s="17">
        <v>0</v>
      </c>
      <c r="U329" s="17">
        <v>0</v>
      </c>
      <c r="V329" s="17">
        <v>0</v>
      </c>
      <c r="W329" s="17">
        <v>0</v>
      </c>
      <c r="X329" s="17">
        <v>0</v>
      </c>
      <c r="Y329" s="17">
        <v>0</v>
      </c>
      <c r="Z329" s="17">
        <v>0</v>
      </c>
      <c r="AA329" s="17">
        <v>0</v>
      </c>
      <c r="AB329" s="17">
        <v>0</v>
      </c>
      <c r="AC329" s="17">
        <v>0</v>
      </c>
      <c r="AD329" s="17">
        <v>0</v>
      </c>
      <c r="AE329" s="17">
        <v>0</v>
      </c>
      <c r="AF329" s="17">
        <v>0</v>
      </c>
      <c r="AG329" s="17">
        <v>0</v>
      </c>
      <c r="AH329" s="17">
        <v>0</v>
      </c>
      <c r="AI329" s="17">
        <v>0</v>
      </c>
      <c r="AJ329" s="17">
        <v>0</v>
      </c>
      <c r="AK329" s="17">
        <v>0</v>
      </c>
      <c r="AL329" s="17">
        <v>0</v>
      </c>
      <c r="AM329" s="17">
        <v>1</v>
      </c>
      <c r="AN329" s="17">
        <v>3</v>
      </c>
      <c r="AO329" s="17">
        <v>6</v>
      </c>
      <c r="AP329" s="17">
        <v>9</v>
      </c>
      <c r="AQ329" s="17">
        <v>16</v>
      </c>
      <c r="AR329" s="17">
        <v>25</v>
      </c>
      <c r="AS329" s="17">
        <v>57</v>
      </c>
      <c r="AT329" s="17">
        <v>98</v>
      </c>
      <c r="AU329" s="17">
        <v>165</v>
      </c>
      <c r="AV329" s="17">
        <v>221</v>
      </c>
      <c r="AW329" s="17">
        <v>290</v>
      </c>
      <c r="AX329" s="17">
        <v>371</v>
      </c>
      <c r="AY329" s="17">
        <v>512</v>
      </c>
      <c r="AZ329" s="17">
        <v>632</v>
      </c>
      <c r="BA329" s="17">
        <v>856</v>
      </c>
      <c r="BB329" s="17">
        <v>1144</v>
      </c>
      <c r="BC329" s="17">
        <v>1475</v>
      </c>
      <c r="BD329" s="17">
        <v>1910</v>
      </c>
      <c r="BE329" s="17">
        <v>2416</v>
      </c>
      <c r="BF329" s="17">
        <v>2888</v>
      </c>
      <c r="BG329" s="17">
        <v>3304</v>
      </c>
      <c r="BH329" s="17">
        <v>3735</v>
      </c>
      <c r="BI329" s="17">
        <v>4095</v>
      </c>
      <c r="BJ329" s="17">
        <v>4478</v>
      </c>
      <c r="BK329" s="17">
        <v>4829</v>
      </c>
      <c r="BL329" s="17">
        <v>5150</v>
      </c>
      <c r="BM329" s="17">
        <v>5397</v>
      </c>
      <c r="BN329" s="17">
        <v>5667</v>
      </c>
      <c r="BO329" s="17">
        <v>5984</v>
      </c>
      <c r="BP329" s="17">
        <v>6307</v>
      </c>
      <c r="BQ329" s="17">
        <v>6669</v>
      </c>
      <c r="BR329" s="17">
        <v>6983</v>
      </c>
      <c r="BS329" s="17">
        <v>7339</v>
      </c>
      <c r="BT329" s="17">
        <v>7656</v>
      </c>
      <c r="BU329" s="17">
        <v>7952</v>
      </c>
      <c r="BV329" s="17">
        <v>8200</v>
      </c>
      <c r="BW329" s="17">
        <v>8379</v>
      </c>
      <c r="BX329" s="17">
        <v>8505</v>
      </c>
      <c r="BY329" s="17">
        <v>8613</v>
      </c>
      <c r="BZ329" s="17">
        <v>8663</v>
      </c>
      <c r="CA329" s="17">
        <v>8695</v>
      </c>
      <c r="CB329" s="17">
        <v>8718</v>
      </c>
      <c r="CC329" s="17">
        <v>8738</v>
      </c>
      <c r="CD329" s="17">
        <v>8753</v>
      </c>
      <c r="CE329" s="17">
        <v>8760</v>
      </c>
      <c r="CF329" s="17">
        <v>8760</v>
      </c>
      <c r="CG329" s="17">
        <v>8760</v>
      </c>
      <c r="CH329" s="17">
        <v>8760</v>
      </c>
      <c r="CI329" s="17">
        <v>8760</v>
      </c>
      <c r="CJ329" s="17">
        <v>8760</v>
      </c>
      <c r="CK329" s="17">
        <v>8760</v>
      </c>
      <c r="CL329" s="17">
        <v>8760</v>
      </c>
      <c r="CM329" s="17">
        <v>8760</v>
      </c>
      <c r="CN329" s="17">
        <v>8760</v>
      </c>
      <c r="CO329" s="17">
        <v>8760</v>
      </c>
      <c r="CP329" s="17">
        <v>8760</v>
      </c>
      <c r="CQ329" s="17">
        <v>8760</v>
      </c>
      <c r="CR329" s="17">
        <v>8760</v>
      </c>
      <c r="CS329" s="17">
        <v>8760</v>
      </c>
      <c r="CT329" s="17">
        <v>8760</v>
      </c>
      <c r="CU329" s="17">
        <v>8760</v>
      </c>
      <c r="CV329" s="17">
        <v>8760</v>
      </c>
      <c r="CW329" s="17">
        <v>8760</v>
      </c>
      <c r="CX329" s="17">
        <v>8760</v>
      </c>
      <c r="CY329" s="17">
        <v>8760</v>
      </c>
      <c r="CZ329" s="17">
        <v>8760</v>
      </c>
      <c r="DA329" s="17">
        <v>8760</v>
      </c>
      <c r="DB329" s="17">
        <v>8760</v>
      </c>
    </row>
    <row r="330" spans="2:113" s="17" customFormat="1" x14ac:dyDescent="0.25">
      <c r="B330" s="17" t="s">
        <v>332</v>
      </c>
      <c r="C330" s="17" t="s">
        <v>438</v>
      </c>
      <c r="D330" s="17" t="s">
        <v>1000</v>
      </c>
      <c r="E330" s="17" t="s">
        <v>1001</v>
      </c>
      <c r="F330" s="17">
        <v>102102</v>
      </c>
      <c r="G330" s="17">
        <v>0</v>
      </c>
      <c r="H330" s="17">
        <v>0</v>
      </c>
      <c r="I330" s="17">
        <v>0</v>
      </c>
      <c r="J330" s="17">
        <v>0</v>
      </c>
      <c r="K330" s="17">
        <v>0</v>
      </c>
      <c r="L330" s="17">
        <v>0</v>
      </c>
      <c r="M330" s="17">
        <v>0</v>
      </c>
      <c r="N330" s="17">
        <v>0</v>
      </c>
      <c r="O330" s="17">
        <v>0</v>
      </c>
      <c r="P330" s="17">
        <v>0</v>
      </c>
      <c r="Q330" s="17">
        <v>0</v>
      </c>
      <c r="R330" s="17">
        <v>0</v>
      </c>
      <c r="S330" s="17">
        <v>0</v>
      </c>
      <c r="T330" s="17">
        <v>0</v>
      </c>
      <c r="U330" s="17">
        <v>0</v>
      </c>
      <c r="V330" s="17">
        <v>0</v>
      </c>
      <c r="W330" s="17">
        <v>0</v>
      </c>
      <c r="X330" s="17">
        <v>0</v>
      </c>
      <c r="Y330" s="17">
        <v>0</v>
      </c>
      <c r="Z330" s="17">
        <v>0</v>
      </c>
      <c r="AA330" s="17">
        <v>0</v>
      </c>
      <c r="AB330" s="17">
        <v>0</v>
      </c>
      <c r="AC330" s="17">
        <v>0</v>
      </c>
      <c r="AD330" s="17">
        <v>0</v>
      </c>
      <c r="AE330" s="17">
        <v>0</v>
      </c>
      <c r="AF330" s="17">
        <v>0</v>
      </c>
      <c r="AG330" s="17">
        <v>0</v>
      </c>
      <c r="AH330" s="17">
        <v>0</v>
      </c>
      <c r="AI330" s="17">
        <v>0</v>
      </c>
      <c r="AJ330" s="17">
        <v>0</v>
      </c>
      <c r="AK330" s="17">
        <v>0</v>
      </c>
      <c r="AL330" s="17">
        <v>0</v>
      </c>
      <c r="AM330" s="17">
        <v>0</v>
      </c>
      <c r="AN330" s="17">
        <v>0</v>
      </c>
      <c r="AO330" s="17">
        <v>0</v>
      </c>
      <c r="AP330" s="17">
        <v>0</v>
      </c>
      <c r="AQ330" s="17">
        <v>0</v>
      </c>
      <c r="AR330" s="17">
        <v>0</v>
      </c>
      <c r="AS330" s="17">
        <v>1</v>
      </c>
      <c r="AT330" s="17">
        <v>5</v>
      </c>
      <c r="AU330" s="17">
        <v>14</v>
      </c>
      <c r="AV330" s="17">
        <v>24</v>
      </c>
      <c r="AW330" s="17">
        <v>33</v>
      </c>
      <c r="AX330" s="17">
        <v>55</v>
      </c>
      <c r="AY330" s="17">
        <v>84</v>
      </c>
      <c r="AZ330" s="17">
        <v>135</v>
      </c>
      <c r="BA330" s="17">
        <v>223</v>
      </c>
      <c r="BB330" s="17">
        <v>335</v>
      </c>
      <c r="BC330" s="17">
        <v>523</v>
      </c>
      <c r="BD330" s="17">
        <v>797</v>
      </c>
      <c r="BE330" s="17">
        <v>1122</v>
      </c>
      <c r="BF330" s="17">
        <v>1527</v>
      </c>
      <c r="BG330" s="17">
        <v>1951</v>
      </c>
      <c r="BH330" s="17">
        <v>2463</v>
      </c>
      <c r="BI330" s="17">
        <v>2950</v>
      </c>
      <c r="BJ330" s="17">
        <v>3512</v>
      </c>
      <c r="BK330" s="17">
        <v>3965</v>
      </c>
      <c r="BL330" s="17">
        <v>4273</v>
      </c>
      <c r="BM330" s="17">
        <v>4608</v>
      </c>
      <c r="BN330" s="17">
        <v>5018</v>
      </c>
      <c r="BO330" s="17">
        <v>5424</v>
      </c>
      <c r="BP330" s="17">
        <v>5797</v>
      </c>
      <c r="BQ330" s="17">
        <v>6236</v>
      </c>
      <c r="BR330" s="17">
        <v>6679</v>
      </c>
      <c r="BS330" s="17">
        <v>7101</v>
      </c>
      <c r="BT330" s="17">
        <v>7501</v>
      </c>
      <c r="BU330" s="17">
        <v>7782</v>
      </c>
      <c r="BV330" s="17">
        <v>8120</v>
      </c>
      <c r="BW330" s="17">
        <v>8341</v>
      </c>
      <c r="BX330" s="17">
        <v>8531</v>
      </c>
      <c r="BY330" s="17">
        <v>8632</v>
      </c>
      <c r="BZ330" s="17">
        <v>8681</v>
      </c>
      <c r="CA330" s="17">
        <v>8734</v>
      </c>
      <c r="CB330" s="17">
        <v>8752</v>
      </c>
      <c r="CC330" s="17">
        <v>8759</v>
      </c>
      <c r="CD330" s="17">
        <v>8760</v>
      </c>
      <c r="CE330" s="17">
        <v>8760</v>
      </c>
      <c r="CF330" s="17">
        <v>8760</v>
      </c>
      <c r="CG330" s="17">
        <v>8760</v>
      </c>
      <c r="CH330" s="17">
        <v>8760</v>
      </c>
      <c r="CI330" s="17">
        <v>8760</v>
      </c>
      <c r="CJ330" s="17">
        <v>8760</v>
      </c>
      <c r="CK330" s="17">
        <v>8760</v>
      </c>
      <c r="CL330" s="17">
        <v>8760</v>
      </c>
      <c r="CM330" s="17">
        <v>8760</v>
      </c>
      <c r="CN330" s="17">
        <v>8760</v>
      </c>
      <c r="CO330" s="17">
        <v>8760</v>
      </c>
      <c r="CP330" s="17">
        <v>8760</v>
      </c>
      <c r="CQ330" s="17">
        <v>8760</v>
      </c>
      <c r="CR330" s="17">
        <v>8760</v>
      </c>
      <c r="CS330" s="17">
        <v>8760</v>
      </c>
      <c r="CT330" s="17">
        <v>8760</v>
      </c>
      <c r="CU330" s="17">
        <v>8760</v>
      </c>
      <c r="CV330" s="17">
        <v>8760</v>
      </c>
      <c r="CW330" s="17">
        <v>8760</v>
      </c>
      <c r="CX330" s="17">
        <v>8760</v>
      </c>
      <c r="CY330" s="17">
        <v>8760</v>
      </c>
      <c r="CZ330" s="17">
        <v>8760</v>
      </c>
      <c r="DA330" s="17">
        <v>8760</v>
      </c>
      <c r="DB330" s="17">
        <v>8760</v>
      </c>
    </row>
    <row r="331" spans="2:113" s="17" customFormat="1" x14ac:dyDescent="0.25">
      <c r="B331" s="17" t="s">
        <v>424</v>
      </c>
    </row>
    <row r="332" spans="2:113" s="17" customFormat="1" x14ac:dyDescent="0.25">
      <c r="B332" s="17" t="s">
        <v>425</v>
      </c>
      <c r="C332" s="17" t="s">
        <v>438</v>
      </c>
      <c r="D332" s="17" t="s">
        <v>1002</v>
      </c>
      <c r="E332" s="17" t="s">
        <v>1003</v>
      </c>
      <c r="F332" s="17">
        <v>102224</v>
      </c>
      <c r="G332" s="17">
        <v>0</v>
      </c>
      <c r="H332" s="17">
        <v>0</v>
      </c>
      <c r="I332" s="17">
        <v>0</v>
      </c>
      <c r="J332" s="17">
        <v>0</v>
      </c>
      <c r="K332" s="17">
        <v>0</v>
      </c>
      <c r="L332" s="17">
        <v>0</v>
      </c>
      <c r="M332" s="17">
        <v>0</v>
      </c>
      <c r="N332" s="17">
        <v>0</v>
      </c>
      <c r="O332" s="17">
        <v>0</v>
      </c>
      <c r="P332" s="17">
        <v>0</v>
      </c>
      <c r="Q332" s="17">
        <v>0</v>
      </c>
      <c r="R332" s="17">
        <v>0</v>
      </c>
      <c r="S332" s="17">
        <v>0</v>
      </c>
      <c r="T332" s="17">
        <v>0</v>
      </c>
      <c r="U332" s="17">
        <v>0</v>
      </c>
      <c r="V332" s="17">
        <v>0</v>
      </c>
      <c r="W332" s="17">
        <v>0</v>
      </c>
      <c r="X332" s="17">
        <v>0</v>
      </c>
      <c r="Y332" s="17">
        <v>0</v>
      </c>
      <c r="Z332" s="17">
        <v>0</v>
      </c>
      <c r="AA332" s="17">
        <v>0</v>
      </c>
      <c r="AB332" s="17">
        <v>0</v>
      </c>
      <c r="AC332" s="17">
        <v>0</v>
      </c>
      <c r="AD332" s="17">
        <v>0</v>
      </c>
      <c r="AE332" s="17">
        <v>0</v>
      </c>
      <c r="AF332" s="17">
        <v>0</v>
      </c>
      <c r="AG332" s="17">
        <v>0</v>
      </c>
      <c r="AH332" s="17">
        <v>0</v>
      </c>
      <c r="AI332" s="17">
        <v>3</v>
      </c>
      <c r="AJ332" s="17">
        <v>9</v>
      </c>
      <c r="AK332" s="17">
        <v>18</v>
      </c>
      <c r="AL332" s="17">
        <v>21</v>
      </c>
      <c r="AM332" s="17">
        <v>24</v>
      </c>
      <c r="AN332" s="17">
        <v>35</v>
      </c>
      <c r="AO332" s="17">
        <v>59</v>
      </c>
      <c r="AP332" s="17">
        <v>85</v>
      </c>
      <c r="AQ332" s="17">
        <v>110</v>
      </c>
      <c r="AR332" s="17">
        <v>146</v>
      </c>
      <c r="AS332" s="17">
        <v>185</v>
      </c>
      <c r="AT332" s="17">
        <v>224</v>
      </c>
      <c r="AU332" s="17">
        <v>257</v>
      </c>
      <c r="AV332" s="17">
        <v>302</v>
      </c>
      <c r="AW332" s="17">
        <v>370</v>
      </c>
      <c r="AX332" s="17">
        <v>428</v>
      </c>
      <c r="AY332" s="17">
        <v>507</v>
      </c>
      <c r="AZ332" s="17">
        <v>618</v>
      </c>
      <c r="BA332" s="17">
        <v>764</v>
      </c>
      <c r="BB332" s="17">
        <v>994</v>
      </c>
      <c r="BC332" s="17">
        <v>1346</v>
      </c>
      <c r="BD332" s="17">
        <v>1702</v>
      </c>
      <c r="BE332" s="17">
        <v>2097</v>
      </c>
      <c r="BF332" s="17">
        <v>2600</v>
      </c>
      <c r="BG332" s="17">
        <v>2997</v>
      </c>
      <c r="BH332" s="17">
        <v>3422</v>
      </c>
      <c r="BI332" s="17">
        <v>3782</v>
      </c>
      <c r="BJ332" s="17">
        <v>4101</v>
      </c>
      <c r="BK332" s="17">
        <v>4419</v>
      </c>
      <c r="BL332" s="17">
        <v>4795</v>
      </c>
      <c r="BM332" s="17">
        <v>5169</v>
      </c>
      <c r="BN332" s="17">
        <v>5510</v>
      </c>
      <c r="BO332" s="17">
        <v>5828</v>
      </c>
      <c r="BP332" s="17">
        <v>6202</v>
      </c>
      <c r="BQ332" s="17">
        <v>6540</v>
      </c>
      <c r="BR332" s="17">
        <v>6891</v>
      </c>
      <c r="BS332" s="17">
        <v>7267</v>
      </c>
      <c r="BT332" s="17">
        <v>7594</v>
      </c>
      <c r="BU332" s="17">
        <v>7866</v>
      </c>
      <c r="BV332" s="17">
        <v>8068</v>
      </c>
      <c r="BW332" s="17">
        <v>8253</v>
      </c>
      <c r="BX332" s="17">
        <v>8401</v>
      </c>
      <c r="BY332" s="17">
        <v>8512</v>
      </c>
      <c r="BZ332" s="17">
        <v>8584</v>
      </c>
      <c r="CA332" s="17">
        <v>8627</v>
      </c>
      <c r="CB332" s="17">
        <v>8666</v>
      </c>
      <c r="CC332" s="17">
        <v>8702</v>
      </c>
      <c r="CD332" s="17">
        <v>8722</v>
      </c>
      <c r="CE332" s="17">
        <v>8737</v>
      </c>
      <c r="CF332" s="17">
        <v>8755</v>
      </c>
      <c r="CG332" s="17">
        <v>8760</v>
      </c>
      <c r="CH332" s="17">
        <v>8760</v>
      </c>
      <c r="CI332" s="17">
        <v>8760</v>
      </c>
      <c r="CJ332" s="17">
        <v>8760</v>
      </c>
      <c r="CK332" s="17">
        <v>8760</v>
      </c>
      <c r="CL332" s="17">
        <v>8760</v>
      </c>
      <c r="CM332" s="17">
        <v>8760</v>
      </c>
      <c r="CN332" s="17">
        <v>8760</v>
      </c>
      <c r="CO332" s="17">
        <v>8760</v>
      </c>
      <c r="CP332" s="17">
        <v>8760</v>
      </c>
      <c r="CQ332" s="17">
        <v>8760</v>
      </c>
      <c r="CR332" s="17">
        <v>8760</v>
      </c>
      <c r="CS332" s="17">
        <v>8760</v>
      </c>
      <c r="CT332" s="17">
        <v>8760</v>
      </c>
      <c r="CU332" s="17">
        <v>8760</v>
      </c>
      <c r="CV332" s="17">
        <v>8760</v>
      </c>
      <c r="CW332" s="17">
        <v>8760</v>
      </c>
      <c r="CX332" s="17">
        <v>8760</v>
      </c>
      <c r="CY332" s="17">
        <v>8760</v>
      </c>
      <c r="CZ332" s="17">
        <v>8760</v>
      </c>
      <c r="DA332" s="17">
        <v>8760</v>
      </c>
      <c r="DB332" s="17">
        <v>8760</v>
      </c>
      <c r="DD332" s="12">
        <f t="shared" ref="DD332:DD355" si="0">DD333+1</f>
        <v>26</v>
      </c>
      <c r="DF332" s="17">
        <f t="shared" ref="DF332:DF356" ca="1" si="1">INDEX(G$358:DB$358,1,51+DD332)</f>
        <v>8744</v>
      </c>
      <c r="DG332" s="17">
        <f t="shared" ref="DG332:DG355" ca="1" si="2">DF332+DG333</f>
        <v>170842</v>
      </c>
      <c r="DH332" s="17">
        <f t="shared" ref="DH332:DH355" ca="1" si="3">-DF333/DG332+DH333</f>
        <v>-3.0573323882152721</v>
      </c>
      <c r="DI332" s="17">
        <f t="shared" ref="DI332:DI356" ca="1" si="4">IF(DH332&lt;-1,-1,DH332)</f>
        <v>-1</v>
      </c>
    </row>
    <row r="333" spans="2:113" s="17" customFormat="1" x14ac:dyDescent="0.25">
      <c r="B333" s="17" t="s">
        <v>41</v>
      </c>
      <c r="C333" s="17" t="s">
        <v>438</v>
      </c>
      <c r="D333" s="17" t="s">
        <v>1004</v>
      </c>
      <c r="E333" s="17" t="s">
        <v>1005</v>
      </c>
      <c r="F333" s="17">
        <v>102804</v>
      </c>
      <c r="G333" s="17">
        <v>0</v>
      </c>
      <c r="H333" s="17">
        <v>0</v>
      </c>
      <c r="I333" s="17">
        <v>0</v>
      </c>
      <c r="J333" s="17">
        <v>0</v>
      </c>
      <c r="K333" s="17">
        <v>0</v>
      </c>
      <c r="L333" s="17">
        <v>0</v>
      </c>
      <c r="M333" s="17">
        <v>0</v>
      </c>
      <c r="N333" s="17">
        <v>0</v>
      </c>
      <c r="O333" s="17">
        <v>0</v>
      </c>
      <c r="P333" s="17">
        <v>0</v>
      </c>
      <c r="Q333" s="17">
        <v>0</v>
      </c>
      <c r="R333" s="17">
        <v>0</v>
      </c>
      <c r="S333" s="17">
        <v>0</v>
      </c>
      <c r="T333" s="17">
        <v>0</v>
      </c>
      <c r="U333" s="17">
        <v>0</v>
      </c>
      <c r="V333" s="17">
        <v>0</v>
      </c>
      <c r="W333" s="17">
        <v>0</v>
      </c>
      <c r="X333" s="17">
        <v>0</v>
      </c>
      <c r="Y333" s="17">
        <v>0</v>
      </c>
      <c r="Z333" s="17">
        <v>0</v>
      </c>
      <c r="AA333" s="17">
        <v>0</v>
      </c>
      <c r="AB333" s="17">
        <v>0</v>
      </c>
      <c r="AC333" s="17">
        <v>0</v>
      </c>
      <c r="AD333" s="17">
        <v>0</v>
      </c>
      <c r="AE333" s="17">
        <v>0</v>
      </c>
      <c r="AF333" s="17">
        <v>0</v>
      </c>
      <c r="AG333" s="17">
        <v>0</v>
      </c>
      <c r="AH333" s="17">
        <v>4</v>
      </c>
      <c r="AI333" s="17">
        <v>20</v>
      </c>
      <c r="AJ333" s="17">
        <v>34</v>
      </c>
      <c r="AK333" s="17">
        <v>47</v>
      </c>
      <c r="AL333" s="17">
        <v>64</v>
      </c>
      <c r="AM333" s="17">
        <v>96</v>
      </c>
      <c r="AN333" s="17">
        <v>125</v>
      </c>
      <c r="AO333" s="17">
        <v>168</v>
      </c>
      <c r="AP333" s="17">
        <v>234</v>
      </c>
      <c r="AQ333" s="17">
        <v>308</v>
      </c>
      <c r="AR333" s="17">
        <v>378</v>
      </c>
      <c r="AS333" s="17">
        <v>472</v>
      </c>
      <c r="AT333" s="17">
        <v>579</v>
      </c>
      <c r="AU333" s="17">
        <v>698</v>
      </c>
      <c r="AV333" s="17">
        <v>820</v>
      </c>
      <c r="AW333" s="17">
        <v>966</v>
      </c>
      <c r="AX333" s="17">
        <v>1135</v>
      </c>
      <c r="AY333" s="17">
        <v>1371</v>
      </c>
      <c r="AZ333" s="17">
        <v>1616</v>
      </c>
      <c r="BA333" s="17">
        <v>1938</v>
      </c>
      <c r="BB333" s="17">
        <v>2270</v>
      </c>
      <c r="BC333" s="17">
        <v>2638</v>
      </c>
      <c r="BD333" s="17">
        <v>3072</v>
      </c>
      <c r="BE333" s="17">
        <v>3559</v>
      </c>
      <c r="BF333" s="17">
        <v>4026</v>
      </c>
      <c r="BG333" s="17">
        <v>4384</v>
      </c>
      <c r="BH333" s="17">
        <v>4742</v>
      </c>
      <c r="BI333" s="17">
        <v>5061</v>
      </c>
      <c r="BJ333" s="17">
        <v>5365</v>
      </c>
      <c r="BK333" s="17">
        <v>5693</v>
      </c>
      <c r="BL333" s="17">
        <v>6002</v>
      </c>
      <c r="BM333" s="17">
        <v>6341</v>
      </c>
      <c r="BN333" s="17">
        <v>6681</v>
      </c>
      <c r="BO333" s="17">
        <v>7002</v>
      </c>
      <c r="BP333" s="17">
        <v>7275</v>
      </c>
      <c r="BQ333" s="17">
        <v>7533</v>
      </c>
      <c r="BR333" s="17">
        <v>7779</v>
      </c>
      <c r="BS333" s="17">
        <v>8004</v>
      </c>
      <c r="BT333" s="17">
        <v>8187</v>
      </c>
      <c r="BU333" s="17">
        <v>8311</v>
      </c>
      <c r="BV333" s="17">
        <v>8413</v>
      </c>
      <c r="BW333" s="17">
        <v>8502</v>
      </c>
      <c r="BX333" s="17">
        <v>8568</v>
      </c>
      <c r="BY333" s="17">
        <v>8627</v>
      </c>
      <c r="BZ333" s="17">
        <v>8664</v>
      </c>
      <c r="CA333" s="17">
        <v>8699</v>
      </c>
      <c r="CB333" s="17">
        <v>8721</v>
      </c>
      <c r="CC333" s="17">
        <v>8740</v>
      </c>
      <c r="CD333" s="17">
        <v>8750</v>
      </c>
      <c r="CE333" s="17">
        <v>8756</v>
      </c>
      <c r="CF333" s="17">
        <v>8759</v>
      </c>
      <c r="CG333" s="17">
        <v>8760</v>
      </c>
      <c r="CH333" s="17">
        <v>8760</v>
      </c>
      <c r="CI333" s="17">
        <v>8760</v>
      </c>
      <c r="CJ333" s="17">
        <v>8760</v>
      </c>
      <c r="CK333" s="17">
        <v>8760</v>
      </c>
      <c r="CL333" s="17">
        <v>8760</v>
      </c>
      <c r="CM333" s="17">
        <v>8760</v>
      </c>
      <c r="CN333" s="17">
        <v>8760</v>
      </c>
      <c r="CO333" s="17">
        <v>8760</v>
      </c>
      <c r="CP333" s="17">
        <v>8760</v>
      </c>
      <c r="CQ333" s="17">
        <v>8760</v>
      </c>
      <c r="CR333" s="17">
        <v>8760</v>
      </c>
      <c r="CS333" s="17">
        <v>8760</v>
      </c>
      <c r="CT333" s="17">
        <v>8760</v>
      </c>
      <c r="CU333" s="17">
        <v>8760</v>
      </c>
      <c r="CV333" s="17">
        <v>8760</v>
      </c>
      <c r="CW333" s="17">
        <v>8760</v>
      </c>
      <c r="CX333" s="17">
        <v>8760</v>
      </c>
      <c r="CY333" s="17">
        <v>8760</v>
      </c>
      <c r="CZ333" s="17">
        <v>8760</v>
      </c>
      <c r="DA333" s="17">
        <v>8760</v>
      </c>
      <c r="DB333" s="17">
        <v>8760</v>
      </c>
      <c r="DD333" s="12">
        <f t="shared" si="0"/>
        <v>25</v>
      </c>
      <c r="DF333" s="17">
        <f t="shared" ca="1" si="1"/>
        <v>8729</v>
      </c>
      <c r="DG333" s="17">
        <f t="shared" ca="1" si="2"/>
        <v>162098</v>
      </c>
      <c r="DH333" s="17">
        <f t="shared" ca="1" si="3"/>
        <v>-3.0062383949349312</v>
      </c>
      <c r="DI333" s="17">
        <f t="shared" ca="1" si="4"/>
        <v>-1</v>
      </c>
    </row>
    <row r="334" spans="2:113" s="17" customFormat="1" x14ac:dyDescent="0.25">
      <c r="B334" s="17" t="s">
        <v>43</v>
      </c>
      <c r="C334" s="17" t="s">
        <v>438</v>
      </c>
      <c r="D334" s="17" t="s">
        <v>1006</v>
      </c>
      <c r="E334" s="17" t="s">
        <v>1007</v>
      </c>
      <c r="F334" s="17">
        <v>102809</v>
      </c>
      <c r="G334" s="17">
        <v>0</v>
      </c>
      <c r="H334" s="17">
        <v>0</v>
      </c>
      <c r="I334" s="17">
        <v>0</v>
      </c>
      <c r="J334" s="17">
        <v>0</v>
      </c>
      <c r="K334" s="17">
        <v>0</v>
      </c>
      <c r="L334" s="17">
        <v>0</v>
      </c>
      <c r="M334" s="17">
        <v>0</v>
      </c>
      <c r="N334" s="17">
        <v>0</v>
      </c>
      <c r="O334" s="17">
        <v>0</v>
      </c>
      <c r="P334" s="17">
        <v>0</v>
      </c>
      <c r="Q334" s="17">
        <v>0</v>
      </c>
      <c r="R334" s="17">
        <v>0</v>
      </c>
      <c r="S334" s="17">
        <v>0</v>
      </c>
      <c r="T334" s="17">
        <v>0</v>
      </c>
      <c r="U334" s="17">
        <v>0</v>
      </c>
      <c r="V334" s="17">
        <v>0</v>
      </c>
      <c r="W334" s="17">
        <v>0</v>
      </c>
      <c r="X334" s="17">
        <v>0</v>
      </c>
      <c r="Y334" s="17">
        <v>0</v>
      </c>
      <c r="Z334" s="17">
        <v>0</v>
      </c>
      <c r="AA334" s="17">
        <v>0</v>
      </c>
      <c r="AB334" s="17">
        <v>0</v>
      </c>
      <c r="AC334" s="17">
        <v>0</v>
      </c>
      <c r="AD334" s="17">
        <v>0</v>
      </c>
      <c r="AE334" s="17">
        <v>0</v>
      </c>
      <c r="AF334" s="17">
        <v>0</v>
      </c>
      <c r="AG334" s="17">
        <v>1</v>
      </c>
      <c r="AH334" s="17">
        <v>5</v>
      </c>
      <c r="AI334" s="17">
        <v>16</v>
      </c>
      <c r="AJ334" s="17">
        <v>40</v>
      </c>
      <c r="AK334" s="17">
        <v>75</v>
      </c>
      <c r="AL334" s="17">
        <v>114</v>
      </c>
      <c r="AM334" s="17">
        <v>139</v>
      </c>
      <c r="AN334" s="17">
        <v>171</v>
      </c>
      <c r="AO334" s="17">
        <v>241</v>
      </c>
      <c r="AP334" s="17">
        <v>274</v>
      </c>
      <c r="AQ334" s="17">
        <v>329</v>
      </c>
      <c r="AR334" s="17">
        <v>399</v>
      </c>
      <c r="AS334" s="17">
        <v>491</v>
      </c>
      <c r="AT334" s="17">
        <v>654</v>
      </c>
      <c r="AU334" s="17">
        <v>808</v>
      </c>
      <c r="AV334" s="17">
        <v>980</v>
      </c>
      <c r="AW334" s="17">
        <v>1198</v>
      </c>
      <c r="AX334" s="17">
        <v>1425</v>
      </c>
      <c r="AY334" s="17">
        <v>1672</v>
      </c>
      <c r="AZ334" s="17">
        <v>1939</v>
      </c>
      <c r="BA334" s="17">
        <v>2259</v>
      </c>
      <c r="BB334" s="17">
        <v>2742</v>
      </c>
      <c r="BC334" s="17">
        <v>3212</v>
      </c>
      <c r="BD334" s="17">
        <v>3585</v>
      </c>
      <c r="BE334" s="17">
        <v>4018</v>
      </c>
      <c r="BF334" s="17">
        <v>4357</v>
      </c>
      <c r="BG334" s="17">
        <v>4801</v>
      </c>
      <c r="BH334" s="17">
        <v>5153</v>
      </c>
      <c r="BI334" s="17">
        <v>5494</v>
      </c>
      <c r="BJ334" s="17">
        <v>5818</v>
      </c>
      <c r="BK334" s="17">
        <v>6152</v>
      </c>
      <c r="BL334" s="17">
        <v>6500</v>
      </c>
      <c r="BM334" s="17">
        <v>6846</v>
      </c>
      <c r="BN334" s="17">
        <v>7175</v>
      </c>
      <c r="BO334" s="17">
        <v>7520</v>
      </c>
      <c r="BP334" s="17">
        <v>7784</v>
      </c>
      <c r="BQ334" s="17">
        <v>8022</v>
      </c>
      <c r="BR334" s="17">
        <v>8202</v>
      </c>
      <c r="BS334" s="17">
        <v>8339</v>
      </c>
      <c r="BT334" s="17">
        <v>8454</v>
      </c>
      <c r="BU334" s="17">
        <v>8543</v>
      </c>
      <c r="BV334" s="17">
        <v>8620</v>
      </c>
      <c r="BW334" s="17">
        <v>8657</v>
      </c>
      <c r="BX334" s="17">
        <v>8690</v>
      </c>
      <c r="BY334" s="17">
        <v>8716</v>
      </c>
      <c r="BZ334" s="17">
        <v>8731</v>
      </c>
      <c r="CA334" s="17">
        <v>8740</v>
      </c>
      <c r="CB334" s="17">
        <v>8747</v>
      </c>
      <c r="CC334" s="17">
        <v>8756</v>
      </c>
      <c r="CD334" s="17">
        <v>8758</v>
      </c>
      <c r="CE334" s="17">
        <v>8760</v>
      </c>
      <c r="CF334" s="17">
        <v>8760</v>
      </c>
      <c r="CG334" s="17">
        <v>8760</v>
      </c>
      <c r="CH334" s="17">
        <v>8760</v>
      </c>
      <c r="CI334" s="17">
        <v>8760</v>
      </c>
      <c r="CJ334" s="17">
        <v>8760</v>
      </c>
      <c r="CK334" s="17">
        <v>8760</v>
      </c>
      <c r="CL334" s="17">
        <v>8760</v>
      </c>
      <c r="CM334" s="17">
        <v>8760</v>
      </c>
      <c r="CN334" s="17">
        <v>8760</v>
      </c>
      <c r="CO334" s="17">
        <v>8760</v>
      </c>
      <c r="CP334" s="17">
        <v>8760</v>
      </c>
      <c r="CQ334" s="17">
        <v>8760</v>
      </c>
      <c r="CR334" s="17">
        <v>8760</v>
      </c>
      <c r="CS334" s="17">
        <v>8760</v>
      </c>
      <c r="CT334" s="17">
        <v>8760</v>
      </c>
      <c r="CU334" s="17">
        <v>8760</v>
      </c>
      <c r="CV334" s="17">
        <v>8760</v>
      </c>
      <c r="CW334" s="17">
        <v>8760</v>
      </c>
      <c r="CX334" s="17">
        <v>8760</v>
      </c>
      <c r="CY334" s="17">
        <v>8760</v>
      </c>
      <c r="CZ334" s="17">
        <v>8760</v>
      </c>
      <c r="DA334" s="17">
        <v>8760</v>
      </c>
      <c r="DB334" s="17">
        <v>8760</v>
      </c>
      <c r="DD334" s="12">
        <f t="shared" si="0"/>
        <v>24</v>
      </c>
      <c r="DF334" s="17">
        <f t="shared" ca="1" si="1"/>
        <v>8702</v>
      </c>
      <c r="DG334" s="17">
        <f t="shared" ca="1" si="2"/>
        <v>153369</v>
      </c>
      <c r="DH334" s="17">
        <f t="shared" ca="1" si="3"/>
        <v>-2.9525548208007653</v>
      </c>
      <c r="DI334" s="17">
        <f t="shared" ca="1" si="4"/>
        <v>-1</v>
      </c>
    </row>
    <row r="335" spans="2:113" s="17" customFormat="1" x14ac:dyDescent="0.25">
      <c r="B335" s="17" t="s">
        <v>426</v>
      </c>
      <c r="C335" s="17" t="s">
        <v>438</v>
      </c>
      <c r="D335" s="17" t="s">
        <v>647</v>
      </c>
      <c r="E335" s="17" t="s">
        <v>1008</v>
      </c>
      <c r="F335" s="17">
        <v>102501</v>
      </c>
      <c r="G335" s="17">
        <v>0</v>
      </c>
      <c r="H335" s="17">
        <v>0</v>
      </c>
      <c r="I335" s="17">
        <v>0</v>
      </c>
      <c r="J335" s="17">
        <v>0</v>
      </c>
      <c r="K335" s="17">
        <v>0</v>
      </c>
      <c r="L335" s="17">
        <v>0</v>
      </c>
      <c r="M335" s="17">
        <v>0</v>
      </c>
      <c r="N335" s="17">
        <v>0</v>
      </c>
      <c r="O335" s="17">
        <v>0</v>
      </c>
      <c r="P335" s="17">
        <v>0</v>
      </c>
      <c r="Q335" s="17">
        <v>0</v>
      </c>
      <c r="R335" s="17">
        <v>0</v>
      </c>
      <c r="S335" s="17">
        <v>0</v>
      </c>
      <c r="T335" s="17">
        <v>0</v>
      </c>
      <c r="U335" s="17">
        <v>0</v>
      </c>
      <c r="V335" s="17">
        <v>0</v>
      </c>
      <c r="W335" s="17">
        <v>0</v>
      </c>
      <c r="X335" s="17">
        <v>0</v>
      </c>
      <c r="Y335" s="17">
        <v>0</v>
      </c>
      <c r="Z335" s="17">
        <v>0</v>
      </c>
      <c r="AA335" s="17">
        <v>0</v>
      </c>
      <c r="AB335" s="17">
        <v>0</v>
      </c>
      <c r="AC335" s="17">
        <v>0</v>
      </c>
      <c r="AD335" s="17">
        <v>0</v>
      </c>
      <c r="AE335" s="17">
        <v>0</v>
      </c>
      <c r="AF335" s="17">
        <v>0</v>
      </c>
      <c r="AG335" s="17">
        <v>0</v>
      </c>
      <c r="AH335" s="17">
        <v>0</v>
      </c>
      <c r="AI335" s="17">
        <v>4</v>
      </c>
      <c r="AJ335" s="17">
        <v>10</v>
      </c>
      <c r="AK335" s="17">
        <v>17</v>
      </c>
      <c r="AL335" s="17">
        <v>21</v>
      </c>
      <c r="AM335" s="17">
        <v>30</v>
      </c>
      <c r="AN335" s="17">
        <v>48</v>
      </c>
      <c r="AO335" s="17">
        <v>81</v>
      </c>
      <c r="AP335" s="17">
        <v>98</v>
      </c>
      <c r="AQ335" s="17">
        <v>113</v>
      </c>
      <c r="AR335" s="17">
        <v>131</v>
      </c>
      <c r="AS335" s="17">
        <v>161</v>
      </c>
      <c r="AT335" s="17">
        <v>204</v>
      </c>
      <c r="AU335" s="17">
        <v>268</v>
      </c>
      <c r="AV335" s="17">
        <v>346</v>
      </c>
      <c r="AW335" s="17">
        <v>453</v>
      </c>
      <c r="AX335" s="17">
        <v>551</v>
      </c>
      <c r="AY335" s="17">
        <v>671</v>
      </c>
      <c r="AZ335" s="17">
        <v>832</v>
      </c>
      <c r="BA335" s="17">
        <v>1053</v>
      </c>
      <c r="BB335" s="17">
        <v>1358</v>
      </c>
      <c r="BC335" s="17">
        <v>1722</v>
      </c>
      <c r="BD335" s="17">
        <v>2145</v>
      </c>
      <c r="BE335" s="17">
        <v>2622</v>
      </c>
      <c r="BF335" s="17">
        <v>2989</v>
      </c>
      <c r="BG335" s="17">
        <v>3429</v>
      </c>
      <c r="BH335" s="17">
        <v>3845</v>
      </c>
      <c r="BI335" s="17">
        <v>4246</v>
      </c>
      <c r="BJ335" s="17">
        <v>4588</v>
      </c>
      <c r="BK335" s="17">
        <v>4936</v>
      </c>
      <c r="BL335" s="17">
        <v>5229</v>
      </c>
      <c r="BM335" s="17">
        <v>5549</v>
      </c>
      <c r="BN335" s="17">
        <v>5865</v>
      </c>
      <c r="BO335" s="17">
        <v>6168</v>
      </c>
      <c r="BP335" s="17">
        <v>6487</v>
      </c>
      <c r="BQ335" s="17">
        <v>6790</v>
      </c>
      <c r="BR335" s="17">
        <v>7136</v>
      </c>
      <c r="BS335" s="17">
        <v>7432</v>
      </c>
      <c r="BT335" s="17">
        <v>7707</v>
      </c>
      <c r="BU335" s="17">
        <v>7950</v>
      </c>
      <c r="BV335" s="17">
        <v>8132</v>
      </c>
      <c r="BW335" s="17">
        <v>8270</v>
      </c>
      <c r="BX335" s="17">
        <v>8409</v>
      </c>
      <c r="BY335" s="17">
        <v>8546</v>
      </c>
      <c r="BZ335" s="17">
        <v>8635</v>
      </c>
      <c r="CA335" s="17">
        <v>8689</v>
      </c>
      <c r="CB335" s="17">
        <v>8729</v>
      </c>
      <c r="CC335" s="17">
        <v>8755</v>
      </c>
      <c r="CD335" s="17">
        <v>8760</v>
      </c>
      <c r="CE335" s="17">
        <v>8760</v>
      </c>
      <c r="CF335" s="17">
        <v>8760</v>
      </c>
      <c r="CG335" s="17">
        <v>8760</v>
      </c>
      <c r="CH335" s="17">
        <v>8760</v>
      </c>
      <c r="CI335" s="17">
        <v>8760</v>
      </c>
      <c r="CJ335" s="17">
        <v>8760</v>
      </c>
      <c r="CK335" s="17">
        <v>8760</v>
      </c>
      <c r="CL335" s="17">
        <v>8760</v>
      </c>
      <c r="CM335" s="17">
        <v>8760</v>
      </c>
      <c r="CN335" s="17">
        <v>8760</v>
      </c>
      <c r="CO335" s="17">
        <v>8760</v>
      </c>
      <c r="CP335" s="17">
        <v>8760</v>
      </c>
      <c r="CQ335" s="17">
        <v>8760</v>
      </c>
      <c r="CR335" s="17">
        <v>8760</v>
      </c>
      <c r="CS335" s="17">
        <v>8760</v>
      </c>
      <c r="CT335" s="17">
        <v>8760</v>
      </c>
      <c r="CU335" s="17">
        <v>8760</v>
      </c>
      <c r="CV335" s="17">
        <v>8760</v>
      </c>
      <c r="CW335" s="17">
        <v>8760</v>
      </c>
      <c r="CX335" s="17">
        <v>8760</v>
      </c>
      <c r="CY335" s="17">
        <v>8760</v>
      </c>
      <c r="CZ335" s="17">
        <v>8760</v>
      </c>
      <c r="DA335" s="17">
        <v>8760</v>
      </c>
      <c r="DB335" s="17">
        <v>8760</v>
      </c>
      <c r="DD335" s="12">
        <f t="shared" si="0"/>
        <v>23</v>
      </c>
      <c r="DF335" s="17">
        <f t="shared" ca="1" si="1"/>
        <v>8681</v>
      </c>
      <c r="DG335" s="17">
        <f t="shared" ca="1" si="2"/>
        <v>144667</v>
      </c>
      <c r="DH335" s="17">
        <f t="shared" ca="1" si="3"/>
        <v>-2.8959527695387761</v>
      </c>
      <c r="DI335" s="17">
        <f t="shared" ca="1" si="4"/>
        <v>-1</v>
      </c>
    </row>
    <row r="336" spans="2:113" s="17" customFormat="1" x14ac:dyDescent="0.25">
      <c r="B336" s="17" t="s">
        <v>427</v>
      </c>
      <c r="DD336" s="12">
        <f t="shared" si="0"/>
        <v>22</v>
      </c>
      <c r="DF336" s="17">
        <f t="shared" ca="1" si="1"/>
        <v>8644</v>
      </c>
      <c r="DG336" s="17">
        <f t="shared" ca="1" si="2"/>
        <v>135986</v>
      </c>
      <c r="DH336" s="17">
        <f t="shared" ca="1" si="3"/>
        <v>-2.8362017551401917</v>
      </c>
      <c r="DI336" s="17">
        <f t="shared" ca="1" si="4"/>
        <v>-1</v>
      </c>
    </row>
    <row r="337" spans="2:113" s="17" customFormat="1" x14ac:dyDescent="0.25">
      <c r="B337" s="17" t="s">
        <v>48</v>
      </c>
      <c r="C337" s="17" t="s">
        <v>438</v>
      </c>
      <c r="D337" s="17" t="s">
        <v>1009</v>
      </c>
      <c r="E337" s="17" t="s">
        <v>1010</v>
      </c>
      <c r="F337" s="17">
        <v>102324</v>
      </c>
      <c r="G337" s="17">
        <v>0</v>
      </c>
      <c r="H337" s="17">
        <v>0</v>
      </c>
      <c r="I337" s="17">
        <v>0</v>
      </c>
      <c r="J337" s="17">
        <v>0</v>
      </c>
      <c r="K337" s="17">
        <v>0</v>
      </c>
      <c r="L337" s="17">
        <v>0</v>
      </c>
      <c r="M337" s="17">
        <v>0</v>
      </c>
      <c r="N337" s="17">
        <v>0</v>
      </c>
      <c r="O337" s="17">
        <v>0</v>
      </c>
      <c r="P337" s="17">
        <v>0</v>
      </c>
      <c r="Q337" s="17">
        <v>0</v>
      </c>
      <c r="R337" s="17">
        <v>0</v>
      </c>
      <c r="S337" s="17">
        <v>0</v>
      </c>
      <c r="T337" s="17">
        <v>0</v>
      </c>
      <c r="U337" s="17">
        <v>0</v>
      </c>
      <c r="V337" s="17">
        <v>0</v>
      </c>
      <c r="W337" s="17">
        <v>0</v>
      </c>
      <c r="X337" s="17">
        <v>0</v>
      </c>
      <c r="Y337" s="17">
        <v>0</v>
      </c>
      <c r="Z337" s="17">
        <v>0</v>
      </c>
      <c r="AA337" s="17">
        <v>0</v>
      </c>
      <c r="AB337" s="17">
        <v>0</v>
      </c>
      <c r="AC337" s="17">
        <v>0</v>
      </c>
      <c r="AD337" s="17">
        <v>0</v>
      </c>
      <c r="AE337" s="17">
        <v>0</v>
      </c>
      <c r="AF337" s="17">
        <v>0</v>
      </c>
      <c r="AG337" s="17">
        <v>0</v>
      </c>
      <c r="AH337" s="17">
        <v>0</v>
      </c>
      <c r="AI337" s="17">
        <v>0</v>
      </c>
      <c r="AJ337" s="17">
        <v>0</v>
      </c>
      <c r="AK337" s="17">
        <v>6</v>
      </c>
      <c r="AL337" s="17">
        <v>10</v>
      </c>
      <c r="AM337" s="17">
        <v>13</v>
      </c>
      <c r="AN337" s="17">
        <v>22</v>
      </c>
      <c r="AO337" s="17">
        <v>48</v>
      </c>
      <c r="AP337" s="17">
        <v>63</v>
      </c>
      <c r="AQ337" s="17">
        <v>79</v>
      </c>
      <c r="AR337" s="17">
        <v>104</v>
      </c>
      <c r="AS337" s="17">
        <v>160</v>
      </c>
      <c r="AT337" s="17">
        <v>213</v>
      </c>
      <c r="AU337" s="17">
        <v>263</v>
      </c>
      <c r="AV337" s="17">
        <v>345</v>
      </c>
      <c r="AW337" s="17">
        <v>455</v>
      </c>
      <c r="AX337" s="17">
        <v>595</v>
      </c>
      <c r="AY337" s="17">
        <v>729</v>
      </c>
      <c r="AZ337" s="17">
        <v>862</v>
      </c>
      <c r="BA337" s="17">
        <v>1050</v>
      </c>
      <c r="BB337" s="17">
        <v>1287</v>
      </c>
      <c r="BC337" s="17">
        <v>1484</v>
      </c>
      <c r="BD337" s="17">
        <v>1829</v>
      </c>
      <c r="BE337" s="17">
        <v>2249</v>
      </c>
      <c r="BF337" s="17">
        <v>2695</v>
      </c>
      <c r="BG337" s="17">
        <v>3114</v>
      </c>
      <c r="BH337" s="17">
        <v>3551</v>
      </c>
      <c r="BI337" s="17">
        <v>3941</v>
      </c>
      <c r="BJ337" s="17">
        <v>4338</v>
      </c>
      <c r="BK337" s="17">
        <v>4668</v>
      </c>
      <c r="BL337" s="17">
        <v>5025</v>
      </c>
      <c r="BM337" s="17">
        <v>5367</v>
      </c>
      <c r="BN337" s="17">
        <v>5767</v>
      </c>
      <c r="BO337" s="17">
        <v>6192</v>
      </c>
      <c r="BP337" s="17">
        <v>6553</v>
      </c>
      <c r="BQ337" s="17">
        <v>6913</v>
      </c>
      <c r="BR337" s="17">
        <v>7255</v>
      </c>
      <c r="BS337" s="17">
        <v>7522</v>
      </c>
      <c r="BT337" s="17">
        <v>7771</v>
      </c>
      <c r="BU337" s="17">
        <v>8005</v>
      </c>
      <c r="BV337" s="17">
        <v>8195</v>
      </c>
      <c r="BW337" s="17">
        <v>8325</v>
      </c>
      <c r="BX337" s="17">
        <v>8422</v>
      </c>
      <c r="BY337" s="17">
        <v>8519</v>
      </c>
      <c r="BZ337" s="17">
        <v>8582</v>
      </c>
      <c r="CA337" s="17">
        <v>8628</v>
      </c>
      <c r="CB337" s="17">
        <v>8668</v>
      </c>
      <c r="CC337" s="17">
        <v>8692</v>
      </c>
      <c r="CD337" s="17">
        <v>8729</v>
      </c>
      <c r="CE337" s="17">
        <v>8749</v>
      </c>
      <c r="CF337" s="17">
        <v>8759</v>
      </c>
      <c r="CG337" s="17">
        <v>8760</v>
      </c>
      <c r="CH337" s="17">
        <v>8760</v>
      </c>
      <c r="CI337" s="17">
        <v>8760</v>
      </c>
      <c r="CJ337" s="17">
        <v>8760</v>
      </c>
      <c r="CK337" s="17">
        <v>8760</v>
      </c>
      <c r="CL337" s="17">
        <v>8760</v>
      </c>
      <c r="CM337" s="17">
        <v>8760</v>
      </c>
      <c r="CN337" s="17">
        <v>8760</v>
      </c>
      <c r="CO337" s="17">
        <v>8760</v>
      </c>
      <c r="CP337" s="17">
        <v>8760</v>
      </c>
      <c r="CQ337" s="17">
        <v>8760</v>
      </c>
      <c r="CR337" s="17">
        <v>8760</v>
      </c>
      <c r="CS337" s="17">
        <v>8760</v>
      </c>
      <c r="CT337" s="17">
        <v>8760</v>
      </c>
      <c r="CU337" s="17">
        <v>8760</v>
      </c>
      <c r="CV337" s="17">
        <v>8760</v>
      </c>
      <c r="CW337" s="17">
        <v>8760</v>
      </c>
      <c r="CX337" s="17">
        <v>8760</v>
      </c>
      <c r="CY337" s="17">
        <v>8760</v>
      </c>
      <c r="CZ337" s="17">
        <v>8760</v>
      </c>
      <c r="DA337" s="17">
        <v>8760</v>
      </c>
      <c r="DB337" s="17">
        <v>8760</v>
      </c>
      <c r="DD337" s="12">
        <f t="shared" si="0"/>
        <v>21</v>
      </c>
      <c r="DF337" s="17">
        <f t="shared" ca="1" si="1"/>
        <v>8588</v>
      </c>
      <c r="DG337" s="17">
        <f t="shared" ca="1" si="2"/>
        <v>127342</v>
      </c>
      <c r="DH337" s="17">
        <f t="shared" ca="1" si="3"/>
        <v>-2.7730481952149053</v>
      </c>
      <c r="DI337" s="17">
        <f t="shared" ca="1" si="4"/>
        <v>-1</v>
      </c>
    </row>
    <row r="338" spans="2:113" s="17" customFormat="1" x14ac:dyDescent="0.25">
      <c r="B338" s="17" t="s">
        <v>428</v>
      </c>
      <c r="C338" s="17" t="s">
        <v>438</v>
      </c>
      <c r="D338" s="17" t="s">
        <v>1011</v>
      </c>
      <c r="E338" s="17" t="s">
        <v>1012</v>
      </c>
      <c r="F338" s="17">
        <v>102140</v>
      </c>
      <c r="G338" s="17">
        <v>0</v>
      </c>
      <c r="H338" s="17">
        <v>0</v>
      </c>
      <c r="I338" s="17">
        <v>0</v>
      </c>
      <c r="J338" s="17">
        <v>0</v>
      </c>
      <c r="K338" s="17">
        <v>0</v>
      </c>
      <c r="L338" s="17">
        <v>0</v>
      </c>
      <c r="M338" s="17">
        <v>0</v>
      </c>
      <c r="N338" s="17">
        <v>0</v>
      </c>
      <c r="O338" s="17">
        <v>0</v>
      </c>
      <c r="P338" s="17">
        <v>0</v>
      </c>
      <c r="Q338" s="17">
        <v>0</v>
      </c>
      <c r="R338" s="17">
        <v>0</v>
      </c>
      <c r="S338" s="17">
        <v>0</v>
      </c>
      <c r="T338" s="17">
        <v>0</v>
      </c>
      <c r="U338" s="17">
        <v>0</v>
      </c>
      <c r="V338" s="17">
        <v>0</v>
      </c>
      <c r="W338" s="17">
        <v>0</v>
      </c>
      <c r="X338" s="17">
        <v>0</v>
      </c>
      <c r="Y338" s="17">
        <v>0</v>
      </c>
      <c r="Z338" s="17">
        <v>0</v>
      </c>
      <c r="AA338" s="17">
        <v>0</v>
      </c>
      <c r="AB338" s="17">
        <v>0</v>
      </c>
      <c r="AC338" s="17">
        <v>0</v>
      </c>
      <c r="AD338" s="17">
        <v>0</v>
      </c>
      <c r="AE338" s="17">
        <v>0</v>
      </c>
      <c r="AF338" s="17">
        <v>0</v>
      </c>
      <c r="AG338" s="17">
        <v>0</v>
      </c>
      <c r="AH338" s="17">
        <v>0</v>
      </c>
      <c r="AI338" s="17">
        <v>0</v>
      </c>
      <c r="AJ338" s="17">
        <v>0</v>
      </c>
      <c r="AK338" s="17">
        <v>0</v>
      </c>
      <c r="AL338" s="17">
        <v>0</v>
      </c>
      <c r="AM338" s="17">
        <v>0</v>
      </c>
      <c r="AN338" s="17">
        <v>0</v>
      </c>
      <c r="AO338" s="17">
        <v>0</v>
      </c>
      <c r="AP338" s="17">
        <v>3</v>
      </c>
      <c r="AQ338" s="17">
        <v>8</v>
      </c>
      <c r="AR338" s="17">
        <v>20</v>
      </c>
      <c r="AS338" s="17">
        <v>29</v>
      </c>
      <c r="AT338" s="17">
        <v>41</v>
      </c>
      <c r="AU338" s="17">
        <v>57</v>
      </c>
      <c r="AV338" s="17">
        <v>86</v>
      </c>
      <c r="AW338" s="17">
        <v>107</v>
      </c>
      <c r="AX338" s="17">
        <v>142</v>
      </c>
      <c r="AY338" s="17">
        <v>199</v>
      </c>
      <c r="AZ338" s="17">
        <v>283</v>
      </c>
      <c r="BA338" s="17">
        <v>385</v>
      </c>
      <c r="BB338" s="17">
        <v>521</v>
      </c>
      <c r="BC338" s="17">
        <v>706</v>
      </c>
      <c r="BD338" s="17">
        <v>920</v>
      </c>
      <c r="BE338" s="17">
        <v>1312</v>
      </c>
      <c r="BF338" s="17">
        <v>1765</v>
      </c>
      <c r="BG338" s="17">
        <v>2262</v>
      </c>
      <c r="BH338" s="17">
        <v>2724</v>
      </c>
      <c r="BI338" s="17">
        <v>3243</v>
      </c>
      <c r="BJ338" s="17">
        <v>3681</v>
      </c>
      <c r="BK338" s="17">
        <v>4095</v>
      </c>
      <c r="BL338" s="17">
        <v>4432</v>
      </c>
      <c r="BM338" s="17">
        <v>4734</v>
      </c>
      <c r="BN338" s="17">
        <v>5076</v>
      </c>
      <c r="BO338" s="17">
        <v>5426</v>
      </c>
      <c r="BP338" s="17">
        <v>5814</v>
      </c>
      <c r="BQ338" s="17">
        <v>6257</v>
      </c>
      <c r="BR338" s="17">
        <v>6690</v>
      </c>
      <c r="BS338" s="17">
        <v>7128</v>
      </c>
      <c r="BT338" s="17">
        <v>7436</v>
      </c>
      <c r="BU338" s="17">
        <v>7762</v>
      </c>
      <c r="BV338" s="17">
        <v>8026</v>
      </c>
      <c r="BW338" s="17">
        <v>8220</v>
      </c>
      <c r="BX338" s="17">
        <v>8377</v>
      </c>
      <c r="BY338" s="17">
        <v>8501</v>
      </c>
      <c r="BZ338" s="17">
        <v>8583</v>
      </c>
      <c r="CA338" s="17">
        <v>8630</v>
      </c>
      <c r="CB338" s="17">
        <v>8655</v>
      </c>
      <c r="CC338" s="17">
        <v>8686</v>
      </c>
      <c r="CD338" s="17">
        <v>8717</v>
      </c>
      <c r="CE338" s="17">
        <v>8738</v>
      </c>
      <c r="CF338" s="17">
        <v>8748</v>
      </c>
      <c r="CG338" s="17">
        <v>8758</v>
      </c>
      <c r="CH338" s="17">
        <v>8760</v>
      </c>
      <c r="CI338" s="17">
        <v>8760</v>
      </c>
      <c r="CJ338" s="17">
        <v>8760</v>
      </c>
      <c r="CK338" s="17">
        <v>8760</v>
      </c>
      <c r="CL338" s="17">
        <v>8760</v>
      </c>
      <c r="CM338" s="17">
        <v>8760</v>
      </c>
      <c r="CN338" s="17">
        <v>8760</v>
      </c>
      <c r="CO338" s="17">
        <v>8760</v>
      </c>
      <c r="CP338" s="17">
        <v>8760</v>
      </c>
      <c r="CQ338" s="17">
        <v>8760</v>
      </c>
      <c r="CR338" s="17">
        <v>8760</v>
      </c>
      <c r="CS338" s="17">
        <v>8760</v>
      </c>
      <c r="CT338" s="17">
        <v>8760</v>
      </c>
      <c r="CU338" s="17">
        <v>8760</v>
      </c>
      <c r="CV338" s="17">
        <v>8760</v>
      </c>
      <c r="CW338" s="17">
        <v>8760</v>
      </c>
      <c r="CX338" s="17">
        <v>8760</v>
      </c>
      <c r="CY338" s="17">
        <v>8760</v>
      </c>
      <c r="CZ338" s="17">
        <v>8760</v>
      </c>
      <c r="DA338" s="17">
        <v>8760</v>
      </c>
      <c r="DB338" s="17">
        <v>8760</v>
      </c>
      <c r="DD338" s="12">
        <f t="shared" si="0"/>
        <v>20</v>
      </c>
      <c r="DF338" s="17">
        <f t="shared" ca="1" si="1"/>
        <v>8525</v>
      </c>
      <c r="DG338" s="17">
        <f t="shared" ca="1" si="2"/>
        <v>118754</v>
      </c>
      <c r="DH338" s="17">
        <f t="shared" ca="1" si="3"/>
        <v>-2.7061024899487718</v>
      </c>
      <c r="DI338" s="17">
        <f t="shared" ca="1" si="4"/>
        <v>-1</v>
      </c>
    </row>
    <row r="339" spans="2:113" s="17" customFormat="1" x14ac:dyDescent="0.25">
      <c r="B339" s="17" t="s">
        <v>50</v>
      </c>
      <c r="C339" s="17" t="s">
        <v>438</v>
      </c>
      <c r="D339" s="17" t="s">
        <v>1013</v>
      </c>
      <c r="E339" s="17" t="s">
        <v>921</v>
      </c>
      <c r="F339" s="17">
        <v>102404</v>
      </c>
      <c r="G339" s="17">
        <v>0</v>
      </c>
      <c r="H339" s="17">
        <v>0</v>
      </c>
      <c r="I339" s="17">
        <v>0</v>
      </c>
      <c r="J339" s="17">
        <v>0</v>
      </c>
      <c r="K339" s="17">
        <v>0</v>
      </c>
      <c r="L339" s="17">
        <v>0</v>
      </c>
      <c r="M339" s="17">
        <v>0</v>
      </c>
      <c r="N339" s="17">
        <v>0</v>
      </c>
      <c r="O339" s="17">
        <v>0</v>
      </c>
      <c r="P339" s="17">
        <v>0</v>
      </c>
      <c r="Q339" s="17">
        <v>0</v>
      </c>
      <c r="R339" s="17">
        <v>0</v>
      </c>
      <c r="S339" s="17">
        <v>0</v>
      </c>
      <c r="T339" s="17">
        <v>0</v>
      </c>
      <c r="U339" s="17">
        <v>0</v>
      </c>
      <c r="V339" s="17">
        <v>0</v>
      </c>
      <c r="W339" s="17">
        <v>0</v>
      </c>
      <c r="X339" s="17">
        <v>0</v>
      </c>
      <c r="Y339" s="17">
        <v>0</v>
      </c>
      <c r="Z339" s="17">
        <v>0</v>
      </c>
      <c r="AA339" s="17">
        <v>0</v>
      </c>
      <c r="AB339" s="17">
        <v>0</v>
      </c>
      <c r="AC339" s="17">
        <v>0</v>
      </c>
      <c r="AD339" s="17">
        <v>0</v>
      </c>
      <c r="AE339" s="17">
        <v>0</v>
      </c>
      <c r="AF339" s="17">
        <v>0</v>
      </c>
      <c r="AG339" s="17">
        <v>0</v>
      </c>
      <c r="AH339" s="17">
        <v>0</v>
      </c>
      <c r="AI339" s="17">
        <v>0</v>
      </c>
      <c r="AJ339" s="17">
        <v>0</v>
      </c>
      <c r="AK339" s="17">
        <v>0</v>
      </c>
      <c r="AL339" s="17">
        <v>1</v>
      </c>
      <c r="AM339" s="17">
        <v>6</v>
      </c>
      <c r="AN339" s="17">
        <v>9</v>
      </c>
      <c r="AO339" s="17">
        <v>12</v>
      </c>
      <c r="AP339" s="17">
        <v>16</v>
      </c>
      <c r="AQ339" s="17">
        <v>23</v>
      </c>
      <c r="AR339" s="17">
        <v>53</v>
      </c>
      <c r="AS339" s="17">
        <v>75</v>
      </c>
      <c r="AT339" s="17">
        <v>103</v>
      </c>
      <c r="AU339" s="17">
        <v>156</v>
      </c>
      <c r="AV339" s="17">
        <v>243</v>
      </c>
      <c r="AW339" s="17">
        <v>330</v>
      </c>
      <c r="AX339" s="17">
        <v>432</v>
      </c>
      <c r="AY339" s="17">
        <v>574</v>
      </c>
      <c r="AZ339" s="17">
        <v>749</v>
      </c>
      <c r="BA339" s="17">
        <v>966</v>
      </c>
      <c r="BB339" s="17">
        <v>1218</v>
      </c>
      <c r="BC339" s="17">
        <v>1548</v>
      </c>
      <c r="BD339" s="17">
        <v>2036</v>
      </c>
      <c r="BE339" s="17">
        <v>2605</v>
      </c>
      <c r="BF339" s="17">
        <v>3030</v>
      </c>
      <c r="BG339" s="17">
        <v>3337</v>
      </c>
      <c r="BH339" s="17">
        <v>3737</v>
      </c>
      <c r="BI339" s="17">
        <v>4092</v>
      </c>
      <c r="BJ339" s="17">
        <v>4385</v>
      </c>
      <c r="BK339" s="17">
        <v>4667</v>
      </c>
      <c r="BL339" s="17">
        <v>4979</v>
      </c>
      <c r="BM339" s="17">
        <v>5277</v>
      </c>
      <c r="BN339" s="17">
        <v>5608</v>
      </c>
      <c r="BO339" s="17">
        <v>5942</v>
      </c>
      <c r="BP339" s="17">
        <v>6250</v>
      </c>
      <c r="BQ339" s="17">
        <v>6593</v>
      </c>
      <c r="BR339" s="17">
        <v>7000</v>
      </c>
      <c r="BS339" s="17">
        <v>7290</v>
      </c>
      <c r="BT339" s="17">
        <v>7580</v>
      </c>
      <c r="BU339" s="17">
        <v>7829</v>
      </c>
      <c r="BV339" s="17">
        <v>8067</v>
      </c>
      <c r="BW339" s="17">
        <v>8280</v>
      </c>
      <c r="BX339" s="17">
        <v>8421</v>
      </c>
      <c r="BY339" s="17">
        <v>8526</v>
      </c>
      <c r="BZ339" s="17">
        <v>8599</v>
      </c>
      <c r="CA339" s="17">
        <v>8654</v>
      </c>
      <c r="CB339" s="17">
        <v>8690</v>
      </c>
      <c r="CC339" s="17">
        <v>8731</v>
      </c>
      <c r="CD339" s="17">
        <v>8756</v>
      </c>
      <c r="CE339" s="17">
        <v>8760</v>
      </c>
      <c r="CF339" s="17">
        <v>8760</v>
      </c>
      <c r="CG339" s="17">
        <v>8760</v>
      </c>
      <c r="CH339" s="17">
        <v>8760</v>
      </c>
      <c r="CI339" s="17">
        <v>8760</v>
      </c>
      <c r="CJ339" s="17">
        <v>8760</v>
      </c>
      <c r="CK339" s="17">
        <v>8760</v>
      </c>
      <c r="CL339" s="17">
        <v>8760</v>
      </c>
      <c r="CM339" s="17">
        <v>8760</v>
      </c>
      <c r="CN339" s="17">
        <v>8760</v>
      </c>
      <c r="CO339" s="17">
        <v>8760</v>
      </c>
      <c r="CP339" s="17">
        <v>8760</v>
      </c>
      <c r="CQ339" s="17">
        <v>8760</v>
      </c>
      <c r="CR339" s="17">
        <v>8760</v>
      </c>
      <c r="CS339" s="17">
        <v>8760</v>
      </c>
      <c r="CT339" s="17">
        <v>8760</v>
      </c>
      <c r="CU339" s="17">
        <v>8760</v>
      </c>
      <c r="CV339" s="17">
        <v>8760</v>
      </c>
      <c r="CW339" s="17">
        <v>8760</v>
      </c>
      <c r="CX339" s="17">
        <v>8760</v>
      </c>
      <c r="CY339" s="17">
        <v>8760</v>
      </c>
      <c r="CZ339" s="17">
        <v>8760</v>
      </c>
      <c r="DA339" s="17">
        <v>8760</v>
      </c>
      <c r="DB339" s="17">
        <v>8760</v>
      </c>
      <c r="DD339" s="12">
        <f t="shared" si="0"/>
        <v>19</v>
      </c>
      <c r="DF339" s="17">
        <f t="shared" ca="1" si="1"/>
        <v>8442</v>
      </c>
      <c r="DG339" s="17">
        <f t="shared" ca="1" si="2"/>
        <v>110229</v>
      </c>
      <c r="DH339" s="17">
        <f t="shared" ca="1" si="3"/>
        <v>-2.6350143581805785</v>
      </c>
      <c r="DI339" s="17">
        <f t="shared" ca="1" si="4"/>
        <v>-1</v>
      </c>
    </row>
    <row r="340" spans="2:113" s="17" customFormat="1" x14ac:dyDescent="0.25">
      <c r="B340" s="17" t="s">
        <v>35</v>
      </c>
      <c r="C340" s="17" t="s">
        <v>438</v>
      </c>
      <c r="D340" s="17" t="s">
        <v>1014</v>
      </c>
      <c r="E340" s="17" t="s">
        <v>1015</v>
      </c>
      <c r="F340" s="17">
        <v>102304</v>
      </c>
      <c r="G340" s="17">
        <v>0</v>
      </c>
      <c r="H340" s="17">
        <v>0</v>
      </c>
      <c r="I340" s="17">
        <v>0</v>
      </c>
      <c r="J340" s="17">
        <v>0</v>
      </c>
      <c r="K340" s="17">
        <v>0</v>
      </c>
      <c r="L340" s="17">
        <v>0</v>
      </c>
      <c r="M340" s="17">
        <v>0</v>
      </c>
      <c r="N340" s="17">
        <v>0</v>
      </c>
      <c r="O340" s="17">
        <v>0</v>
      </c>
      <c r="P340" s="17">
        <v>0</v>
      </c>
      <c r="Q340" s="17">
        <v>0</v>
      </c>
      <c r="R340" s="17">
        <v>0</v>
      </c>
      <c r="S340" s="17">
        <v>0</v>
      </c>
      <c r="T340" s="17">
        <v>0</v>
      </c>
      <c r="U340" s="17">
        <v>0</v>
      </c>
      <c r="V340" s="17">
        <v>0</v>
      </c>
      <c r="W340" s="17">
        <v>0</v>
      </c>
      <c r="X340" s="17">
        <v>0</v>
      </c>
      <c r="Y340" s="17">
        <v>0</v>
      </c>
      <c r="Z340" s="17">
        <v>0</v>
      </c>
      <c r="AA340" s="17">
        <v>0</v>
      </c>
      <c r="AB340" s="17">
        <v>0</v>
      </c>
      <c r="AC340" s="17">
        <v>0</v>
      </c>
      <c r="AD340" s="17">
        <v>0</v>
      </c>
      <c r="AE340" s="17">
        <v>0</v>
      </c>
      <c r="AF340" s="17">
        <v>0</v>
      </c>
      <c r="AG340" s="17">
        <v>0</v>
      </c>
      <c r="AH340" s="17">
        <v>0</v>
      </c>
      <c r="AI340" s="17">
        <v>0</v>
      </c>
      <c r="AJ340" s="17">
        <v>0</v>
      </c>
      <c r="AK340" s="17">
        <v>0</v>
      </c>
      <c r="AL340" s="17">
        <v>0</v>
      </c>
      <c r="AM340" s="17">
        <v>0</v>
      </c>
      <c r="AN340" s="17">
        <v>0</v>
      </c>
      <c r="AO340" s="17">
        <v>0</v>
      </c>
      <c r="AP340" s="17">
        <v>1</v>
      </c>
      <c r="AQ340" s="17">
        <v>5</v>
      </c>
      <c r="AR340" s="17">
        <v>19</v>
      </c>
      <c r="AS340" s="17">
        <v>42</v>
      </c>
      <c r="AT340" s="17">
        <v>64</v>
      </c>
      <c r="AU340" s="17">
        <v>94</v>
      </c>
      <c r="AV340" s="17">
        <v>131</v>
      </c>
      <c r="AW340" s="17">
        <v>173</v>
      </c>
      <c r="AX340" s="17">
        <v>231</v>
      </c>
      <c r="AY340" s="17">
        <v>317</v>
      </c>
      <c r="AZ340" s="17">
        <v>464</v>
      </c>
      <c r="BA340" s="17">
        <v>629</v>
      </c>
      <c r="BB340" s="17">
        <v>848</v>
      </c>
      <c r="BC340" s="17">
        <v>1081</v>
      </c>
      <c r="BD340" s="17">
        <v>1465</v>
      </c>
      <c r="BE340" s="17">
        <v>1932</v>
      </c>
      <c r="BF340" s="17">
        <v>2306</v>
      </c>
      <c r="BG340" s="17">
        <v>2773</v>
      </c>
      <c r="BH340" s="17">
        <v>3331</v>
      </c>
      <c r="BI340" s="17">
        <v>3760</v>
      </c>
      <c r="BJ340" s="17">
        <v>4153</v>
      </c>
      <c r="BK340" s="17">
        <v>4462</v>
      </c>
      <c r="BL340" s="17">
        <v>4783</v>
      </c>
      <c r="BM340" s="17">
        <v>5076</v>
      </c>
      <c r="BN340" s="17">
        <v>5458</v>
      </c>
      <c r="BO340" s="17">
        <v>5840</v>
      </c>
      <c r="BP340" s="17">
        <v>6246</v>
      </c>
      <c r="BQ340" s="17">
        <v>6623</v>
      </c>
      <c r="BR340" s="17">
        <v>6943</v>
      </c>
      <c r="BS340" s="17">
        <v>7289</v>
      </c>
      <c r="BT340" s="17">
        <v>7578</v>
      </c>
      <c r="BU340" s="17">
        <v>7832</v>
      </c>
      <c r="BV340" s="17">
        <v>8037</v>
      </c>
      <c r="BW340" s="17">
        <v>8197</v>
      </c>
      <c r="BX340" s="17">
        <v>8332</v>
      </c>
      <c r="BY340" s="17">
        <v>8452</v>
      </c>
      <c r="BZ340" s="17">
        <v>8548</v>
      </c>
      <c r="CA340" s="17">
        <v>8616</v>
      </c>
      <c r="CB340" s="17">
        <v>8664</v>
      </c>
      <c r="CC340" s="17">
        <v>8699</v>
      </c>
      <c r="CD340" s="17">
        <v>8721</v>
      </c>
      <c r="CE340" s="17">
        <v>8745</v>
      </c>
      <c r="CF340" s="17">
        <v>8752</v>
      </c>
      <c r="CG340" s="17">
        <v>8758</v>
      </c>
      <c r="CH340" s="17">
        <v>8760</v>
      </c>
      <c r="CI340" s="17">
        <v>8760</v>
      </c>
      <c r="CJ340" s="17">
        <v>8760</v>
      </c>
      <c r="CK340" s="17">
        <v>8760</v>
      </c>
      <c r="CL340" s="17">
        <v>8760</v>
      </c>
      <c r="CM340" s="17">
        <v>8760</v>
      </c>
      <c r="CN340" s="17">
        <v>8760</v>
      </c>
      <c r="CO340" s="17">
        <v>8760</v>
      </c>
      <c r="CP340" s="17">
        <v>8760</v>
      </c>
      <c r="CQ340" s="17">
        <v>8760</v>
      </c>
      <c r="CR340" s="17">
        <v>8760</v>
      </c>
      <c r="CS340" s="17">
        <v>8760</v>
      </c>
      <c r="CT340" s="17">
        <v>8760</v>
      </c>
      <c r="CU340" s="17">
        <v>8760</v>
      </c>
      <c r="CV340" s="17">
        <v>8760</v>
      </c>
      <c r="CW340" s="17">
        <v>8760</v>
      </c>
      <c r="CX340" s="17">
        <v>8760</v>
      </c>
      <c r="CY340" s="17">
        <v>8760</v>
      </c>
      <c r="CZ340" s="17">
        <v>8760</v>
      </c>
      <c r="DA340" s="17">
        <v>8760</v>
      </c>
      <c r="DB340" s="17">
        <v>8760</v>
      </c>
      <c r="DD340" s="12">
        <f t="shared" si="0"/>
        <v>18</v>
      </c>
      <c r="DF340" s="17">
        <f t="shared" ca="1" si="1"/>
        <v>8307</v>
      </c>
      <c r="DG340" s="17">
        <f t="shared" ca="1" si="2"/>
        <v>101787</v>
      </c>
      <c r="DH340" s="17">
        <f t="shared" ca="1" si="3"/>
        <v>-2.5596530648730096</v>
      </c>
      <c r="DI340" s="17">
        <f t="shared" ca="1" si="4"/>
        <v>-1</v>
      </c>
    </row>
    <row r="341" spans="2:113" s="17" customFormat="1" x14ac:dyDescent="0.25">
      <c r="B341" s="17" t="s">
        <v>36</v>
      </c>
      <c r="C341" s="17" t="s">
        <v>438</v>
      </c>
      <c r="D341" s="17" t="s">
        <v>1016</v>
      </c>
      <c r="E341" s="17" t="s">
        <v>1017</v>
      </c>
      <c r="F341" s="17">
        <v>102715</v>
      </c>
      <c r="G341" s="17">
        <v>0</v>
      </c>
      <c r="H341" s="17">
        <v>0</v>
      </c>
      <c r="I341" s="17">
        <v>0</v>
      </c>
      <c r="J341" s="17">
        <v>0</v>
      </c>
      <c r="K341" s="17">
        <v>0</v>
      </c>
      <c r="L341" s="17">
        <v>0</v>
      </c>
      <c r="M341" s="17">
        <v>0</v>
      </c>
      <c r="N341" s="17">
        <v>0</v>
      </c>
      <c r="O341" s="17">
        <v>0</v>
      </c>
      <c r="P341" s="17">
        <v>0</v>
      </c>
      <c r="Q341" s="17">
        <v>0</v>
      </c>
      <c r="R341" s="17">
        <v>0</v>
      </c>
      <c r="S341" s="17">
        <v>0</v>
      </c>
      <c r="T341" s="17">
        <v>0</v>
      </c>
      <c r="U341" s="17">
        <v>0</v>
      </c>
      <c r="V341" s="17">
        <v>0</v>
      </c>
      <c r="W341" s="17">
        <v>0</v>
      </c>
      <c r="X341" s="17">
        <v>0</v>
      </c>
      <c r="Y341" s="17">
        <v>0</v>
      </c>
      <c r="Z341" s="17">
        <v>0</v>
      </c>
      <c r="AA341" s="17">
        <v>0</v>
      </c>
      <c r="AB341" s="17">
        <v>0</v>
      </c>
      <c r="AC341" s="17">
        <v>0</v>
      </c>
      <c r="AD341" s="17">
        <v>3</v>
      </c>
      <c r="AE341" s="17">
        <v>9</v>
      </c>
      <c r="AF341" s="17">
        <v>22</v>
      </c>
      <c r="AG341" s="17">
        <v>41</v>
      </c>
      <c r="AH341" s="17">
        <v>55</v>
      </c>
      <c r="AI341" s="17">
        <v>79</v>
      </c>
      <c r="AJ341" s="17">
        <v>118</v>
      </c>
      <c r="AK341" s="17">
        <v>153</v>
      </c>
      <c r="AL341" s="17">
        <v>183</v>
      </c>
      <c r="AM341" s="17">
        <v>234</v>
      </c>
      <c r="AN341" s="17">
        <v>301</v>
      </c>
      <c r="AO341" s="17">
        <v>375</v>
      </c>
      <c r="AP341" s="17">
        <v>464</v>
      </c>
      <c r="AQ341" s="17">
        <v>567</v>
      </c>
      <c r="AR341" s="17">
        <v>660</v>
      </c>
      <c r="AS341" s="17">
        <v>755</v>
      </c>
      <c r="AT341" s="17">
        <v>866</v>
      </c>
      <c r="AU341" s="17">
        <v>982</v>
      </c>
      <c r="AV341" s="17">
        <v>1112</v>
      </c>
      <c r="AW341" s="17">
        <v>1264</v>
      </c>
      <c r="AX341" s="17">
        <v>1428</v>
      </c>
      <c r="AY341" s="17">
        <v>1636</v>
      </c>
      <c r="AZ341" s="17">
        <v>1879</v>
      </c>
      <c r="BA341" s="17">
        <v>2130</v>
      </c>
      <c r="BB341" s="17">
        <v>2437</v>
      </c>
      <c r="BC341" s="17">
        <v>2775</v>
      </c>
      <c r="BD341" s="17">
        <v>3137</v>
      </c>
      <c r="BE341" s="17">
        <v>3496</v>
      </c>
      <c r="BF341" s="17">
        <v>3873</v>
      </c>
      <c r="BG341" s="17">
        <v>4245</v>
      </c>
      <c r="BH341" s="17">
        <v>4599</v>
      </c>
      <c r="BI341" s="17">
        <v>4858</v>
      </c>
      <c r="BJ341" s="17">
        <v>5141</v>
      </c>
      <c r="BK341" s="17">
        <v>5412</v>
      </c>
      <c r="BL341" s="17">
        <v>5732</v>
      </c>
      <c r="BM341" s="17">
        <v>6073</v>
      </c>
      <c r="BN341" s="17">
        <v>6413</v>
      </c>
      <c r="BO341" s="17">
        <v>6734</v>
      </c>
      <c r="BP341" s="17">
        <v>7013</v>
      </c>
      <c r="BQ341" s="17">
        <v>7306</v>
      </c>
      <c r="BR341" s="17">
        <v>7575</v>
      </c>
      <c r="BS341" s="17">
        <v>7824</v>
      </c>
      <c r="BT341" s="17">
        <v>8048</v>
      </c>
      <c r="BU341" s="17">
        <v>8215</v>
      </c>
      <c r="BV341" s="17">
        <v>8370</v>
      </c>
      <c r="BW341" s="17">
        <v>8474</v>
      </c>
      <c r="BX341" s="17">
        <v>8548</v>
      </c>
      <c r="BY341" s="17">
        <v>8605</v>
      </c>
      <c r="BZ341" s="17">
        <v>8655</v>
      </c>
      <c r="CA341" s="17">
        <v>8697</v>
      </c>
      <c r="CB341" s="17">
        <v>8728</v>
      </c>
      <c r="CC341" s="17">
        <v>8746</v>
      </c>
      <c r="CD341" s="17">
        <v>8759</v>
      </c>
      <c r="CE341" s="17">
        <v>8760</v>
      </c>
      <c r="CF341" s="17">
        <v>8760</v>
      </c>
      <c r="CG341" s="17">
        <v>8760</v>
      </c>
      <c r="CH341" s="17">
        <v>8760</v>
      </c>
      <c r="CI341" s="17">
        <v>8760</v>
      </c>
      <c r="CJ341" s="17">
        <v>8760</v>
      </c>
      <c r="CK341" s="17">
        <v>8760</v>
      </c>
      <c r="CL341" s="17">
        <v>8760</v>
      </c>
      <c r="CM341" s="17">
        <v>8760</v>
      </c>
      <c r="CN341" s="17">
        <v>8760</v>
      </c>
      <c r="CO341" s="17">
        <v>8760</v>
      </c>
      <c r="CP341" s="17">
        <v>8760</v>
      </c>
      <c r="CQ341" s="17">
        <v>8760</v>
      </c>
      <c r="CR341" s="17">
        <v>8760</v>
      </c>
      <c r="CS341" s="17">
        <v>8760</v>
      </c>
      <c r="CT341" s="17">
        <v>8760</v>
      </c>
      <c r="CU341" s="17">
        <v>8760</v>
      </c>
      <c r="CV341" s="17">
        <v>8760</v>
      </c>
      <c r="CW341" s="17">
        <v>8760</v>
      </c>
      <c r="CX341" s="17">
        <v>8760</v>
      </c>
      <c r="CY341" s="17">
        <v>8760</v>
      </c>
      <c r="CZ341" s="17">
        <v>8760</v>
      </c>
      <c r="DA341" s="17">
        <v>8760</v>
      </c>
      <c r="DB341" s="17">
        <v>8760</v>
      </c>
      <c r="DD341" s="12">
        <f t="shared" si="0"/>
        <v>17</v>
      </c>
      <c r="DF341" s="17">
        <f t="shared" ca="1" si="1"/>
        <v>8130</v>
      </c>
      <c r="DG341" s="17">
        <f t="shared" ca="1" si="2"/>
        <v>93480</v>
      </c>
      <c r="DH341" s="17">
        <f t="shared" ca="1" si="3"/>
        <v>-2.4797803895804869</v>
      </c>
      <c r="DI341" s="17">
        <f t="shared" ca="1" si="4"/>
        <v>-1</v>
      </c>
    </row>
    <row r="342" spans="2:113" s="17" customFormat="1" x14ac:dyDescent="0.25">
      <c r="B342" s="17" t="s">
        <v>429</v>
      </c>
      <c r="DD342" s="12">
        <f t="shared" si="0"/>
        <v>16</v>
      </c>
      <c r="DF342" s="17">
        <f t="shared" ca="1" si="1"/>
        <v>7918</v>
      </c>
      <c r="DG342" s="17">
        <f t="shared" ca="1" si="2"/>
        <v>85350</v>
      </c>
      <c r="DH342" s="17">
        <f t="shared" ca="1" si="3"/>
        <v>-2.3950777793964901</v>
      </c>
      <c r="DI342" s="17">
        <f t="shared" ca="1" si="4"/>
        <v>-1</v>
      </c>
    </row>
    <row r="343" spans="2:113" s="17" customFormat="1" x14ac:dyDescent="0.25">
      <c r="B343" s="17" t="s">
        <v>38</v>
      </c>
      <c r="C343" s="17" t="s">
        <v>438</v>
      </c>
      <c r="D343" s="17" t="s">
        <v>1018</v>
      </c>
      <c r="E343" s="17" t="s">
        <v>1019</v>
      </c>
      <c r="F343" s="17">
        <v>102003</v>
      </c>
      <c r="G343" s="17">
        <v>0</v>
      </c>
      <c r="H343" s="17">
        <v>0</v>
      </c>
      <c r="I343" s="17">
        <v>0</v>
      </c>
      <c r="J343" s="17">
        <v>0</v>
      </c>
      <c r="K343" s="17">
        <v>0</v>
      </c>
      <c r="L343" s="17">
        <v>0</v>
      </c>
      <c r="M343" s="17">
        <v>0</v>
      </c>
      <c r="N343" s="17">
        <v>0</v>
      </c>
      <c r="O343" s="17">
        <v>0</v>
      </c>
      <c r="P343" s="17">
        <v>0</v>
      </c>
      <c r="Q343" s="17">
        <v>0</v>
      </c>
      <c r="R343" s="17">
        <v>0</v>
      </c>
      <c r="S343" s="17">
        <v>0</v>
      </c>
      <c r="T343" s="17">
        <v>0</v>
      </c>
      <c r="U343" s="17">
        <v>0</v>
      </c>
      <c r="V343" s="17">
        <v>0</v>
      </c>
      <c r="W343" s="17">
        <v>0</v>
      </c>
      <c r="X343" s="17">
        <v>0</v>
      </c>
      <c r="Y343" s="17">
        <v>4</v>
      </c>
      <c r="Z343" s="17">
        <v>8</v>
      </c>
      <c r="AA343" s="17">
        <v>13</v>
      </c>
      <c r="AB343" s="17">
        <v>22</v>
      </c>
      <c r="AC343" s="17">
        <v>32</v>
      </c>
      <c r="AD343" s="17">
        <v>53</v>
      </c>
      <c r="AE343" s="17">
        <v>92</v>
      </c>
      <c r="AF343" s="17">
        <v>155</v>
      </c>
      <c r="AG343" s="17">
        <v>221</v>
      </c>
      <c r="AH343" s="17">
        <v>292</v>
      </c>
      <c r="AI343" s="17">
        <v>345</v>
      </c>
      <c r="AJ343" s="17">
        <v>384</v>
      </c>
      <c r="AK343" s="17">
        <v>436</v>
      </c>
      <c r="AL343" s="17">
        <v>496</v>
      </c>
      <c r="AM343" s="17">
        <v>590</v>
      </c>
      <c r="AN343" s="17">
        <v>697</v>
      </c>
      <c r="AO343" s="17">
        <v>812</v>
      </c>
      <c r="AP343" s="17">
        <v>912</v>
      </c>
      <c r="AQ343" s="17">
        <v>1053</v>
      </c>
      <c r="AR343" s="17">
        <v>1170</v>
      </c>
      <c r="AS343" s="17">
        <v>1300</v>
      </c>
      <c r="AT343" s="17">
        <v>1457</v>
      </c>
      <c r="AU343" s="17">
        <v>1579</v>
      </c>
      <c r="AV343" s="17">
        <v>1741</v>
      </c>
      <c r="AW343" s="17">
        <v>1928</v>
      </c>
      <c r="AX343" s="17">
        <v>2140</v>
      </c>
      <c r="AY343" s="17">
        <v>2380</v>
      </c>
      <c r="AZ343" s="17">
        <v>2631</v>
      </c>
      <c r="BA343" s="17">
        <v>2857</v>
      </c>
      <c r="BB343" s="17">
        <v>3198</v>
      </c>
      <c r="BC343" s="17">
        <v>3484</v>
      </c>
      <c r="BD343" s="17">
        <v>3812</v>
      </c>
      <c r="BE343" s="17">
        <v>4182</v>
      </c>
      <c r="BF343" s="17">
        <v>4434</v>
      </c>
      <c r="BG343" s="17">
        <v>4689</v>
      </c>
      <c r="BH343" s="17">
        <v>4899</v>
      </c>
      <c r="BI343" s="17">
        <v>5162</v>
      </c>
      <c r="BJ343" s="17">
        <v>5397</v>
      </c>
      <c r="BK343" s="17">
        <v>5665</v>
      </c>
      <c r="BL343" s="17">
        <v>5927</v>
      </c>
      <c r="BM343" s="17">
        <v>6218</v>
      </c>
      <c r="BN343" s="17">
        <v>6507</v>
      </c>
      <c r="BO343" s="17">
        <v>6785</v>
      </c>
      <c r="BP343" s="17">
        <v>7105</v>
      </c>
      <c r="BQ343" s="17">
        <v>7447</v>
      </c>
      <c r="BR343" s="17">
        <v>7746</v>
      </c>
      <c r="BS343" s="17">
        <v>8005</v>
      </c>
      <c r="BT343" s="17">
        <v>8202</v>
      </c>
      <c r="BU343" s="17">
        <v>8341</v>
      </c>
      <c r="BV343" s="17">
        <v>8453</v>
      </c>
      <c r="BW343" s="17">
        <v>8544</v>
      </c>
      <c r="BX343" s="17">
        <v>8620</v>
      </c>
      <c r="BY343" s="17">
        <v>8663</v>
      </c>
      <c r="BZ343" s="17">
        <v>8694</v>
      </c>
      <c r="CA343" s="17">
        <v>8724</v>
      </c>
      <c r="CB343" s="17">
        <v>8749</v>
      </c>
      <c r="CC343" s="17">
        <v>8759</v>
      </c>
      <c r="CD343" s="17">
        <v>8760</v>
      </c>
      <c r="CE343" s="17">
        <v>8760</v>
      </c>
      <c r="CF343" s="17">
        <v>8760</v>
      </c>
      <c r="CG343" s="17">
        <v>8760</v>
      </c>
      <c r="CH343" s="17">
        <v>8760</v>
      </c>
      <c r="CI343" s="17">
        <v>8760</v>
      </c>
      <c r="CJ343" s="17">
        <v>8760</v>
      </c>
      <c r="CK343" s="17">
        <v>8760</v>
      </c>
      <c r="CL343" s="17">
        <v>8760</v>
      </c>
      <c r="CM343" s="17">
        <v>8760</v>
      </c>
      <c r="CN343" s="17">
        <v>8760</v>
      </c>
      <c r="CO343" s="17">
        <v>8760</v>
      </c>
      <c r="CP343" s="17">
        <v>8760</v>
      </c>
      <c r="CQ343" s="17">
        <v>8760</v>
      </c>
      <c r="CR343" s="17">
        <v>8760</v>
      </c>
      <c r="CS343" s="17">
        <v>8760</v>
      </c>
      <c r="CT343" s="17">
        <v>8760</v>
      </c>
      <c r="CU343" s="17">
        <v>8760</v>
      </c>
      <c r="CV343" s="17">
        <v>8760</v>
      </c>
      <c r="CW343" s="17">
        <v>8760</v>
      </c>
      <c r="CX343" s="17">
        <v>8760</v>
      </c>
      <c r="CY343" s="17">
        <v>8760</v>
      </c>
      <c r="CZ343" s="17">
        <v>8760</v>
      </c>
      <c r="DA343" s="17">
        <v>8760</v>
      </c>
      <c r="DB343" s="17">
        <v>8760</v>
      </c>
      <c r="DD343" s="12">
        <f t="shared" si="0"/>
        <v>15</v>
      </c>
      <c r="DF343" s="17">
        <f t="shared" ca="1" si="1"/>
        <v>7643</v>
      </c>
      <c r="DG343" s="17">
        <f t="shared" ca="1" si="2"/>
        <v>77432</v>
      </c>
      <c r="DH343" s="17">
        <f t="shared" ca="1" si="3"/>
        <v>-2.3055288631691906</v>
      </c>
      <c r="DI343" s="17">
        <f t="shared" ca="1" si="4"/>
        <v>-1</v>
      </c>
    </row>
    <row r="344" spans="2:113" s="17" customFormat="1" x14ac:dyDescent="0.25">
      <c r="B344" s="17" t="s">
        <v>40</v>
      </c>
      <c r="C344" s="17" t="s">
        <v>438</v>
      </c>
      <c r="D344" s="17" t="s">
        <v>1020</v>
      </c>
      <c r="E344" s="17" t="s">
        <v>1021</v>
      </c>
      <c r="F344" s="17">
        <v>102111</v>
      </c>
      <c r="G344" s="17">
        <v>0</v>
      </c>
      <c r="H344" s="17">
        <v>0</v>
      </c>
      <c r="I344" s="17">
        <v>0</v>
      </c>
      <c r="J344" s="17">
        <v>0</v>
      </c>
      <c r="K344" s="17">
        <v>0</v>
      </c>
      <c r="L344" s="17">
        <v>0</v>
      </c>
      <c r="M344" s="17">
        <v>0</v>
      </c>
      <c r="N344" s="17">
        <v>0</v>
      </c>
      <c r="O344" s="17">
        <v>0</v>
      </c>
      <c r="P344" s="17">
        <v>0</v>
      </c>
      <c r="Q344" s="17">
        <v>0</v>
      </c>
      <c r="R344" s="17">
        <v>0</v>
      </c>
      <c r="S344" s="17">
        <v>0</v>
      </c>
      <c r="T344" s="17">
        <v>0</v>
      </c>
      <c r="U344" s="17">
        <v>0</v>
      </c>
      <c r="V344" s="17">
        <v>0</v>
      </c>
      <c r="W344" s="17">
        <v>0</v>
      </c>
      <c r="X344" s="17">
        <v>0</v>
      </c>
      <c r="Y344" s="17">
        <v>0</v>
      </c>
      <c r="Z344" s="17">
        <v>0</v>
      </c>
      <c r="AA344" s="17">
        <v>0</v>
      </c>
      <c r="AB344" s="17">
        <v>0</v>
      </c>
      <c r="AC344" s="17">
        <v>0</v>
      </c>
      <c r="AD344" s="17">
        <v>0</v>
      </c>
      <c r="AE344" s="17">
        <v>0</v>
      </c>
      <c r="AF344" s="17">
        <v>0</v>
      </c>
      <c r="AG344" s="17">
        <v>0</v>
      </c>
      <c r="AH344" s="17">
        <v>0</v>
      </c>
      <c r="AI344" s="17">
        <v>0</v>
      </c>
      <c r="AJ344" s="17">
        <v>0</v>
      </c>
      <c r="AK344" s="17">
        <v>0</v>
      </c>
      <c r="AL344" s="17">
        <v>0</v>
      </c>
      <c r="AM344" s="17">
        <v>0</v>
      </c>
      <c r="AN344" s="17">
        <v>0</v>
      </c>
      <c r="AO344" s="17">
        <v>0</v>
      </c>
      <c r="AP344" s="17">
        <v>0</v>
      </c>
      <c r="AQ344" s="17">
        <v>4</v>
      </c>
      <c r="AR344" s="17">
        <v>20</v>
      </c>
      <c r="AS344" s="17">
        <v>30</v>
      </c>
      <c r="AT344" s="17">
        <v>39</v>
      </c>
      <c r="AU344" s="17">
        <v>54</v>
      </c>
      <c r="AV344" s="17">
        <v>82</v>
      </c>
      <c r="AW344" s="17">
        <v>101</v>
      </c>
      <c r="AX344" s="17">
        <v>135</v>
      </c>
      <c r="AY344" s="17">
        <v>187</v>
      </c>
      <c r="AZ344" s="17">
        <v>276</v>
      </c>
      <c r="BA344" s="17">
        <v>382</v>
      </c>
      <c r="BB344" s="17">
        <v>515</v>
      </c>
      <c r="BC344" s="17">
        <v>692</v>
      </c>
      <c r="BD344" s="17">
        <v>915</v>
      </c>
      <c r="BE344" s="17">
        <v>1317</v>
      </c>
      <c r="BF344" s="17">
        <v>1798</v>
      </c>
      <c r="BG344" s="17">
        <v>2293</v>
      </c>
      <c r="BH344" s="17">
        <v>2768</v>
      </c>
      <c r="BI344" s="17">
        <v>3274</v>
      </c>
      <c r="BJ344" s="17">
        <v>3687</v>
      </c>
      <c r="BK344" s="17">
        <v>4103</v>
      </c>
      <c r="BL344" s="17">
        <v>4417</v>
      </c>
      <c r="BM344" s="17">
        <v>4718</v>
      </c>
      <c r="BN344" s="17">
        <v>5032</v>
      </c>
      <c r="BO344" s="17">
        <v>5367</v>
      </c>
      <c r="BP344" s="17">
        <v>5753</v>
      </c>
      <c r="BQ344" s="17">
        <v>6215</v>
      </c>
      <c r="BR344" s="17">
        <v>6620</v>
      </c>
      <c r="BS344" s="17">
        <v>7091</v>
      </c>
      <c r="BT344" s="17">
        <v>7419</v>
      </c>
      <c r="BU344" s="17">
        <v>7764</v>
      </c>
      <c r="BV344" s="17">
        <v>8028</v>
      </c>
      <c r="BW344" s="17">
        <v>8218</v>
      </c>
      <c r="BX344" s="17">
        <v>8387</v>
      </c>
      <c r="BY344" s="17">
        <v>8511</v>
      </c>
      <c r="BZ344" s="17">
        <v>8580</v>
      </c>
      <c r="CA344" s="17">
        <v>8624</v>
      </c>
      <c r="CB344" s="17">
        <v>8658</v>
      </c>
      <c r="CC344" s="17">
        <v>8687</v>
      </c>
      <c r="CD344" s="17">
        <v>8714</v>
      </c>
      <c r="CE344" s="17">
        <v>8730</v>
      </c>
      <c r="CF344" s="17">
        <v>8739</v>
      </c>
      <c r="CG344" s="17">
        <v>8757</v>
      </c>
      <c r="CH344" s="17">
        <v>8760</v>
      </c>
      <c r="CI344" s="17">
        <v>8760</v>
      </c>
      <c r="CJ344" s="17">
        <v>8760</v>
      </c>
      <c r="CK344" s="17">
        <v>8760</v>
      </c>
      <c r="CL344" s="17">
        <v>8760</v>
      </c>
      <c r="CM344" s="17">
        <v>8760</v>
      </c>
      <c r="CN344" s="17">
        <v>8760</v>
      </c>
      <c r="CO344" s="17">
        <v>8760</v>
      </c>
      <c r="CP344" s="17">
        <v>8760</v>
      </c>
      <c r="CQ344" s="17">
        <v>8760</v>
      </c>
      <c r="CR344" s="17">
        <v>8760</v>
      </c>
      <c r="CS344" s="17">
        <v>8760</v>
      </c>
      <c r="CT344" s="17">
        <v>8760</v>
      </c>
      <c r="CU344" s="17">
        <v>8760</v>
      </c>
      <c r="CV344" s="17">
        <v>8760</v>
      </c>
      <c r="CW344" s="17">
        <v>8760</v>
      </c>
      <c r="CX344" s="17">
        <v>8760</v>
      </c>
      <c r="CY344" s="17">
        <v>8760</v>
      </c>
      <c r="CZ344" s="17">
        <v>8760</v>
      </c>
      <c r="DA344" s="17">
        <v>8760</v>
      </c>
      <c r="DB344" s="17">
        <v>8760</v>
      </c>
      <c r="DD344" s="12">
        <f t="shared" si="0"/>
        <v>14</v>
      </c>
      <c r="DF344" s="17">
        <f t="shared" ca="1" si="1"/>
        <v>7263</v>
      </c>
      <c r="DG344" s="17">
        <f t="shared" ca="1" si="2"/>
        <v>69789</v>
      </c>
      <c r="DH344" s="17">
        <f t="shared" ca="1" si="3"/>
        <v>-2.2117304335793571</v>
      </c>
      <c r="DI344" s="17">
        <f t="shared" ca="1" si="4"/>
        <v>-1</v>
      </c>
    </row>
    <row r="345" spans="2:113" s="17" customFormat="1" x14ac:dyDescent="0.25">
      <c r="B345" s="17" t="s">
        <v>212</v>
      </c>
      <c r="C345" s="17" t="s">
        <v>438</v>
      </c>
      <c r="D345" s="17" t="s">
        <v>1022</v>
      </c>
      <c r="E345" s="17" t="s">
        <v>1023</v>
      </c>
      <c r="F345" s="17">
        <v>102236</v>
      </c>
      <c r="G345" s="17">
        <v>0</v>
      </c>
      <c r="H345" s="17">
        <v>0</v>
      </c>
      <c r="I345" s="17">
        <v>0</v>
      </c>
      <c r="J345" s="17">
        <v>0</v>
      </c>
      <c r="K345" s="17">
        <v>0</v>
      </c>
      <c r="L345" s="17">
        <v>0</v>
      </c>
      <c r="M345" s="17">
        <v>0</v>
      </c>
      <c r="N345" s="17">
        <v>0</v>
      </c>
      <c r="O345" s="17">
        <v>0</v>
      </c>
      <c r="P345" s="17">
        <v>0</v>
      </c>
      <c r="Q345" s="17">
        <v>0</v>
      </c>
      <c r="R345" s="17">
        <v>0</v>
      </c>
      <c r="S345" s="17">
        <v>0</v>
      </c>
      <c r="T345" s="17">
        <v>0</v>
      </c>
      <c r="U345" s="17">
        <v>0</v>
      </c>
      <c r="V345" s="17">
        <v>0</v>
      </c>
      <c r="W345" s="17">
        <v>0</v>
      </c>
      <c r="X345" s="17">
        <v>0</v>
      </c>
      <c r="Y345" s="17">
        <v>0</v>
      </c>
      <c r="Z345" s="17">
        <v>0</v>
      </c>
      <c r="AA345" s="17">
        <v>0</v>
      </c>
      <c r="AB345" s="17">
        <v>0</v>
      </c>
      <c r="AC345" s="17">
        <v>0</v>
      </c>
      <c r="AD345" s="17">
        <v>0</v>
      </c>
      <c r="AE345" s="17">
        <v>0</v>
      </c>
      <c r="AF345" s="17">
        <v>0</v>
      </c>
      <c r="AG345" s="17">
        <v>0</v>
      </c>
      <c r="AH345" s="17">
        <v>0</v>
      </c>
      <c r="AI345" s="17">
        <v>0</v>
      </c>
      <c r="AJ345" s="17">
        <v>0</v>
      </c>
      <c r="AK345" s="17">
        <v>0</v>
      </c>
      <c r="AL345" s="17">
        <v>0</v>
      </c>
      <c r="AM345" s="17">
        <v>0</v>
      </c>
      <c r="AN345" s="17">
        <v>0</v>
      </c>
      <c r="AO345" s="17">
        <v>0</v>
      </c>
      <c r="AP345" s="17">
        <v>0</v>
      </c>
      <c r="AQ345" s="17">
        <v>0</v>
      </c>
      <c r="AR345" s="17">
        <v>0</v>
      </c>
      <c r="AS345" s="17">
        <v>0</v>
      </c>
      <c r="AT345" s="17">
        <v>0</v>
      </c>
      <c r="AU345" s="17">
        <v>11</v>
      </c>
      <c r="AV345" s="17">
        <v>21</v>
      </c>
      <c r="AW345" s="17">
        <v>32</v>
      </c>
      <c r="AX345" s="17">
        <v>72</v>
      </c>
      <c r="AY345" s="17">
        <v>148</v>
      </c>
      <c r="AZ345" s="17">
        <v>247</v>
      </c>
      <c r="BA345" s="17">
        <v>336</v>
      </c>
      <c r="BB345" s="17">
        <v>399</v>
      </c>
      <c r="BC345" s="17">
        <v>553</v>
      </c>
      <c r="BD345" s="17">
        <v>806</v>
      </c>
      <c r="BE345" s="17">
        <v>1168</v>
      </c>
      <c r="BF345" s="17">
        <v>1610</v>
      </c>
      <c r="BG345" s="17">
        <v>2015</v>
      </c>
      <c r="BH345" s="17">
        <v>2492</v>
      </c>
      <c r="BI345" s="17">
        <v>2951</v>
      </c>
      <c r="BJ345" s="17">
        <v>3475</v>
      </c>
      <c r="BK345" s="17">
        <v>3809</v>
      </c>
      <c r="BL345" s="17">
        <v>4161</v>
      </c>
      <c r="BM345" s="17">
        <v>4572</v>
      </c>
      <c r="BN345" s="17">
        <v>4929</v>
      </c>
      <c r="BO345" s="17">
        <v>5340</v>
      </c>
      <c r="BP345" s="17">
        <v>5782</v>
      </c>
      <c r="BQ345" s="17">
        <v>6224</v>
      </c>
      <c r="BR345" s="17">
        <v>6777</v>
      </c>
      <c r="BS345" s="17">
        <v>7288</v>
      </c>
      <c r="BT345" s="17">
        <v>7732</v>
      </c>
      <c r="BU345" s="17">
        <v>8044</v>
      </c>
      <c r="BV345" s="17">
        <v>8307</v>
      </c>
      <c r="BW345" s="17">
        <v>8477</v>
      </c>
      <c r="BX345" s="17">
        <v>8611</v>
      </c>
      <c r="BY345" s="17">
        <v>8683</v>
      </c>
      <c r="BZ345" s="17">
        <v>8725</v>
      </c>
      <c r="CA345" s="17">
        <v>8744</v>
      </c>
      <c r="CB345" s="17">
        <v>8758</v>
      </c>
      <c r="CC345" s="17">
        <v>8760</v>
      </c>
      <c r="CD345" s="17">
        <v>8760</v>
      </c>
      <c r="CE345" s="17">
        <v>8760</v>
      </c>
      <c r="CF345" s="17">
        <v>8760</v>
      </c>
      <c r="CG345" s="17">
        <v>8760</v>
      </c>
      <c r="CH345" s="17">
        <v>8760</v>
      </c>
      <c r="CI345" s="17">
        <v>8760</v>
      </c>
      <c r="CJ345" s="17">
        <v>8760</v>
      </c>
      <c r="CK345" s="17">
        <v>8760</v>
      </c>
      <c r="CL345" s="17">
        <v>8760</v>
      </c>
      <c r="CM345" s="17">
        <v>8760</v>
      </c>
      <c r="CN345" s="17">
        <v>8760</v>
      </c>
      <c r="CO345" s="17">
        <v>8760</v>
      </c>
      <c r="CP345" s="17">
        <v>8760</v>
      </c>
      <c r="CQ345" s="17">
        <v>8760</v>
      </c>
      <c r="CR345" s="17">
        <v>8760</v>
      </c>
      <c r="CS345" s="17">
        <v>8760</v>
      </c>
      <c r="CT345" s="17">
        <v>8760</v>
      </c>
      <c r="CU345" s="17">
        <v>8760</v>
      </c>
      <c r="CV345" s="17">
        <v>8760</v>
      </c>
      <c r="CW345" s="17">
        <v>8760</v>
      </c>
      <c r="CX345" s="17">
        <v>8760</v>
      </c>
      <c r="CY345" s="17">
        <v>8760</v>
      </c>
      <c r="CZ345" s="17">
        <v>8760</v>
      </c>
      <c r="DA345" s="17">
        <v>8760</v>
      </c>
      <c r="DB345" s="17">
        <v>8760</v>
      </c>
      <c r="DD345" s="12">
        <f t="shared" si="0"/>
        <v>13</v>
      </c>
      <c r="DF345" s="17">
        <f t="shared" ca="1" si="1"/>
        <v>6858</v>
      </c>
      <c r="DG345" s="17">
        <f t="shared" ca="1" si="2"/>
        <v>62526</v>
      </c>
      <c r="DH345" s="17">
        <f t="shared" ca="1" si="3"/>
        <v>-2.1134627982786651</v>
      </c>
      <c r="DI345" s="17">
        <f t="shared" ca="1" si="4"/>
        <v>-1</v>
      </c>
    </row>
    <row r="346" spans="2:113" s="17" customFormat="1" x14ac:dyDescent="0.25">
      <c r="B346" s="17" t="s">
        <v>213</v>
      </c>
      <c r="C346" s="17" t="s">
        <v>438</v>
      </c>
      <c r="D346" s="17" t="s">
        <v>1024</v>
      </c>
      <c r="E346" s="17" t="s">
        <v>1025</v>
      </c>
      <c r="F346" s="17">
        <v>102401</v>
      </c>
      <c r="G346" s="17">
        <v>0</v>
      </c>
      <c r="H346" s="17">
        <v>0</v>
      </c>
      <c r="I346" s="17">
        <v>0</v>
      </c>
      <c r="J346" s="17">
        <v>0</v>
      </c>
      <c r="K346" s="17">
        <v>0</v>
      </c>
      <c r="L346" s="17">
        <v>0</v>
      </c>
      <c r="M346" s="17">
        <v>0</v>
      </c>
      <c r="N346" s="17">
        <v>0</v>
      </c>
      <c r="O346" s="17">
        <v>0</v>
      </c>
      <c r="P346" s="17">
        <v>0</v>
      </c>
      <c r="Q346" s="17">
        <v>0</v>
      </c>
      <c r="R346" s="17">
        <v>0</v>
      </c>
      <c r="S346" s="17">
        <v>0</v>
      </c>
      <c r="T346" s="17">
        <v>0</v>
      </c>
      <c r="U346" s="17">
        <v>0</v>
      </c>
      <c r="V346" s="17">
        <v>0</v>
      </c>
      <c r="W346" s="17">
        <v>0</v>
      </c>
      <c r="X346" s="17">
        <v>0</v>
      </c>
      <c r="Y346" s="17">
        <v>0</v>
      </c>
      <c r="Z346" s="17">
        <v>0</v>
      </c>
      <c r="AA346" s="17">
        <v>0</v>
      </c>
      <c r="AB346" s="17">
        <v>0</v>
      </c>
      <c r="AC346" s="17">
        <v>0</v>
      </c>
      <c r="AD346" s="17">
        <v>0</v>
      </c>
      <c r="AE346" s="17">
        <v>0</v>
      </c>
      <c r="AF346" s="17">
        <v>0</v>
      </c>
      <c r="AG346" s="17">
        <v>0</v>
      </c>
      <c r="AH346" s="17">
        <v>0</v>
      </c>
      <c r="AI346" s="17">
        <v>0</v>
      </c>
      <c r="AJ346" s="17">
        <v>2</v>
      </c>
      <c r="AK346" s="17">
        <v>4</v>
      </c>
      <c r="AL346" s="17">
        <v>6</v>
      </c>
      <c r="AM346" s="17">
        <v>14</v>
      </c>
      <c r="AN346" s="17">
        <v>28</v>
      </c>
      <c r="AO346" s="17">
        <v>36</v>
      </c>
      <c r="AP346" s="17">
        <v>45</v>
      </c>
      <c r="AQ346" s="17">
        <v>54</v>
      </c>
      <c r="AR346" s="17">
        <v>114</v>
      </c>
      <c r="AS346" s="17">
        <v>160</v>
      </c>
      <c r="AT346" s="17">
        <v>204</v>
      </c>
      <c r="AU346" s="17">
        <v>253</v>
      </c>
      <c r="AV346" s="17">
        <v>319</v>
      </c>
      <c r="AW346" s="17">
        <v>384</v>
      </c>
      <c r="AX346" s="17">
        <v>476</v>
      </c>
      <c r="AY346" s="17">
        <v>601</v>
      </c>
      <c r="AZ346" s="17">
        <v>766</v>
      </c>
      <c r="BA346" s="17">
        <v>977</v>
      </c>
      <c r="BB346" s="17">
        <v>1195</v>
      </c>
      <c r="BC346" s="17">
        <v>1482</v>
      </c>
      <c r="BD346" s="17">
        <v>1809</v>
      </c>
      <c r="BE346" s="17">
        <v>2241</v>
      </c>
      <c r="BF346" s="17">
        <v>2628</v>
      </c>
      <c r="BG346" s="17">
        <v>3016</v>
      </c>
      <c r="BH346" s="17">
        <v>3433</v>
      </c>
      <c r="BI346" s="17">
        <v>3818</v>
      </c>
      <c r="BJ346" s="17">
        <v>4175</v>
      </c>
      <c r="BK346" s="17">
        <v>4577</v>
      </c>
      <c r="BL346" s="17">
        <v>4951</v>
      </c>
      <c r="BM346" s="17">
        <v>5336</v>
      </c>
      <c r="BN346" s="17">
        <v>5651</v>
      </c>
      <c r="BO346" s="17">
        <v>5991</v>
      </c>
      <c r="BP346" s="17">
        <v>6342</v>
      </c>
      <c r="BQ346" s="17">
        <v>6713</v>
      </c>
      <c r="BR346" s="17">
        <v>7065</v>
      </c>
      <c r="BS346" s="17">
        <v>7397</v>
      </c>
      <c r="BT346" s="17">
        <v>7659</v>
      </c>
      <c r="BU346" s="17">
        <v>7882</v>
      </c>
      <c r="BV346" s="17">
        <v>8063</v>
      </c>
      <c r="BW346" s="17">
        <v>8224</v>
      </c>
      <c r="BX346" s="17">
        <v>8363</v>
      </c>
      <c r="BY346" s="17">
        <v>8459</v>
      </c>
      <c r="BZ346" s="17">
        <v>8538</v>
      </c>
      <c r="CA346" s="17">
        <v>8591</v>
      </c>
      <c r="CB346" s="17">
        <v>8632</v>
      </c>
      <c r="CC346" s="17">
        <v>8688</v>
      </c>
      <c r="CD346" s="17">
        <v>8718</v>
      </c>
      <c r="CE346" s="17">
        <v>8744</v>
      </c>
      <c r="CF346" s="17">
        <v>8751</v>
      </c>
      <c r="CG346" s="17">
        <v>8755</v>
      </c>
      <c r="CH346" s="17">
        <v>8759</v>
      </c>
      <c r="CI346" s="17">
        <v>8760</v>
      </c>
      <c r="CJ346" s="17">
        <v>8760</v>
      </c>
      <c r="CK346" s="17">
        <v>8760</v>
      </c>
      <c r="CL346" s="17">
        <v>8760</v>
      </c>
      <c r="CM346" s="17">
        <v>8760</v>
      </c>
      <c r="CN346" s="17">
        <v>8760</v>
      </c>
      <c r="CO346" s="17">
        <v>8760</v>
      </c>
      <c r="CP346" s="17">
        <v>8760</v>
      </c>
      <c r="CQ346" s="17">
        <v>8760</v>
      </c>
      <c r="CR346" s="17">
        <v>8760</v>
      </c>
      <c r="CS346" s="17">
        <v>8760</v>
      </c>
      <c r="CT346" s="17">
        <v>8760</v>
      </c>
      <c r="CU346" s="17">
        <v>8760</v>
      </c>
      <c r="CV346" s="17">
        <v>8760</v>
      </c>
      <c r="CW346" s="17">
        <v>8760</v>
      </c>
      <c r="CX346" s="17">
        <v>8760</v>
      </c>
      <c r="CY346" s="17">
        <v>8760</v>
      </c>
      <c r="CZ346" s="17">
        <v>8760</v>
      </c>
      <c r="DA346" s="17">
        <v>8760</v>
      </c>
      <c r="DB346" s="17">
        <v>8760</v>
      </c>
      <c r="DD346" s="12">
        <f t="shared" si="0"/>
        <v>12</v>
      </c>
      <c r="DF346" s="17">
        <f t="shared" ca="1" si="1"/>
        <v>6502</v>
      </c>
      <c r="DG346" s="17">
        <f t="shared" ca="1" si="2"/>
        <v>55668</v>
      </c>
      <c r="DH346" s="17">
        <f t="shared" ca="1" si="3"/>
        <v>-2.0094740575947898</v>
      </c>
      <c r="DI346" s="17">
        <f t="shared" ca="1" si="4"/>
        <v>-1</v>
      </c>
    </row>
    <row r="347" spans="2:113" s="17" customFormat="1" x14ac:dyDescent="0.25">
      <c r="B347" s="17" t="s">
        <v>215</v>
      </c>
      <c r="C347" s="17" t="s">
        <v>438</v>
      </c>
      <c r="D347" s="17" t="s">
        <v>1026</v>
      </c>
      <c r="E347" s="17" t="s">
        <v>1027</v>
      </c>
      <c r="F347" s="17">
        <v>102514</v>
      </c>
      <c r="G347" s="17">
        <v>0</v>
      </c>
      <c r="H347" s="17">
        <v>0</v>
      </c>
      <c r="I347" s="17">
        <v>0</v>
      </c>
      <c r="J347" s="17">
        <v>0</v>
      </c>
      <c r="K347" s="17">
        <v>0</v>
      </c>
      <c r="L347" s="17">
        <v>0</v>
      </c>
      <c r="M347" s="17">
        <v>0</v>
      </c>
      <c r="N347" s="17">
        <v>0</v>
      </c>
      <c r="O347" s="17">
        <v>0</v>
      </c>
      <c r="P347" s="17">
        <v>0</v>
      </c>
      <c r="Q347" s="17">
        <v>0</v>
      </c>
      <c r="R347" s="17">
        <v>0</v>
      </c>
      <c r="S347" s="17">
        <v>0</v>
      </c>
      <c r="T347" s="17">
        <v>0</v>
      </c>
      <c r="U347" s="17">
        <v>0</v>
      </c>
      <c r="V347" s="17">
        <v>0</v>
      </c>
      <c r="W347" s="17">
        <v>0</v>
      </c>
      <c r="X347" s="17">
        <v>0</v>
      </c>
      <c r="Y347" s="17">
        <v>0</v>
      </c>
      <c r="Z347" s="17">
        <v>0</v>
      </c>
      <c r="AA347" s="17">
        <v>0</v>
      </c>
      <c r="AB347" s="17">
        <v>0</v>
      </c>
      <c r="AC347" s="17">
        <v>0</v>
      </c>
      <c r="AD347" s="17">
        <v>0</v>
      </c>
      <c r="AE347" s="17">
        <v>0</v>
      </c>
      <c r="AF347" s="17">
        <v>0</v>
      </c>
      <c r="AG347" s="17">
        <v>0</v>
      </c>
      <c r="AH347" s="17">
        <v>0</v>
      </c>
      <c r="AI347" s="17">
        <v>0</v>
      </c>
      <c r="AJ347" s="17">
        <v>0</v>
      </c>
      <c r="AK347" s="17">
        <v>2</v>
      </c>
      <c r="AL347" s="17">
        <v>4</v>
      </c>
      <c r="AM347" s="17">
        <v>10</v>
      </c>
      <c r="AN347" s="17">
        <v>25</v>
      </c>
      <c r="AO347" s="17">
        <v>49</v>
      </c>
      <c r="AP347" s="17">
        <v>70</v>
      </c>
      <c r="AQ347" s="17">
        <v>116</v>
      </c>
      <c r="AR347" s="17">
        <v>150</v>
      </c>
      <c r="AS347" s="17">
        <v>190</v>
      </c>
      <c r="AT347" s="17">
        <v>235</v>
      </c>
      <c r="AU347" s="17">
        <v>286</v>
      </c>
      <c r="AV347" s="17">
        <v>349</v>
      </c>
      <c r="AW347" s="17">
        <v>431</v>
      </c>
      <c r="AX347" s="17">
        <v>543</v>
      </c>
      <c r="AY347" s="17">
        <v>684</v>
      </c>
      <c r="AZ347" s="17">
        <v>845</v>
      </c>
      <c r="BA347" s="17">
        <v>1097</v>
      </c>
      <c r="BB347" s="17">
        <v>1388</v>
      </c>
      <c r="BC347" s="17">
        <v>1709</v>
      </c>
      <c r="BD347" s="17">
        <v>2079</v>
      </c>
      <c r="BE347" s="17">
        <v>2487</v>
      </c>
      <c r="BF347" s="17">
        <v>2879</v>
      </c>
      <c r="BG347" s="17">
        <v>3260</v>
      </c>
      <c r="BH347" s="17">
        <v>3654</v>
      </c>
      <c r="BI347" s="17">
        <v>4014</v>
      </c>
      <c r="BJ347" s="17">
        <v>4355</v>
      </c>
      <c r="BK347" s="17">
        <v>4649</v>
      </c>
      <c r="BL347" s="17">
        <v>4965</v>
      </c>
      <c r="BM347" s="17">
        <v>5284</v>
      </c>
      <c r="BN347" s="17">
        <v>5523</v>
      </c>
      <c r="BO347" s="17">
        <v>5775</v>
      </c>
      <c r="BP347" s="17">
        <v>6100</v>
      </c>
      <c r="BQ347" s="17">
        <v>6458</v>
      </c>
      <c r="BR347" s="17">
        <v>6806</v>
      </c>
      <c r="BS347" s="17">
        <v>7168</v>
      </c>
      <c r="BT347" s="17">
        <v>7453</v>
      </c>
      <c r="BU347" s="17">
        <v>7719</v>
      </c>
      <c r="BV347" s="17">
        <v>7958</v>
      </c>
      <c r="BW347" s="17">
        <v>8144</v>
      </c>
      <c r="BX347" s="17">
        <v>8308</v>
      </c>
      <c r="BY347" s="17">
        <v>8449</v>
      </c>
      <c r="BZ347" s="17">
        <v>8555</v>
      </c>
      <c r="CA347" s="17">
        <v>8631</v>
      </c>
      <c r="CB347" s="17">
        <v>8675</v>
      </c>
      <c r="CC347" s="17">
        <v>8714</v>
      </c>
      <c r="CD347" s="17">
        <v>8729</v>
      </c>
      <c r="CE347" s="17">
        <v>8741</v>
      </c>
      <c r="CF347" s="17">
        <v>8748</v>
      </c>
      <c r="CG347" s="17">
        <v>8754</v>
      </c>
      <c r="CH347" s="17">
        <v>8758</v>
      </c>
      <c r="CI347" s="17">
        <v>8760</v>
      </c>
      <c r="CJ347" s="17">
        <v>8760</v>
      </c>
      <c r="CK347" s="17">
        <v>8760</v>
      </c>
      <c r="CL347" s="17">
        <v>8760</v>
      </c>
      <c r="CM347" s="17">
        <v>8760</v>
      </c>
      <c r="CN347" s="17">
        <v>8760</v>
      </c>
      <c r="CO347" s="17">
        <v>8760</v>
      </c>
      <c r="CP347" s="17">
        <v>8760</v>
      </c>
      <c r="CQ347" s="17">
        <v>8760</v>
      </c>
      <c r="CR347" s="17">
        <v>8760</v>
      </c>
      <c r="CS347" s="17">
        <v>8760</v>
      </c>
      <c r="CT347" s="17">
        <v>8760</v>
      </c>
      <c r="CU347" s="17">
        <v>8760</v>
      </c>
      <c r="CV347" s="17">
        <v>8760</v>
      </c>
      <c r="CW347" s="17">
        <v>8760</v>
      </c>
      <c r="CX347" s="17">
        <v>8760</v>
      </c>
      <c r="CY347" s="17">
        <v>8760</v>
      </c>
      <c r="CZ347" s="17">
        <v>8760</v>
      </c>
      <c r="DA347" s="17">
        <v>8760</v>
      </c>
      <c r="DB347" s="17">
        <v>8760</v>
      </c>
      <c r="DD347" s="12">
        <f t="shared" si="0"/>
        <v>11</v>
      </c>
      <c r="DF347" s="17">
        <f t="shared" ca="1" si="1"/>
        <v>6132</v>
      </c>
      <c r="DG347" s="17">
        <f t="shared" ca="1" si="2"/>
        <v>49166</v>
      </c>
      <c r="DH347" s="17">
        <f t="shared" ca="1" si="3"/>
        <v>-1.8993210073684481</v>
      </c>
      <c r="DI347" s="17">
        <f t="shared" ca="1" si="4"/>
        <v>-1</v>
      </c>
    </row>
    <row r="348" spans="2:113" s="17" customFormat="1" x14ac:dyDescent="0.25">
      <c r="B348" s="17" t="s">
        <v>216</v>
      </c>
      <c r="C348" s="17" t="s">
        <v>438</v>
      </c>
      <c r="D348" s="17" t="s">
        <v>782</v>
      </c>
      <c r="E348" s="17" t="s">
        <v>1028</v>
      </c>
      <c r="F348" s="17">
        <v>102131</v>
      </c>
      <c r="G348" s="17">
        <v>0</v>
      </c>
      <c r="H348" s="17">
        <v>0</v>
      </c>
      <c r="I348" s="17">
        <v>0</v>
      </c>
      <c r="J348" s="17">
        <v>0</v>
      </c>
      <c r="K348" s="17">
        <v>0</v>
      </c>
      <c r="L348" s="17">
        <v>0</v>
      </c>
      <c r="M348" s="17">
        <v>0</v>
      </c>
      <c r="N348" s="17">
        <v>0</v>
      </c>
      <c r="O348" s="17">
        <v>0</v>
      </c>
      <c r="P348" s="17">
        <v>0</v>
      </c>
      <c r="Q348" s="17">
        <v>0</v>
      </c>
      <c r="R348" s="17">
        <v>0</v>
      </c>
      <c r="S348" s="17">
        <v>0</v>
      </c>
      <c r="T348" s="17">
        <v>0</v>
      </c>
      <c r="U348" s="17">
        <v>0</v>
      </c>
      <c r="V348" s="17">
        <v>0</v>
      </c>
      <c r="W348" s="17">
        <v>0</v>
      </c>
      <c r="X348" s="17">
        <v>0</v>
      </c>
      <c r="Y348" s="17">
        <v>0</v>
      </c>
      <c r="Z348" s="17">
        <v>0</v>
      </c>
      <c r="AA348" s="17">
        <v>0</v>
      </c>
      <c r="AB348" s="17">
        <v>0</v>
      </c>
      <c r="AC348" s="17">
        <v>0</v>
      </c>
      <c r="AD348" s="17">
        <v>0</v>
      </c>
      <c r="AE348" s="17">
        <v>0</v>
      </c>
      <c r="AF348" s="17">
        <v>0</v>
      </c>
      <c r="AG348" s="17">
        <v>0</v>
      </c>
      <c r="AH348" s="17">
        <v>0</v>
      </c>
      <c r="AI348" s="17">
        <v>0</v>
      </c>
      <c r="AJ348" s="17">
        <v>0</v>
      </c>
      <c r="AK348" s="17">
        <v>0</v>
      </c>
      <c r="AL348" s="17">
        <v>0</v>
      </c>
      <c r="AM348" s="17">
        <v>0</v>
      </c>
      <c r="AN348" s="17">
        <v>0</v>
      </c>
      <c r="AO348" s="17">
        <v>1</v>
      </c>
      <c r="AP348" s="17">
        <v>4</v>
      </c>
      <c r="AQ348" s="17">
        <v>7</v>
      </c>
      <c r="AR348" s="17">
        <v>18</v>
      </c>
      <c r="AS348" s="17">
        <v>38</v>
      </c>
      <c r="AT348" s="17">
        <v>64</v>
      </c>
      <c r="AU348" s="17">
        <v>93</v>
      </c>
      <c r="AV348" s="17">
        <v>126</v>
      </c>
      <c r="AW348" s="17">
        <v>185</v>
      </c>
      <c r="AX348" s="17">
        <v>267</v>
      </c>
      <c r="AY348" s="17">
        <v>373</v>
      </c>
      <c r="AZ348" s="17">
        <v>496</v>
      </c>
      <c r="BA348" s="17">
        <v>660</v>
      </c>
      <c r="BB348" s="17">
        <v>850</v>
      </c>
      <c r="BC348" s="17">
        <v>1086</v>
      </c>
      <c r="BD348" s="17">
        <v>1428</v>
      </c>
      <c r="BE348" s="17">
        <v>1820</v>
      </c>
      <c r="BF348" s="17">
        <v>2218</v>
      </c>
      <c r="BG348" s="17">
        <v>2670</v>
      </c>
      <c r="BH348" s="17">
        <v>3244</v>
      </c>
      <c r="BI348" s="17">
        <v>3696</v>
      </c>
      <c r="BJ348" s="17">
        <v>4103</v>
      </c>
      <c r="BK348" s="17">
        <v>4421</v>
      </c>
      <c r="BL348" s="17">
        <v>4695</v>
      </c>
      <c r="BM348" s="17">
        <v>4958</v>
      </c>
      <c r="BN348" s="17">
        <v>5211</v>
      </c>
      <c r="BO348" s="17">
        <v>5562</v>
      </c>
      <c r="BP348" s="17">
        <v>6002</v>
      </c>
      <c r="BQ348" s="17">
        <v>6475</v>
      </c>
      <c r="BR348" s="17">
        <v>6893</v>
      </c>
      <c r="BS348" s="17">
        <v>7303</v>
      </c>
      <c r="BT348" s="17">
        <v>7646</v>
      </c>
      <c r="BU348" s="17">
        <v>7935</v>
      </c>
      <c r="BV348" s="17">
        <v>8122</v>
      </c>
      <c r="BW348" s="17">
        <v>8270</v>
      </c>
      <c r="BX348" s="17">
        <v>8377</v>
      </c>
      <c r="BY348" s="17">
        <v>8478</v>
      </c>
      <c r="BZ348" s="17">
        <v>8552</v>
      </c>
      <c r="CA348" s="17">
        <v>8601</v>
      </c>
      <c r="CB348" s="17">
        <v>8645</v>
      </c>
      <c r="CC348" s="17">
        <v>8689</v>
      </c>
      <c r="CD348" s="17">
        <v>8708</v>
      </c>
      <c r="CE348" s="17">
        <v>8723</v>
      </c>
      <c r="CF348" s="17">
        <v>8739</v>
      </c>
      <c r="CG348" s="17">
        <v>8749</v>
      </c>
      <c r="CH348" s="17">
        <v>8757</v>
      </c>
      <c r="CI348" s="17">
        <v>8760</v>
      </c>
      <c r="CJ348" s="17">
        <v>8760</v>
      </c>
      <c r="CK348" s="17">
        <v>8760</v>
      </c>
      <c r="CL348" s="17">
        <v>8760</v>
      </c>
      <c r="CM348" s="17">
        <v>8760</v>
      </c>
      <c r="CN348" s="17">
        <v>8760</v>
      </c>
      <c r="CO348" s="17">
        <v>8760</v>
      </c>
      <c r="CP348" s="17">
        <v>8760</v>
      </c>
      <c r="CQ348" s="17">
        <v>8760</v>
      </c>
      <c r="CR348" s="17">
        <v>8760</v>
      </c>
      <c r="CS348" s="17">
        <v>8760</v>
      </c>
      <c r="CT348" s="17">
        <v>8760</v>
      </c>
      <c r="CU348" s="17">
        <v>8760</v>
      </c>
      <c r="CV348" s="17">
        <v>8760</v>
      </c>
      <c r="CW348" s="17">
        <v>8760</v>
      </c>
      <c r="CX348" s="17">
        <v>8760</v>
      </c>
      <c r="CY348" s="17">
        <v>8760</v>
      </c>
      <c r="CZ348" s="17">
        <v>8760</v>
      </c>
      <c r="DA348" s="17">
        <v>8760</v>
      </c>
      <c r="DB348" s="17">
        <v>8760</v>
      </c>
      <c r="DD348" s="12">
        <f t="shared" si="0"/>
        <v>10</v>
      </c>
      <c r="DF348" s="17">
        <f t="shared" ca="1" si="1"/>
        <v>5775</v>
      </c>
      <c r="DG348" s="17">
        <f t="shared" ca="1" si="2"/>
        <v>43034</v>
      </c>
      <c r="DH348" s="17">
        <f t="shared" ca="1" si="3"/>
        <v>-1.7818617875824172</v>
      </c>
      <c r="DI348" s="17">
        <f t="shared" ca="1" si="4"/>
        <v>-1</v>
      </c>
    </row>
    <row r="349" spans="2:113" s="17" customFormat="1" x14ac:dyDescent="0.25">
      <c r="B349" s="17" t="s">
        <v>430</v>
      </c>
      <c r="C349" s="17" t="s">
        <v>438</v>
      </c>
      <c r="D349" s="17" t="s">
        <v>1029</v>
      </c>
      <c r="E349" s="17" t="s">
        <v>1030</v>
      </c>
      <c r="F349" s="17">
        <v>102816</v>
      </c>
      <c r="G349" s="17">
        <v>0</v>
      </c>
      <c r="H349" s="17">
        <v>0</v>
      </c>
      <c r="I349" s="17">
        <v>0</v>
      </c>
      <c r="J349" s="17">
        <v>0</v>
      </c>
      <c r="K349" s="17">
        <v>0</v>
      </c>
      <c r="L349" s="17">
        <v>0</v>
      </c>
      <c r="M349" s="17">
        <v>0</v>
      </c>
      <c r="N349" s="17">
        <v>0</v>
      </c>
      <c r="O349" s="17">
        <v>0</v>
      </c>
      <c r="P349" s="17">
        <v>0</v>
      </c>
      <c r="Q349" s="17">
        <v>0</v>
      </c>
      <c r="R349" s="17">
        <v>0</v>
      </c>
      <c r="S349" s="17">
        <v>0</v>
      </c>
      <c r="T349" s="17">
        <v>0</v>
      </c>
      <c r="U349" s="17">
        <v>0</v>
      </c>
      <c r="V349" s="17">
        <v>0</v>
      </c>
      <c r="W349" s="17">
        <v>0</v>
      </c>
      <c r="X349" s="17">
        <v>0</v>
      </c>
      <c r="Y349" s="17">
        <v>0</v>
      </c>
      <c r="Z349" s="17">
        <v>0</v>
      </c>
      <c r="AA349" s="17">
        <v>0</v>
      </c>
      <c r="AB349" s="17">
        <v>0</v>
      </c>
      <c r="AC349" s="17">
        <v>0</v>
      </c>
      <c r="AD349" s="17">
        <v>0</v>
      </c>
      <c r="AE349" s="17">
        <v>0</v>
      </c>
      <c r="AF349" s="17">
        <v>0</v>
      </c>
      <c r="AG349" s="17">
        <v>0</v>
      </c>
      <c r="AH349" s="17">
        <v>0</v>
      </c>
      <c r="AI349" s="17">
        <v>8</v>
      </c>
      <c r="AJ349" s="17">
        <v>12</v>
      </c>
      <c r="AK349" s="17">
        <v>25</v>
      </c>
      <c r="AL349" s="17">
        <v>52</v>
      </c>
      <c r="AM349" s="17">
        <v>94</v>
      </c>
      <c r="AN349" s="17">
        <v>116</v>
      </c>
      <c r="AO349" s="17">
        <v>159</v>
      </c>
      <c r="AP349" s="17">
        <v>204</v>
      </c>
      <c r="AQ349" s="17">
        <v>250</v>
      </c>
      <c r="AR349" s="17">
        <v>312</v>
      </c>
      <c r="AS349" s="17">
        <v>390</v>
      </c>
      <c r="AT349" s="17">
        <v>476</v>
      </c>
      <c r="AU349" s="17">
        <v>584</v>
      </c>
      <c r="AV349" s="17">
        <v>718</v>
      </c>
      <c r="AW349" s="17">
        <v>845</v>
      </c>
      <c r="AX349" s="17">
        <v>986</v>
      </c>
      <c r="AY349" s="17">
        <v>1156</v>
      </c>
      <c r="AZ349" s="17">
        <v>1391</v>
      </c>
      <c r="BA349" s="17">
        <v>1682</v>
      </c>
      <c r="BB349" s="17">
        <v>2001</v>
      </c>
      <c r="BC349" s="17">
        <v>2341</v>
      </c>
      <c r="BD349" s="17">
        <v>2806</v>
      </c>
      <c r="BE349" s="17">
        <v>3334</v>
      </c>
      <c r="BF349" s="17">
        <v>3800</v>
      </c>
      <c r="BG349" s="17">
        <v>4172</v>
      </c>
      <c r="BH349" s="17">
        <v>4493</v>
      </c>
      <c r="BI349" s="17">
        <v>4741</v>
      </c>
      <c r="BJ349" s="17">
        <v>5017</v>
      </c>
      <c r="BK349" s="17">
        <v>5296</v>
      </c>
      <c r="BL349" s="17">
        <v>5599</v>
      </c>
      <c r="BM349" s="17">
        <v>5916</v>
      </c>
      <c r="BN349" s="17">
        <v>6249</v>
      </c>
      <c r="BO349" s="17">
        <v>6566</v>
      </c>
      <c r="BP349" s="17">
        <v>6843</v>
      </c>
      <c r="BQ349" s="17">
        <v>7185</v>
      </c>
      <c r="BR349" s="17">
        <v>7538</v>
      </c>
      <c r="BS349" s="17">
        <v>7832</v>
      </c>
      <c r="BT349" s="17">
        <v>8064</v>
      </c>
      <c r="BU349" s="17">
        <v>8242</v>
      </c>
      <c r="BV349" s="17">
        <v>8373</v>
      </c>
      <c r="BW349" s="17">
        <v>8506</v>
      </c>
      <c r="BX349" s="17">
        <v>8604</v>
      </c>
      <c r="BY349" s="17">
        <v>8681</v>
      </c>
      <c r="BZ349" s="17">
        <v>8725</v>
      </c>
      <c r="CA349" s="17">
        <v>8751</v>
      </c>
      <c r="CB349" s="17">
        <v>8760</v>
      </c>
      <c r="CC349" s="17">
        <v>8760</v>
      </c>
      <c r="CD349" s="17">
        <v>8760</v>
      </c>
      <c r="CE349" s="17">
        <v>8760</v>
      </c>
      <c r="CF349" s="17">
        <v>8760</v>
      </c>
      <c r="CG349" s="17">
        <v>8760</v>
      </c>
      <c r="CH349" s="17">
        <v>8760</v>
      </c>
      <c r="CI349" s="17">
        <v>8760</v>
      </c>
      <c r="CJ349" s="17">
        <v>8760</v>
      </c>
      <c r="CK349" s="17">
        <v>8760</v>
      </c>
      <c r="CL349" s="17">
        <v>8760</v>
      </c>
      <c r="CM349" s="17">
        <v>8760</v>
      </c>
      <c r="CN349" s="17">
        <v>8760</v>
      </c>
      <c r="CO349" s="17">
        <v>8760</v>
      </c>
      <c r="CP349" s="17">
        <v>8760</v>
      </c>
      <c r="CQ349" s="17">
        <v>8760</v>
      </c>
      <c r="CR349" s="17">
        <v>8760</v>
      </c>
      <c r="CS349" s="17">
        <v>8760</v>
      </c>
      <c r="CT349" s="17">
        <v>8760</v>
      </c>
      <c r="CU349" s="17">
        <v>8760</v>
      </c>
      <c r="CV349" s="17">
        <v>8760</v>
      </c>
      <c r="CW349" s="17">
        <v>8760</v>
      </c>
      <c r="CX349" s="17">
        <v>8760</v>
      </c>
      <c r="CY349" s="17">
        <v>8760</v>
      </c>
      <c r="CZ349" s="17">
        <v>8760</v>
      </c>
      <c r="DA349" s="17">
        <v>8760</v>
      </c>
      <c r="DB349" s="17">
        <v>8760</v>
      </c>
      <c r="DD349" s="12">
        <f t="shared" si="0"/>
        <v>9</v>
      </c>
      <c r="DF349" s="17">
        <f t="shared" ca="1" si="1"/>
        <v>5359</v>
      </c>
      <c r="DG349" s="17">
        <f t="shared" ca="1" si="2"/>
        <v>37259</v>
      </c>
      <c r="DH349" s="17">
        <f t="shared" ca="1" si="3"/>
        <v>-1.6573323457457299</v>
      </c>
      <c r="DI349" s="17">
        <f t="shared" ca="1" si="4"/>
        <v>-1</v>
      </c>
    </row>
    <row r="350" spans="2:113" s="17" customFormat="1" x14ac:dyDescent="0.25">
      <c r="B350" s="17" t="s">
        <v>223</v>
      </c>
      <c r="C350" s="17" t="s">
        <v>438</v>
      </c>
      <c r="D350" s="17" t="s">
        <v>431</v>
      </c>
      <c r="E350" s="17" t="s">
        <v>432</v>
      </c>
      <c r="F350" s="17">
        <v>102810</v>
      </c>
      <c r="G350" s="17">
        <v>0</v>
      </c>
      <c r="H350" s="17">
        <v>0</v>
      </c>
      <c r="I350" s="17">
        <v>0</v>
      </c>
      <c r="J350" s="17">
        <v>0</v>
      </c>
      <c r="K350" s="17">
        <v>0</v>
      </c>
      <c r="L350" s="17">
        <v>0</v>
      </c>
      <c r="M350" s="17">
        <v>0</v>
      </c>
      <c r="N350" s="17">
        <v>0</v>
      </c>
      <c r="O350" s="17">
        <v>0</v>
      </c>
      <c r="P350" s="17">
        <v>0</v>
      </c>
      <c r="Q350" s="17">
        <v>0</v>
      </c>
      <c r="R350" s="17">
        <v>0</v>
      </c>
      <c r="S350" s="17">
        <v>0</v>
      </c>
      <c r="T350" s="17">
        <v>0</v>
      </c>
      <c r="U350" s="17">
        <v>0</v>
      </c>
      <c r="V350" s="17">
        <v>0</v>
      </c>
      <c r="W350" s="17">
        <v>0</v>
      </c>
      <c r="X350" s="17">
        <v>0</v>
      </c>
      <c r="Y350" s="17">
        <v>0</v>
      </c>
      <c r="Z350" s="17">
        <v>0</v>
      </c>
      <c r="AA350" s="17">
        <v>0</v>
      </c>
      <c r="AB350" s="17">
        <v>0</v>
      </c>
      <c r="AC350" s="17">
        <v>0</v>
      </c>
      <c r="AD350" s="17">
        <v>1</v>
      </c>
      <c r="AE350" s="17">
        <v>3</v>
      </c>
      <c r="AF350" s="17">
        <v>3</v>
      </c>
      <c r="AG350" s="17">
        <v>13</v>
      </c>
      <c r="AH350" s="17">
        <v>23</v>
      </c>
      <c r="AI350" s="17">
        <v>38</v>
      </c>
      <c r="AJ350" s="17">
        <v>52</v>
      </c>
      <c r="AK350" s="17">
        <v>65</v>
      </c>
      <c r="AL350" s="17">
        <v>73</v>
      </c>
      <c r="AM350" s="17">
        <v>92</v>
      </c>
      <c r="AN350" s="17">
        <v>108</v>
      </c>
      <c r="AO350" s="17">
        <v>132</v>
      </c>
      <c r="AP350" s="17">
        <v>163</v>
      </c>
      <c r="AQ350" s="17">
        <v>212</v>
      </c>
      <c r="AR350" s="17">
        <v>274</v>
      </c>
      <c r="AS350" s="17">
        <v>343</v>
      </c>
      <c r="AT350" s="17">
        <v>468</v>
      </c>
      <c r="AU350" s="17">
        <v>600</v>
      </c>
      <c r="AV350" s="17">
        <v>749</v>
      </c>
      <c r="AW350" s="17">
        <v>948</v>
      </c>
      <c r="AX350" s="17">
        <v>1232</v>
      </c>
      <c r="AY350" s="17">
        <v>1510</v>
      </c>
      <c r="AZ350" s="17">
        <v>1799</v>
      </c>
      <c r="BA350" s="17">
        <v>2153</v>
      </c>
      <c r="BB350" s="17">
        <v>2493</v>
      </c>
      <c r="BC350" s="17">
        <v>2863</v>
      </c>
      <c r="BD350" s="17">
        <v>3240</v>
      </c>
      <c r="BE350" s="17">
        <v>3693</v>
      </c>
      <c r="BF350" s="17">
        <v>4058</v>
      </c>
      <c r="BG350" s="17">
        <v>4414</v>
      </c>
      <c r="BH350" s="17">
        <v>4753</v>
      </c>
      <c r="BI350" s="17">
        <v>5109</v>
      </c>
      <c r="BJ350" s="17">
        <v>5436</v>
      </c>
      <c r="BK350" s="17">
        <v>5729</v>
      </c>
      <c r="BL350" s="17">
        <v>6016</v>
      </c>
      <c r="BM350" s="17">
        <v>6334</v>
      </c>
      <c r="BN350" s="17">
        <v>6680</v>
      </c>
      <c r="BO350" s="17">
        <v>7016</v>
      </c>
      <c r="BP350" s="17">
        <v>7330</v>
      </c>
      <c r="BQ350" s="17">
        <v>7612</v>
      </c>
      <c r="BR350" s="17">
        <v>7886</v>
      </c>
      <c r="BS350" s="17">
        <v>8131</v>
      </c>
      <c r="BT350" s="17">
        <v>8277</v>
      </c>
      <c r="BU350" s="17">
        <v>8397</v>
      </c>
      <c r="BV350" s="17">
        <v>8500</v>
      </c>
      <c r="BW350" s="17">
        <v>8582</v>
      </c>
      <c r="BX350" s="17">
        <v>8628</v>
      </c>
      <c r="BY350" s="17">
        <v>8662</v>
      </c>
      <c r="BZ350" s="17">
        <v>8691</v>
      </c>
      <c r="CA350" s="17">
        <v>8718</v>
      </c>
      <c r="CB350" s="17">
        <v>8733</v>
      </c>
      <c r="CC350" s="17">
        <v>8746</v>
      </c>
      <c r="CD350" s="17">
        <v>8752</v>
      </c>
      <c r="CE350" s="17">
        <v>8754</v>
      </c>
      <c r="CF350" s="17">
        <v>8755</v>
      </c>
      <c r="CG350" s="17">
        <v>8758</v>
      </c>
      <c r="CH350" s="17">
        <v>8760</v>
      </c>
      <c r="CI350" s="17">
        <v>8760</v>
      </c>
      <c r="CJ350" s="17">
        <v>8760</v>
      </c>
      <c r="CK350" s="17">
        <v>8760</v>
      </c>
      <c r="CL350" s="17">
        <v>8760</v>
      </c>
      <c r="CM350" s="17">
        <v>8760</v>
      </c>
      <c r="CN350" s="17">
        <v>8760</v>
      </c>
      <c r="CO350" s="17">
        <v>8760</v>
      </c>
      <c r="CP350" s="17">
        <v>8760</v>
      </c>
      <c r="CQ350" s="17">
        <v>8760</v>
      </c>
      <c r="CR350" s="17">
        <v>8760</v>
      </c>
      <c r="CS350" s="17">
        <v>8760</v>
      </c>
      <c r="CT350" s="17">
        <v>8760</v>
      </c>
      <c r="CU350" s="17">
        <v>8760</v>
      </c>
      <c r="CV350" s="17">
        <v>8760</v>
      </c>
      <c r="CW350" s="17">
        <v>8760</v>
      </c>
      <c r="CX350" s="17">
        <v>8760</v>
      </c>
      <c r="CY350" s="17">
        <v>8760</v>
      </c>
      <c r="CZ350" s="17">
        <v>8760</v>
      </c>
      <c r="DA350" s="17">
        <v>8760</v>
      </c>
      <c r="DB350" s="17">
        <v>8760</v>
      </c>
      <c r="DD350" s="12">
        <f t="shared" si="0"/>
        <v>8</v>
      </c>
      <c r="DF350" s="17">
        <f t="shared" ca="1" si="1"/>
        <v>4928</v>
      </c>
      <c r="DG350" s="17">
        <f t="shared" ca="1" si="2"/>
        <v>31900</v>
      </c>
      <c r="DH350" s="17">
        <f t="shared" ca="1" si="3"/>
        <v>-1.5250689999769222</v>
      </c>
      <c r="DI350" s="17">
        <f t="shared" ca="1" si="4"/>
        <v>-1</v>
      </c>
    </row>
    <row r="351" spans="2:113" s="17" customFormat="1" x14ac:dyDescent="0.25">
      <c r="B351" s="17" t="s">
        <v>222</v>
      </c>
      <c r="C351" s="17" t="s">
        <v>438</v>
      </c>
      <c r="D351" s="17" t="s">
        <v>1031</v>
      </c>
      <c r="E351" s="17" t="s">
        <v>1032</v>
      </c>
      <c r="F351" s="17">
        <v>102644</v>
      </c>
      <c r="G351" s="17">
        <v>0</v>
      </c>
      <c r="H351" s="17">
        <v>0</v>
      </c>
      <c r="I351" s="17">
        <v>0</v>
      </c>
      <c r="J351" s="17">
        <v>0</v>
      </c>
      <c r="K351" s="17">
        <v>0</v>
      </c>
      <c r="L351" s="17">
        <v>0</v>
      </c>
      <c r="M351" s="17">
        <v>0</v>
      </c>
      <c r="N351" s="17">
        <v>0</v>
      </c>
      <c r="O351" s="17">
        <v>0</v>
      </c>
      <c r="P351" s="17">
        <v>0</v>
      </c>
      <c r="Q351" s="17">
        <v>0</v>
      </c>
      <c r="R351" s="17">
        <v>0</v>
      </c>
      <c r="S351" s="17">
        <v>0</v>
      </c>
      <c r="T351" s="17">
        <v>0</v>
      </c>
      <c r="U351" s="17">
        <v>0</v>
      </c>
      <c r="V351" s="17">
        <v>0</v>
      </c>
      <c r="W351" s="17">
        <v>0</v>
      </c>
      <c r="X351" s="17">
        <v>0</v>
      </c>
      <c r="Y351" s="17">
        <v>0</v>
      </c>
      <c r="Z351" s="17">
        <v>0</v>
      </c>
      <c r="AA351" s="17">
        <v>0</v>
      </c>
      <c r="AB351" s="17">
        <v>0</v>
      </c>
      <c r="AC351" s="17">
        <v>0</v>
      </c>
      <c r="AD351" s="17">
        <v>0</v>
      </c>
      <c r="AE351" s="17">
        <v>0</v>
      </c>
      <c r="AF351" s="17">
        <v>0</v>
      </c>
      <c r="AG351" s="17">
        <v>0</v>
      </c>
      <c r="AH351" s="17">
        <v>0</v>
      </c>
      <c r="AI351" s="17">
        <v>0</v>
      </c>
      <c r="AJ351" s="17">
        <v>0</v>
      </c>
      <c r="AK351" s="17">
        <v>0</v>
      </c>
      <c r="AL351" s="17">
        <v>0</v>
      </c>
      <c r="AM351" s="17">
        <v>0</v>
      </c>
      <c r="AN351" s="17">
        <v>0</v>
      </c>
      <c r="AO351" s="17">
        <v>0</v>
      </c>
      <c r="AP351" s="17">
        <v>4</v>
      </c>
      <c r="AQ351" s="17">
        <v>15</v>
      </c>
      <c r="AR351" s="17">
        <v>49</v>
      </c>
      <c r="AS351" s="17">
        <v>89</v>
      </c>
      <c r="AT351" s="17">
        <v>117</v>
      </c>
      <c r="AU351" s="17">
        <v>157</v>
      </c>
      <c r="AV351" s="17">
        <v>220</v>
      </c>
      <c r="AW351" s="17">
        <v>277</v>
      </c>
      <c r="AX351" s="17">
        <v>349</v>
      </c>
      <c r="AY351" s="17">
        <v>441</v>
      </c>
      <c r="AZ351" s="17">
        <v>584</v>
      </c>
      <c r="BA351" s="17">
        <v>772</v>
      </c>
      <c r="BB351" s="17">
        <v>1056</v>
      </c>
      <c r="BC351" s="17">
        <v>1411</v>
      </c>
      <c r="BD351" s="17">
        <v>1792</v>
      </c>
      <c r="BE351" s="17">
        <v>2295</v>
      </c>
      <c r="BF351" s="17">
        <v>2702</v>
      </c>
      <c r="BG351" s="17">
        <v>3124</v>
      </c>
      <c r="BH351" s="17">
        <v>3524</v>
      </c>
      <c r="BI351" s="17">
        <v>3873</v>
      </c>
      <c r="BJ351" s="17">
        <v>4125</v>
      </c>
      <c r="BK351" s="17">
        <v>4430</v>
      </c>
      <c r="BL351" s="17">
        <v>4707</v>
      </c>
      <c r="BM351" s="17">
        <v>5064</v>
      </c>
      <c r="BN351" s="17">
        <v>5414</v>
      </c>
      <c r="BO351" s="17">
        <v>5722</v>
      </c>
      <c r="BP351" s="17">
        <v>6066</v>
      </c>
      <c r="BQ351" s="17">
        <v>6428</v>
      </c>
      <c r="BR351" s="17">
        <v>6861</v>
      </c>
      <c r="BS351" s="17">
        <v>7248</v>
      </c>
      <c r="BT351" s="17">
        <v>7603</v>
      </c>
      <c r="BU351" s="17">
        <v>7884</v>
      </c>
      <c r="BV351" s="17">
        <v>8108</v>
      </c>
      <c r="BW351" s="17">
        <v>8300</v>
      </c>
      <c r="BX351" s="17">
        <v>8470</v>
      </c>
      <c r="BY351" s="17">
        <v>8599</v>
      </c>
      <c r="BZ351" s="17">
        <v>8662</v>
      </c>
      <c r="CA351" s="17">
        <v>8709</v>
      </c>
      <c r="CB351" s="17">
        <v>8749</v>
      </c>
      <c r="CC351" s="17">
        <v>8760</v>
      </c>
      <c r="CD351" s="17">
        <v>8760</v>
      </c>
      <c r="CE351" s="17">
        <v>8760</v>
      </c>
      <c r="CF351" s="17">
        <v>8760</v>
      </c>
      <c r="CG351" s="17">
        <v>8760</v>
      </c>
      <c r="CH351" s="17">
        <v>8760</v>
      </c>
      <c r="CI351" s="17">
        <v>8760</v>
      </c>
      <c r="CJ351" s="17">
        <v>8760</v>
      </c>
      <c r="CK351" s="17">
        <v>8760</v>
      </c>
      <c r="CL351" s="17">
        <v>8760</v>
      </c>
      <c r="CM351" s="17">
        <v>8760</v>
      </c>
      <c r="CN351" s="17">
        <v>8760</v>
      </c>
      <c r="CO351" s="17">
        <v>8760</v>
      </c>
      <c r="CP351" s="17">
        <v>8760</v>
      </c>
      <c r="CQ351" s="17">
        <v>8760</v>
      </c>
      <c r="CR351" s="17">
        <v>8760</v>
      </c>
      <c r="CS351" s="17">
        <v>8760</v>
      </c>
      <c r="CT351" s="17">
        <v>8760</v>
      </c>
      <c r="CU351" s="17">
        <v>8760</v>
      </c>
      <c r="CV351" s="17">
        <v>8760</v>
      </c>
      <c r="CW351" s="17">
        <v>8760</v>
      </c>
      <c r="CX351" s="17">
        <v>8760</v>
      </c>
      <c r="CY351" s="17">
        <v>8760</v>
      </c>
      <c r="CZ351" s="17">
        <v>8760</v>
      </c>
      <c r="DA351" s="17">
        <v>8760</v>
      </c>
      <c r="DB351" s="17">
        <v>8760</v>
      </c>
      <c r="DD351" s="12">
        <f t="shared" si="0"/>
        <v>7</v>
      </c>
      <c r="DF351" s="17">
        <f t="shared" ca="1" si="1"/>
        <v>4575</v>
      </c>
      <c r="DG351" s="17">
        <f t="shared" ca="1" si="2"/>
        <v>26972</v>
      </c>
      <c r="DH351" s="17">
        <f t="shared" ca="1" si="3"/>
        <v>-1.3816520720772356</v>
      </c>
      <c r="DI351" s="17">
        <f t="shared" ca="1" si="4"/>
        <v>-1</v>
      </c>
    </row>
    <row r="352" spans="2:113" s="17" customFormat="1" x14ac:dyDescent="0.25">
      <c r="B352" s="17" t="s">
        <v>433</v>
      </c>
      <c r="C352" s="17" t="s">
        <v>438</v>
      </c>
      <c r="D352" s="17" t="s">
        <v>1033</v>
      </c>
      <c r="E352" s="17" t="s">
        <v>1034</v>
      </c>
      <c r="F352" s="17">
        <v>102620</v>
      </c>
      <c r="G352" s="17">
        <v>0</v>
      </c>
      <c r="H352" s="17">
        <v>0</v>
      </c>
      <c r="I352" s="17">
        <v>0</v>
      </c>
      <c r="J352" s="17">
        <v>0</v>
      </c>
      <c r="K352" s="17">
        <v>0</v>
      </c>
      <c r="L352" s="17">
        <v>0</v>
      </c>
      <c r="M352" s="17">
        <v>0</v>
      </c>
      <c r="N352" s="17">
        <v>0</v>
      </c>
      <c r="O352" s="17">
        <v>0</v>
      </c>
      <c r="P352" s="17">
        <v>0</v>
      </c>
      <c r="Q352" s="17">
        <v>0</v>
      </c>
      <c r="R352" s="17">
        <v>0</v>
      </c>
      <c r="S352" s="17">
        <v>0</v>
      </c>
      <c r="T352" s="17">
        <v>0</v>
      </c>
      <c r="U352" s="17">
        <v>0</v>
      </c>
      <c r="V352" s="17">
        <v>0</v>
      </c>
      <c r="W352" s="17">
        <v>0</v>
      </c>
      <c r="X352" s="17">
        <v>0</v>
      </c>
      <c r="Y352" s="17">
        <v>0</v>
      </c>
      <c r="Z352" s="17">
        <v>0</v>
      </c>
      <c r="AA352" s="17">
        <v>0</v>
      </c>
      <c r="AB352" s="17">
        <v>0</v>
      </c>
      <c r="AC352" s="17">
        <v>0</v>
      </c>
      <c r="AD352" s="17">
        <v>0</v>
      </c>
      <c r="AE352" s="17">
        <v>0</v>
      </c>
      <c r="AF352" s="17">
        <v>0</v>
      </c>
      <c r="AG352" s="17">
        <v>0</v>
      </c>
      <c r="AH352" s="17">
        <v>0</v>
      </c>
      <c r="AI352" s="17">
        <v>0</v>
      </c>
      <c r="AJ352" s="17">
        <v>0</v>
      </c>
      <c r="AK352" s="17">
        <v>0</v>
      </c>
      <c r="AL352" s="17">
        <v>0</v>
      </c>
      <c r="AM352" s="17">
        <v>7</v>
      </c>
      <c r="AN352" s="17">
        <v>13</v>
      </c>
      <c r="AO352" s="17">
        <v>18</v>
      </c>
      <c r="AP352" s="17">
        <v>20</v>
      </c>
      <c r="AQ352" s="17">
        <v>32</v>
      </c>
      <c r="AR352" s="17">
        <v>54</v>
      </c>
      <c r="AS352" s="17">
        <v>77</v>
      </c>
      <c r="AT352" s="17">
        <v>108</v>
      </c>
      <c r="AU352" s="17">
        <v>174</v>
      </c>
      <c r="AV352" s="17">
        <v>253</v>
      </c>
      <c r="AW352" s="17">
        <v>377</v>
      </c>
      <c r="AX352" s="17">
        <v>538</v>
      </c>
      <c r="AY352" s="17">
        <v>707</v>
      </c>
      <c r="AZ352" s="17">
        <v>919</v>
      </c>
      <c r="BA352" s="17">
        <v>1141</v>
      </c>
      <c r="BB352" s="17">
        <v>1414</v>
      </c>
      <c r="BC352" s="17">
        <v>1758</v>
      </c>
      <c r="BD352" s="17">
        <v>2124</v>
      </c>
      <c r="BE352" s="17">
        <v>2555</v>
      </c>
      <c r="BF352" s="17">
        <v>2977</v>
      </c>
      <c r="BG352" s="17">
        <v>3389</v>
      </c>
      <c r="BH352" s="17">
        <v>3740</v>
      </c>
      <c r="BI352" s="17">
        <v>4027</v>
      </c>
      <c r="BJ352" s="17">
        <v>4347</v>
      </c>
      <c r="BK352" s="17">
        <v>4678</v>
      </c>
      <c r="BL352" s="17">
        <v>5006</v>
      </c>
      <c r="BM352" s="17">
        <v>5346</v>
      </c>
      <c r="BN352" s="17">
        <v>5705</v>
      </c>
      <c r="BO352" s="17">
        <v>6047</v>
      </c>
      <c r="BP352" s="17">
        <v>6336</v>
      </c>
      <c r="BQ352" s="17">
        <v>6730</v>
      </c>
      <c r="BR352" s="17">
        <v>7119</v>
      </c>
      <c r="BS352" s="17">
        <v>7447</v>
      </c>
      <c r="BT352" s="17">
        <v>7748</v>
      </c>
      <c r="BU352" s="17">
        <v>8019</v>
      </c>
      <c r="BV352" s="17">
        <v>8201</v>
      </c>
      <c r="BW352" s="17">
        <v>8376</v>
      </c>
      <c r="BX352" s="17">
        <v>8502</v>
      </c>
      <c r="BY352" s="17">
        <v>8591</v>
      </c>
      <c r="BZ352" s="17">
        <v>8655</v>
      </c>
      <c r="CA352" s="17">
        <v>8688</v>
      </c>
      <c r="CB352" s="17">
        <v>8709</v>
      </c>
      <c r="CC352" s="17">
        <v>8733</v>
      </c>
      <c r="CD352" s="17">
        <v>8748</v>
      </c>
      <c r="CE352" s="17">
        <v>8753</v>
      </c>
      <c r="CF352" s="17">
        <v>8759</v>
      </c>
      <c r="CG352" s="17">
        <v>8760</v>
      </c>
      <c r="CH352" s="17">
        <v>8760</v>
      </c>
      <c r="CI352" s="17">
        <v>8760</v>
      </c>
      <c r="CJ352" s="17">
        <v>8760</v>
      </c>
      <c r="CK352" s="17">
        <v>8760</v>
      </c>
      <c r="CL352" s="17">
        <v>8760</v>
      </c>
      <c r="CM352" s="17">
        <v>8760</v>
      </c>
      <c r="CN352" s="17">
        <v>8760</v>
      </c>
      <c r="CO352" s="17">
        <v>8760</v>
      </c>
      <c r="CP352" s="17">
        <v>8760</v>
      </c>
      <c r="CQ352" s="17">
        <v>8760</v>
      </c>
      <c r="CR352" s="17">
        <v>8760</v>
      </c>
      <c r="CS352" s="17">
        <v>8760</v>
      </c>
      <c r="CT352" s="17">
        <v>8760</v>
      </c>
      <c r="CU352" s="17">
        <v>8760</v>
      </c>
      <c r="CV352" s="17">
        <v>8760</v>
      </c>
      <c r="CW352" s="17">
        <v>8760</v>
      </c>
      <c r="CX352" s="17">
        <v>8760</v>
      </c>
      <c r="CY352" s="17">
        <v>8760</v>
      </c>
      <c r="CZ352" s="17">
        <v>8760</v>
      </c>
      <c r="DA352" s="17">
        <v>8760</v>
      </c>
      <c r="DB352" s="17">
        <v>8760</v>
      </c>
      <c r="DD352" s="12">
        <f t="shared" si="0"/>
        <v>6</v>
      </c>
      <c r="DF352" s="17">
        <f t="shared" ca="1" si="1"/>
        <v>4183</v>
      </c>
      <c r="DG352" s="17">
        <f t="shared" ca="1" si="2"/>
        <v>22397</v>
      </c>
      <c r="DH352" s="17">
        <f t="shared" ca="1" si="3"/>
        <v>-1.2265653154407237</v>
      </c>
      <c r="DI352" s="17">
        <f t="shared" ca="1" si="4"/>
        <v>-1</v>
      </c>
    </row>
    <row r="353" spans="1:132" s="17" customFormat="1" x14ac:dyDescent="0.25">
      <c r="B353" s="17" t="s">
        <v>225</v>
      </c>
      <c r="C353" s="17" t="s">
        <v>438</v>
      </c>
      <c r="D353" s="17" t="s">
        <v>1035</v>
      </c>
      <c r="E353" s="17" t="s">
        <v>1036</v>
      </c>
      <c r="F353" s="17">
        <v>102522</v>
      </c>
      <c r="G353" s="17">
        <v>0</v>
      </c>
      <c r="H353" s="17">
        <v>0</v>
      </c>
      <c r="I353" s="17">
        <v>0</v>
      </c>
      <c r="J353" s="17">
        <v>0</v>
      </c>
      <c r="K353" s="17">
        <v>0</v>
      </c>
      <c r="L353" s="17">
        <v>0</v>
      </c>
      <c r="M353" s="17">
        <v>0</v>
      </c>
      <c r="N353" s="17">
        <v>0</v>
      </c>
      <c r="O353" s="17">
        <v>0</v>
      </c>
      <c r="P353" s="17">
        <v>0</v>
      </c>
      <c r="Q353" s="17">
        <v>0</v>
      </c>
      <c r="R353" s="17">
        <v>0</v>
      </c>
      <c r="S353" s="17">
        <v>0</v>
      </c>
      <c r="T353" s="17">
        <v>0</v>
      </c>
      <c r="U353" s="17">
        <v>0</v>
      </c>
      <c r="V353" s="17">
        <v>0</v>
      </c>
      <c r="W353" s="17">
        <v>0</v>
      </c>
      <c r="X353" s="17">
        <v>0</v>
      </c>
      <c r="Y353" s="17">
        <v>0</v>
      </c>
      <c r="Z353" s="17">
        <v>0</v>
      </c>
      <c r="AA353" s="17">
        <v>0</v>
      </c>
      <c r="AB353" s="17">
        <v>0</v>
      </c>
      <c r="AC353" s="17">
        <v>0</v>
      </c>
      <c r="AD353" s="17">
        <v>0</v>
      </c>
      <c r="AE353" s="17">
        <v>0</v>
      </c>
      <c r="AF353" s="17">
        <v>0</v>
      </c>
      <c r="AG353" s="17">
        <v>0</v>
      </c>
      <c r="AH353" s="17">
        <v>0</v>
      </c>
      <c r="AI353" s="17">
        <v>5</v>
      </c>
      <c r="AJ353" s="17">
        <v>23</v>
      </c>
      <c r="AK353" s="17">
        <v>50</v>
      </c>
      <c r="AL353" s="17">
        <v>94</v>
      </c>
      <c r="AM353" s="17">
        <v>126</v>
      </c>
      <c r="AN353" s="17">
        <v>166</v>
      </c>
      <c r="AO353" s="17">
        <v>205</v>
      </c>
      <c r="AP353" s="17">
        <v>260</v>
      </c>
      <c r="AQ353" s="17">
        <v>343</v>
      </c>
      <c r="AR353" s="17">
        <v>416</v>
      </c>
      <c r="AS353" s="17">
        <v>505</v>
      </c>
      <c r="AT353" s="17">
        <v>615</v>
      </c>
      <c r="AU353" s="17">
        <v>727</v>
      </c>
      <c r="AV353" s="17">
        <v>839</v>
      </c>
      <c r="AW353" s="17">
        <v>955</v>
      </c>
      <c r="AX353" s="17">
        <v>1089</v>
      </c>
      <c r="AY353" s="17">
        <v>1238</v>
      </c>
      <c r="AZ353" s="17">
        <v>1472</v>
      </c>
      <c r="BA353" s="17">
        <v>1775</v>
      </c>
      <c r="BB353" s="17">
        <v>2104</v>
      </c>
      <c r="BC353" s="17">
        <v>2488</v>
      </c>
      <c r="BD353" s="17">
        <v>2923</v>
      </c>
      <c r="BE353" s="17">
        <v>3392</v>
      </c>
      <c r="BF353" s="17">
        <v>3739</v>
      </c>
      <c r="BG353" s="17">
        <v>4064</v>
      </c>
      <c r="BH353" s="17">
        <v>4327</v>
      </c>
      <c r="BI353" s="17">
        <v>4592</v>
      </c>
      <c r="BJ353" s="17">
        <v>4897</v>
      </c>
      <c r="BK353" s="17">
        <v>5160</v>
      </c>
      <c r="BL353" s="17">
        <v>5431</v>
      </c>
      <c r="BM353" s="17">
        <v>5720</v>
      </c>
      <c r="BN353" s="17">
        <v>6029</v>
      </c>
      <c r="BO353" s="17">
        <v>6319</v>
      </c>
      <c r="BP353" s="17">
        <v>6647</v>
      </c>
      <c r="BQ353" s="17">
        <v>6969</v>
      </c>
      <c r="BR353" s="17">
        <v>7265</v>
      </c>
      <c r="BS353" s="17">
        <v>7515</v>
      </c>
      <c r="BT353" s="17">
        <v>7761</v>
      </c>
      <c r="BU353" s="17">
        <v>7991</v>
      </c>
      <c r="BV353" s="17">
        <v>8160</v>
      </c>
      <c r="BW353" s="17">
        <v>8302</v>
      </c>
      <c r="BX353" s="17">
        <v>8395</v>
      </c>
      <c r="BY353" s="17">
        <v>8475</v>
      </c>
      <c r="BZ353" s="17">
        <v>8542</v>
      </c>
      <c r="CA353" s="17">
        <v>8611</v>
      </c>
      <c r="CB353" s="17">
        <v>8661</v>
      </c>
      <c r="CC353" s="17">
        <v>8701</v>
      </c>
      <c r="CD353" s="17">
        <v>8739</v>
      </c>
      <c r="CE353" s="17">
        <v>8753</v>
      </c>
      <c r="CF353" s="17">
        <v>8759</v>
      </c>
      <c r="CG353" s="17">
        <v>8760</v>
      </c>
      <c r="CH353" s="17">
        <v>8760</v>
      </c>
      <c r="CI353" s="17">
        <v>8760</v>
      </c>
      <c r="CJ353" s="17">
        <v>8760</v>
      </c>
      <c r="CK353" s="17">
        <v>8760</v>
      </c>
      <c r="CL353" s="17">
        <v>8760</v>
      </c>
      <c r="CM353" s="17">
        <v>8760</v>
      </c>
      <c r="CN353" s="17">
        <v>8760</v>
      </c>
      <c r="CO353" s="17">
        <v>8760</v>
      </c>
      <c r="CP353" s="17">
        <v>8760</v>
      </c>
      <c r="CQ353" s="17">
        <v>8760</v>
      </c>
      <c r="CR353" s="17">
        <v>8760</v>
      </c>
      <c r="CS353" s="17">
        <v>8760</v>
      </c>
      <c r="CT353" s="17">
        <v>8760</v>
      </c>
      <c r="CU353" s="17">
        <v>8760</v>
      </c>
      <c r="CV353" s="17">
        <v>8760</v>
      </c>
      <c r="CW353" s="17">
        <v>8760</v>
      </c>
      <c r="CX353" s="17">
        <v>8760</v>
      </c>
      <c r="CY353" s="17">
        <v>8760</v>
      </c>
      <c r="CZ353" s="17">
        <v>8760</v>
      </c>
      <c r="DA353" s="17">
        <v>8760</v>
      </c>
      <c r="DB353" s="17">
        <v>8760</v>
      </c>
      <c r="DD353" s="12">
        <f t="shared" si="0"/>
        <v>5</v>
      </c>
      <c r="DF353" s="17">
        <f t="shared" ca="1" si="1"/>
        <v>3654</v>
      </c>
      <c r="DG353" s="17">
        <f t="shared" ca="1" si="2"/>
        <v>18214</v>
      </c>
      <c r="DH353" s="17">
        <f t="shared" ca="1" si="3"/>
        <v>-1.0634184654161669</v>
      </c>
      <c r="DI353" s="17">
        <f t="shared" ca="1" si="4"/>
        <v>-1</v>
      </c>
    </row>
    <row r="354" spans="1:132" s="17" customFormat="1" x14ac:dyDescent="0.25">
      <c r="B354" s="17" t="s">
        <v>226</v>
      </c>
      <c r="C354" s="17" t="s">
        <v>438</v>
      </c>
      <c r="D354" s="17" t="s">
        <v>1037</v>
      </c>
      <c r="E354" s="17" t="s">
        <v>1038</v>
      </c>
      <c r="F354" s="17">
        <v>102009</v>
      </c>
      <c r="G354" s="17">
        <v>0</v>
      </c>
      <c r="H354" s="17">
        <v>0</v>
      </c>
      <c r="I354" s="17">
        <v>0</v>
      </c>
      <c r="J354" s="17">
        <v>0</v>
      </c>
      <c r="K354" s="17">
        <v>0</v>
      </c>
      <c r="L354" s="17">
        <v>0</v>
      </c>
      <c r="M354" s="17">
        <v>0</v>
      </c>
      <c r="N354" s="17">
        <v>0</v>
      </c>
      <c r="O354" s="17">
        <v>0</v>
      </c>
      <c r="P354" s="17">
        <v>0</v>
      </c>
      <c r="Q354" s="17">
        <v>0</v>
      </c>
      <c r="R354" s="17">
        <v>0</v>
      </c>
      <c r="S354" s="17">
        <v>0</v>
      </c>
      <c r="T354" s="17">
        <v>0</v>
      </c>
      <c r="U354" s="17">
        <v>0</v>
      </c>
      <c r="V354" s="17">
        <v>0</v>
      </c>
      <c r="W354" s="17">
        <v>0</v>
      </c>
      <c r="X354" s="17">
        <v>0</v>
      </c>
      <c r="Y354" s="17">
        <v>0</v>
      </c>
      <c r="Z354" s="17">
        <v>0</v>
      </c>
      <c r="AA354" s="17">
        <v>3</v>
      </c>
      <c r="AB354" s="17">
        <v>8</v>
      </c>
      <c r="AC354" s="17">
        <v>40</v>
      </c>
      <c r="AD354" s="17">
        <v>69</v>
      </c>
      <c r="AE354" s="17">
        <v>103</v>
      </c>
      <c r="AF354" s="17">
        <v>149</v>
      </c>
      <c r="AG354" s="17">
        <v>214</v>
      </c>
      <c r="AH354" s="17">
        <v>260</v>
      </c>
      <c r="AI354" s="17">
        <v>300</v>
      </c>
      <c r="AJ354" s="17">
        <v>342</v>
      </c>
      <c r="AK354" s="17">
        <v>395</v>
      </c>
      <c r="AL354" s="17">
        <v>455</v>
      </c>
      <c r="AM354" s="17">
        <v>513</v>
      </c>
      <c r="AN354" s="17">
        <v>577</v>
      </c>
      <c r="AO354" s="17">
        <v>677</v>
      </c>
      <c r="AP354" s="17">
        <v>776</v>
      </c>
      <c r="AQ354" s="17">
        <v>865</v>
      </c>
      <c r="AR354" s="17">
        <v>970</v>
      </c>
      <c r="AS354" s="17">
        <v>1102</v>
      </c>
      <c r="AT354" s="17">
        <v>1256</v>
      </c>
      <c r="AU354" s="17">
        <v>1398</v>
      </c>
      <c r="AV354" s="17">
        <v>1547</v>
      </c>
      <c r="AW354" s="17">
        <v>1737</v>
      </c>
      <c r="AX354" s="17">
        <v>1991</v>
      </c>
      <c r="AY354" s="17">
        <v>2231</v>
      </c>
      <c r="AZ354" s="17">
        <v>2499</v>
      </c>
      <c r="BA354" s="17">
        <v>2816</v>
      </c>
      <c r="BB354" s="17">
        <v>3128</v>
      </c>
      <c r="BC354" s="17">
        <v>3425</v>
      </c>
      <c r="BD354" s="17">
        <v>3717</v>
      </c>
      <c r="BE354" s="17">
        <v>4189</v>
      </c>
      <c r="BF354" s="17">
        <v>4507</v>
      </c>
      <c r="BG354" s="17">
        <v>4757</v>
      </c>
      <c r="BH354" s="17">
        <v>5010</v>
      </c>
      <c r="BI354" s="17">
        <v>5250</v>
      </c>
      <c r="BJ354" s="17">
        <v>5507</v>
      </c>
      <c r="BK354" s="17">
        <v>5743</v>
      </c>
      <c r="BL354" s="17">
        <v>5982</v>
      </c>
      <c r="BM354" s="17">
        <v>6259</v>
      </c>
      <c r="BN354" s="17">
        <v>6500</v>
      </c>
      <c r="BO354" s="17">
        <v>6727</v>
      </c>
      <c r="BP354" s="17">
        <v>6983</v>
      </c>
      <c r="BQ354" s="17">
        <v>7246</v>
      </c>
      <c r="BR354" s="17">
        <v>7486</v>
      </c>
      <c r="BS354" s="17">
        <v>7776</v>
      </c>
      <c r="BT354" s="17">
        <v>7980</v>
      </c>
      <c r="BU354" s="17">
        <v>8132</v>
      </c>
      <c r="BV354" s="17">
        <v>8276</v>
      </c>
      <c r="BW354" s="17">
        <v>8378</v>
      </c>
      <c r="BX354" s="17">
        <v>8480</v>
      </c>
      <c r="BY354" s="17">
        <v>8561</v>
      </c>
      <c r="BZ354" s="17">
        <v>8629</v>
      </c>
      <c r="CA354" s="17">
        <v>8682</v>
      </c>
      <c r="CB354" s="17">
        <v>8712</v>
      </c>
      <c r="CC354" s="17">
        <v>8741</v>
      </c>
      <c r="CD354" s="17">
        <v>8752</v>
      </c>
      <c r="CE354" s="17">
        <v>8759</v>
      </c>
      <c r="CF354" s="17">
        <v>8760</v>
      </c>
      <c r="CG354" s="17">
        <v>8760</v>
      </c>
      <c r="CH354" s="17">
        <v>8760</v>
      </c>
      <c r="CI354" s="17">
        <v>8760</v>
      </c>
      <c r="CJ354" s="17">
        <v>8760</v>
      </c>
      <c r="CK354" s="17">
        <v>8760</v>
      </c>
      <c r="CL354" s="17">
        <v>8760</v>
      </c>
      <c r="CM354" s="17">
        <v>8760</v>
      </c>
      <c r="CN354" s="17">
        <v>8760</v>
      </c>
      <c r="CO354" s="17">
        <v>8760</v>
      </c>
      <c r="CP354" s="17">
        <v>8760</v>
      </c>
      <c r="CQ354" s="17">
        <v>8760</v>
      </c>
      <c r="CR354" s="17">
        <v>8760</v>
      </c>
      <c r="CS354" s="17">
        <v>8760</v>
      </c>
      <c r="CT354" s="17">
        <v>8760</v>
      </c>
      <c r="CU354" s="17">
        <v>8760</v>
      </c>
      <c r="CV354" s="17">
        <v>8760</v>
      </c>
      <c r="CW354" s="17">
        <v>8760</v>
      </c>
      <c r="CX354" s="17">
        <v>8760</v>
      </c>
      <c r="CY354" s="17">
        <v>8760</v>
      </c>
      <c r="CZ354" s="17">
        <v>8760</v>
      </c>
      <c r="DA354" s="17">
        <v>8760</v>
      </c>
      <c r="DB354" s="17">
        <v>8760</v>
      </c>
      <c r="DD354" s="12">
        <f t="shared" si="0"/>
        <v>4</v>
      </c>
      <c r="DF354" s="17">
        <f t="shared" ca="1" si="1"/>
        <v>3223</v>
      </c>
      <c r="DG354" s="17">
        <f t="shared" ca="1" si="2"/>
        <v>14560</v>
      </c>
      <c r="DH354" s="17">
        <f t="shared" ca="1" si="3"/>
        <v>-0.88646667009388747</v>
      </c>
      <c r="DI354" s="17">
        <f t="shared" ca="1" si="4"/>
        <v>-0.88646667009388747</v>
      </c>
    </row>
    <row r="355" spans="1:132" s="17" customFormat="1" x14ac:dyDescent="0.25">
      <c r="B355" s="17" t="s">
        <v>227</v>
      </c>
      <c r="C355" s="17" t="s">
        <v>438</v>
      </c>
      <c r="D355" s="17" t="s">
        <v>1039</v>
      </c>
      <c r="E355" s="17" t="s">
        <v>1040</v>
      </c>
      <c r="F355" s="17">
        <v>102024</v>
      </c>
      <c r="G355" s="17">
        <v>0</v>
      </c>
      <c r="H355" s="17">
        <v>0</v>
      </c>
      <c r="I355" s="17">
        <v>0</v>
      </c>
      <c r="J355" s="17">
        <v>0</v>
      </c>
      <c r="K355" s="17">
        <v>0</v>
      </c>
      <c r="L355" s="17">
        <v>0</v>
      </c>
      <c r="M355" s="17">
        <v>0</v>
      </c>
      <c r="N355" s="17">
        <v>0</v>
      </c>
      <c r="O355" s="17">
        <v>0</v>
      </c>
      <c r="P355" s="17">
        <v>0</v>
      </c>
      <c r="Q355" s="17">
        <v>0</v>
      </c>
      <c r="R355" s="17">
        <v>0</v>
      </c>
      <c r="S355" s="17">
        <v>0</v>
      </c>
      <c r="T355" s="17">
        <v>0</v>
      </c>
      <c r="U355" s="17">
        <v>0</v>
      </c>
      <c r="V355" s="17">
        <v>0</v>
      </c>
      <c r="W355" s="17">
        <v>0</v>
      </c>
      <c r="X355" s="17">
        <v>1</v>
      </c>
      <c r="Y355" s="17">
        <v>5</v>
      </c>
      <c r="Z355" s="17">
        <v>22</v>
      </c>
      <c r="AA355" s="17">
        <v>32</v>
      </c>
      <c r="AB355" s="17">
        <v>61</v>
      </c>
      <c r="AC355" s="17">
        <v>74</v>
      </c>
      <c r="AD355" s="17">
        <v>93</v>
      </c>
      <c r="AE355" s="17">
        <v>130</v>
      </c>
      <c r="AF355" s="17">
        <v>190</v>
      </c>
      <c r="AG355" s="17">
        <v>225</v>
      </c>
      <c r="AH355" s="17">
        <v>253</v>
      </c>
      <c r="AI355" s="17">
        <v>293</v>
      </c>
      <c r="AJ355" s="17">
        <v>365</v>
      </c>
      <c r="AK355" s="17">
        <v>438</v>
      </c>
      <c r="AL355" s="17">
        <v>515</v>
      </c>
      <c r="AM355" s="17">
        <v>561</v>
      </c>
      <c r="AN355" s="17">
        <v>630</v>
      </c>
      <c r="AO355" s="17">
        <v>739</v>
      </c>
      <c r="AP355" s="17">
        <v>846</v>
      </c>
      <c r="AQ355" s="17">
        <v>965</v>
      </c>
      <c r="AR355" s="17">
        <v>1095</v>
      </c>
      <c r="AS355" s="17">
        <v>1216</v>
      </c>
      <c r="AT355" s="17">
        <v>1360</v>
      </c>
      <c r="AU355" s="17">
        <v>1530</v>
      </c>
      <c r="AV355" s="17">
        <v>1662</v>
      </c>
      <c r="AW355" s="17">
        <v>1843</v>
      </c>
      <c r="AX355" s="17">
        <v>2059</v>
      </c>
      <c r="AY355" s="17">
        <v>2290</v>
      </c>
      <c r="AZ355" s="17">
        <v>2535</v>
      </c>
      <c r="BA355" s="17">
        <v>2798</v>
      </c>
      <c r="BB355" s="17">
        <v>3083</v>
      </c>
      <c r="BC355" s="17">
        <v>3415</v>
      </c>
      <c r="BD355" s="17">
        <v>3774</v>
      </c>
      <c r="BE355" s="17">
        <v>4159</v>
      </c>
      <c r="BF355" s="17">
        <v>4522</v>
      </c>
      <c r="BG355" s="17">
        <v>4860</v>
      </c>
      <c r="BH355" s="17">
        <v>5088</v>
      </c>
      <c r="BI355" s="17">
        <v>5282</v>
      </c>
      <c r="BJ355" s="17">
        <v>5484</v>
      </c>
      <c r="BK355" s="17">
        <v>5746</v>
      </c>
      <c r="BL355" s="17">
        <v>5987</v>
      </c>
      <c r="BM355" s="17">
        <v>6202</v>
      </c>
      <c r="BN355" s="17">
        <v>6463</v>
      </c>
      <c r="BO355" s="17">
        <v>6712</v>
      </c>
      <c r="BP355" s="17">
        <v>6932</v>
      </c>
      <c r="BQ355" s="17">
        <v>7249</v>
      </c>
      <c r="BR355" s="17">
        <v>7544</v>
      </c>
      <c r="BS355" s="17">
        <v>7774</v>
      </c>
      <c r="BT355" s="17">
        <v>7950</v>
      </c>
      <c r="BU355" s="17">
        <v>8162</v>
      </c>
      <c r="BV355" s="17">
        <v>8325</v>
      </c>
      <c r="BW355" s="17">
        <v>8439</v>
      </c>
      <c r="BX355" s="17">
        <v>8526</v>
      </c>
      <c r="BY355" s="17">
        <v>8602</v>
      </c>
      <c r="BZ355" s="17">
        <v>8647</v>
      </c>
      <c r="CA355" s="17">
        <v>8684</v>
      </c>
      <c r="CB355" s="17">
        <v>8717</v>
      </c>
      <c r="CC355" s="17">
        <v>8748</v>
      </c>
      <c r="CD355" s="17">
        <v>8759</v>
      </c>
      <c r="CE355" s="17">
        <v>8760</v>
      </c>
      <c r="CF355" s="17">
        <v>8760</v>
      </c>
      <c r="CG355" s="17">
        <v>8760</v>
      </c>
      <c r="CH355" s="17">
        <v>8760</v>
      </c>
      <c r="CI355" s="17">
        <v>8760</v>
      </c>
      <c r="CJ355" s="17">
        <v>8760</v>
      </c>
      <c r="CK355" s="17">
        <v>8760</v>
      </c>
      <c r="CL355" s="17">
        <v>8760</v>
      </c>
      <c r="CM355" s="17">
        <v>8760</v>
      </c>
      <c r="CN355" s="17">
        <v>8760</v>
      </c>
      <c r="CO355" s="17">
        <v>8760</v>
      </c>
      <c r="CP355" s="17">
        <v>8760</v>
      </c>
      <c r="CQ355" s="17">
        <v>8760</v>
      </c>
      <c r="CR355" s="17">
        <v>8760</v>
      </c>
      <c r="CS355" s="17">
        <v>8760</v>
      </c>
      <c r="CT355" s="17">
        <v>8760</v>
      </c>
      <c r="CU355" s="17">
        <v>8760</v>
      </c>
      <c r="CV355" s="17">
        <v>8760</v>
      </c>
      <c r="CW355" s="17">
        <v>8760</v>
      </c>
      <c r="CX355" s="17">
        <v>8760</v>
      </c>
      <c r="CY355" s="17">
        <v>8760</v>
      </c>
      <c r="CZ355" s="17">
        <v>8760</v>
      </c>
      <c r="DA355" s="17">
        <v>8760</v>
      </c>
      <c r="DB355" s="17">
        <v>8760</v>
      </c>
      <c r="DD355" s="12">
        <f t="shared" si="0"/>
        <v>3</v>
      </c>
      <c r="DF355" s="17">
        <f t="shared" ca="1" si="1"/>
        <v>2850</v>
      </c>
      <c r="DG355" s="17">
        <f t="shared" ca="1" si="2"/>
        <v>11337</v>
      </c>
      <c r="DH355" s="17">
        <f t="shared" ca="1" si="3"/>
        <v>-0.69072491185212925</v>
      </c>
      <c r="DI355" s="17">
        <f t="shared" ca="1" si="4"/>
        <v>-0.69072491185212925</v>
      </c>
    </row>
    <row r="356" spans="1:132" s="17" customFormat="1" x14ac:dyDescent="0.25">
      <c r="A356" s="20"/>
      <c r="DD356" s="12">
        <f>DD357+1</f>
        <v>2</v>
      </c>
      <c r="DF356" s="17">
        <f t="shared" ca="1" si="1"/>
        <v>2403</v>
      </c>
      <c r="DG356" s="17">
        <f ca="1">DF356+DG357</f>
        <v>8487</v>
      </c>
      <c r="DH356" s="17">
        <f ca="1">-DF357/DG356+DH357</f>
        <v>-0.47876407565207635</v>
      </c>
      <c r="DI356" s="17">
        <f t="shared" ca="1" si="4"/>
        <v>-0.47876407565207635</v>
      </c>
    </row>
    <row r="357" spans="1:132" s="17" customFormat="1" x14ac:dyDescent="0.25">
      <c r="A357" s="17" t="str">
        <f>Normalår!D1</f>
        <v>Ale</v>
      </c>
      <c r="B357" s="17">
        <f>MATCH(A357,B2:B355,0)+1</f>
        <v>4</v>
      </c>
      <c r="G357" s="17">
        <f t="shared" ref="G357:AL357" si="5">G1</f>
        <v>-50</v>
      </c>
      <c r="H357" s="17">
        <f t="shared" si="5"/>
        <v>-49</v>
      </c>
      <c r="I357" s="17">
        <f t="shared" si="5"/>
        <v>-48</v>
      </c>
      <c r="J357" s="17">
        <f t="shared" si="5"/>
        <v>-47</v>
      </c>
      <c r="K357" s="17">
        <f t="shared" si="5"/>
        <v>-46</v>
      </c>
      <c r="L357" s="17">
        <f t="shared" si="5"/>
        <v>-45</v>
      </c>
      <c r="M357" s="17">
        <f t="shared" si="5"/>
        <v>-44</v>
      </c>
      <c r="N357" s="17">
        <f t="shared" si="5"/>
        <v>-43</v>
      </c>
      <c r="O357" s="17">
        <f t="shared" si="5"/>
        <v>-42</v>
      </c>
      <c r="P357" s="17">
        <f t="shared" si="5"/>
        <v>-41</v>
      </c>
      <c r="Q357" s="17">
        <f t="shared" si="5"/>
        <v>-40</v>
      </c>
      <c r="R357" s="17">
        <f t="shared" si="5"/>
        <v>-39</v>
      </c>
      <c r="S357" s="17">
        <f t="shared" si="5"/>
        <v>-38</v>
      </c>
      <c r="T357" s="17">
        <f t="shared" si="5"/>
        <v>-37</v>
      </c>
      <c r="U357" s="17">
        <f t="shared" si="5"/>
        <v>-36</v>
      </c>
      <c r="V357" s="17">
        <f t="shared" si="5"/>
        <v>-35</v>
      </c>
      <c r="W357" s="17">
        <f t="shared" si="5"/>
        <v>-34</v>
      </c>
      <c r="X357" s="17">
        <f t="shared" si="5"/>
        <v>-33</v>
      </c>
      <c r="Y357" s="17">
        <f t="shared" si="5"/>
        <v>-32</v>
      </c>
      <c r="Z357" s="17">
        <f t="shared" si="5"/>
        <v>-31</v>
      </c>
      <c r="AA357" s="17">
        <f t="shared" si="5"/>
        <v>-30</v>
      </c>
      <c r="AB357" s="17">
        <f t="shared" si="5"/>
        <v>-29</v>
      </c>
      <c r="AC357" s="17">
        <f t="shared" si="5"/>
        <v>-28</v>
      </c>
      <c r="AD357" s="17">
        <f t="shared" si="5"/>
        <v>-27</v>
      </c>
      <c r="AE357" s="17">
        <f t="shared" si="5"/>
        <v>-26</v>
      </c>
      <c r="AF357" s="17">
        <f t="shared" si="5"/>
        <v>-25</v>
      </c>
      <c r="AG357" s="17">
        <f t="shared" si="5"/>
        <v>-24</v>
      </c>
      <c r="AH357" s="17">
        <f t="shared" si="5"/>
        <v>-23</v>
      </c>
      <c r="AI357" s="17">
        <f t="shared" si="5"/>
        <v>-22</v>
      </c>
      <c r="AJ357" s="17">
        <f t="shared" si="5"/>
        <v>-21</v>
      </c>
      <c r="AK357" s="17">
        <f t="shared" si="5"/>
        <v>-20</v>
      </c>
      <c r="AL357" s="17">
        <f t="shared" si="5"/>
        <v>-19</v>
      </c>
      <c r="AM357" s="17">
        <f t="shared" ref="AM357:BR357" si="6">AM1</f>
        <v>-18</v>
      </c>
      <c r="AN357" s="17">
        <f t="shared" si="6"/>
        <v>-17</v>
      </c>
      <c r="AO357" s="17">
        <f t="shared" si="6"/>
        <v>-16</v>
      </c>
      <c r="AP357" s="17">
        <f t="shared" si="6"/>
        <v>-15</v>
      </c>
      <c r="AQ357" s="17">
        <f t="shared" si="6"/>
        <v>-14</v>
      </c>
      <c r="AR357" s="17">
        <f t="shared" si="6"/>
        <v>-13</v>
      </c>
      <c r="AS357" s="17">
        <f t="shared" si="6"/>
        <v>-12</v>
      </c>
      <c r="AT357" s="17">
        <f t="shared" si="6"/>
        <v>-11</v>
      </c>
      <c r="AU357" s="17">
        <f t="shared" si="6"/>
        <v>-10</v>
      </c>
      <c r="AV357" s="17">
        <f t="shared" si="6"/>
        <v>-9</v>
      </c>
      <c r="AW357" s="17">
        <f t="shared" si="6"/>
        <v>-8</v>
      </c>
      <c r="AX357" s="17">
        <f t="shared" si="6"/>
        <v>-7</v>
      </c>
      <c r="AY357" s="17">
        <f t="shared" si="6"/>
        <v>-6</v>
      </c>
      <c r="AZ357" s="17">
        <f t="shared" si="6"/>
        <v>-5</v>
      </c>
      <c r="BA357" s="17">
        <f t="shared" si="6"/>
        <v>-4</v>
      </c>
      <c r="BB357" s="17">
        <f t="shared" si="6"/>
        <v>-3</v>
      </c>
      <c r="BC357" s="17">
        <f t="shared" si="6"/>
        <v>-2</v>
      </c>
      <c r="BD357" s="17">
        <f t="shared" si="6"/>
        <v>-1</v>
      </c>
      <c r="BE357" s="17">
        <f t="shared" si="6"/>
        <v>0</v>
      </c>
      <c r="BF357" s="17">
        <f t="shared" si="6"/>
        <v>1</v>
      </c>
      <c r="BG357" s="17">
        <f t="shared" si="6"/>
        <v>2</v>
      </c>
      <c r="BH357" s="17">
        <f t="shared" si="6"/>
        <v>3</v>
      </c>
      <c r="BI357" s="17">
        <f t="shared" si="6"/>
        <v>4</v>
      </c>
      <c r="BJ357" s="17">
        <f t="shared" si="6"/>
        <v>5</v>
      </c>
      <c r="BK357" s="17">
        <f t="shared" si="6"/>
        <v>6</v>
      </c>
      <c r="BL357" s="17">
        <f t="shared" si="6"/>
        <v>7</v>
      </c>
      <c r="BM357" s="17">
        <f t="shared" si="6"/>
        <v>8</v>
      </c>
      <c r="BN357" s="17">
        <f t="shared" si="6"/>
        <v>9</v>
      </c>
      <c r="BO357" s="17">
        <f t="shared" si="6"/>
        <v>10</v>
      </c>
      <c r="BP357" s="17">
        <f t="shared" si="6"/>
        <v>11</v>
      </c>
      <c r="BQ357" s="17">
        <f t="shared" si="6"/>
        <v>12</v>
      </c>
      <c r="BR357" s="17">
        <f t="shared" si="6"/>
        <v>13</v>
      </c>
      <c r="BS357" s="17">
        <f t="shared" ref="BS357:DB357" si="7">BS1</f>
        <v>14</v>
      </c>
      <c r="BT357" s="17">
        <f t="shared" si="7"/>
        <v>15</v>
      </c>
      <c r="BU357" s="17">
        <f t="shared" si="7"/>
        <v>16</v>
      </c>
      <c r="BV357" s="17">
        <f t="shared" si="7"/>
        <v>17</v>
      </c>
      <c r="BW357" s="17">
        <f t="shared" si="7"/>
        <v>18</v>
      </c>
      <c r="BX357" s="17">
        <f t="shared" si="7"/>
        <v>19</v>
      </c>
      <c r="BY357" s="17">
        <f t="shared" si="7"/>
        <v>20</v>
      </c>
      <c r="BZ357" s="17">
        <f t="shared" si="7"/>
        <v>21</v>
      </c>
      <c r="CA357" s="17">
        <f t="shared" si="7"/>
        <v>22</v>
      </c>
      <c r="CB357" s="17">
        <f t="shared" si="7"/>
        <v>23</v>
      </c>
      <c r="CC357" s="17">
        <f t="shared" si="7"/>
        <v>24</v>
      </c>
      <c r="CD357" s="17">
        <f t="shared" si="7"/>
        <v>25</v>
      </c>
      <c r="CE357" s="17">
        <f t="shared" si="7"/>
        <v>26</v>
      </c>
      <c r="CF357" s="17">
        <f t="shared" si="7"/>
        <v>27</v>
      </c>
      <c r="CG357" s="17">
        <f t="shared" si="7"/>
        <v>28</v>
      </c>
      <c r="CH357" s="17">
        <f t="shared" si="7"/>
        <v>29</v>
      </c>
      <c r="CI357" s="17">
        <f t="shared" si="7"/>
        <v>30</v>
      </c>
      <c r="CJ357" s="17">
        <f t="shared" si="7"/>
        <v>31</v>
      </c>
      <c r="CK357" s="17">
        <f t="shared" si="7"/>
        <v>32</v>
      </c>
      <c r="CL357" s="17">
        <f t="shared" si="7"/>
        <v>33</v>
      </c>
      <c r="CM357" s="17">
        <f t="shared" si="7"/>
        <v>34</v>
      </c>
      <c r="CN357" s="17">
        <f t="shared" si="7"/>
        <v>35</v>
      </c>
      <c r="CO357" s="17">
        <f t="shared" si="7"/>
        <v>36</v>
      </c>
      <c r="CP357" s="17">
        <f t="shared" si="7"/>
        <v>37</v>
      </c>
      <c r="CQ357" s="17">
        <f t="shared" si="7"/>
        <v>38</v>
      </c>
      <c r="CR357" s="17">
        <f t="shared" si="7"/>
        <v>39</v>
      </c>
      <c r="CS357" s="17">
        <f t="shared" si="7"/>
        <v>40</v>
      </c>
      <c r="CT357" s="17">
        <f t="shared" si="7"/>
        <v>41</v>
      </c>
      <c r="CU357" s="17">
        <f t="shared" si="7"/>
        <v>42</v>
      </c>
      <c r="CV357" s="17">
        <f t="shared" si="7"/>
        <v>43</v>
      </c>
      <c r="CW357" s="17">
        <f t="shared" si="7"/>
        <v>44</v>
      </c>
      <c r="CX357" s="17">
        <f t="shared" si="7"/>
        <v>45</v>
      </c>
      <c r="CY357" s="17">
        <f t="shared" si="7"/>
        <v>46</v>
      </c>
      <c r="CZ357" s="17">
        <f t="shared" si="7"/>
        <v>47</v>
      </c>
      <c r="DA357" s="17">
        <f t="shared" si="7"/>
        <v>48</v>
      </c>
      <c r="DB357" s="17">
        <f t="shared" si="7"/>
        <v>49</v>
      </c>
      <c r="DD357" s="12">
        <f>DD359+1</f>
        <v>1</v>
      </c>
      <c r="DF357" s="17">
        <f ca="1">INDEX(G$358:DB$358,1,51+DD357)</f>
        <v>1975</v>
      </c>
      <c r="DG357" s="17">
        <f ca="1">DF357+DG359</f>
        <v>6084</v>
      </c>
      <c r="DH357" s="17">
        <f ca="1">-DF359/DG357</f>
        <v>-0.2460552268244576</v>
      </c>
      <c r="DI357" s="17">
        <f ca="1">IF(DH357&lt;-1,-1,DH357)</f>
        <v>-0.2460552268244576</v>
      </c>
    </row>
    <row r="358" spans="1:132" s="20" customFormat="1" x14ac:dyDescent="0.25">
      <c r="A358" s="17" t="str">
        <f>Normalår!D1</f>
        <v>Ale</v>
      </c>
      <c r="B358" s="20" t="str">
        <f t="shared" ref="B358:AG358" ca="1" si="8">OFFSET(B1,$B$357-1,0,1,1)</f>
        <v>Ale</v>
      </c>
      <c r="C358" s="20" t="str">
        <f t="shared" ca="1" si="8"/>
        <v>1981-2010</v>
      </c>
      <c r="D358" s="20" t="str">
        <f t="shared" ca="1" si="8"/>
        <v>57.9159</v>
      </c>
      <c r="E358" s="20" t="str">
        <f t="shared" ca="1" si="8"/>
        <v>12.06395</v>
      </c>
      <c r="F358" s="20">
        <f t="shared" ca="1" si="8"/>
        <v>102252</v>
      </c>
      <c r="G358" s="20">
        <f t="shared" ca="1" si="8"/>
        <v>0</v>
      </c>
      <c r="H358" s="20">
        <f t="shared" ca="1" si="8"/>
        <v>0</v>
      </c>
      <c r="I358" s="20">
        <f t="shared" ca="1" si="8"/>
        <v>0</v>
      </c>
      <c r="J358" s="20">
        <f t="shared" ca="1" si="8"/>
        <v>0</v>
      </c>
      <c r="K358" s="20">
        <f t="shared" ca="1" si="8"/>
        <v>0</v>
      </c>
      <c r="L358" s="20">
        <f t="shared" ca="1" si="8"/>
        <v>0</v>
      </c>
      <c r="M358" s="20">
        <f t="shared" ca="1" si="8"/>
        <v>0</v>
      </c>
      <c r="N358" s="20">
        <f t="shared" ca="1" si="8"/>
        <v>0</v>
      </c>
      <c r="O358" s="20">
        <f t="shared" ca="1" si="8"/>
        <v>0</v>
      </c>
      <c r="P358" s="20">
        <f t="shared" ca="1" si="8"/>
        <v>0</v>
      </c>
      <c r="Q358" s="20">
        <f t="shared" ca="1" si="8"/>
        <v>0</v>
      </c>
      <c r="R358" s="20">
        <f t="shared" ca="1" si="8"/>
        <v>0</v>
      </c>
      <c r="S358" s="20">
        <f t="shared" ca="1" si="8"/>
        <v>0</v>
      </c>
      <c r="T358" s="20">
        <f t="shared" ca="1" si="8"/>
        <v>0</v>
      </c>
      <c r="U358" s="20">
        <f t="shared" ca="1" si="8"/>
        <v>0</v>
      </c>
      <c r="V358" s="20">
        <f t="shared" ca="1" si="8"/>
        <v>0</v>
      </c>
      <c r="W358" s="20">
        <f t="shared" ca="1" si="8"/>
        <v>0</v>
      </c>
      <c r="X358" s="20">
        <f t="shared" ca="1" si="8"/>
        <v>0</v>
      </c>
      <c r="Y358" s="20">
        <f t="shared" ca="1" si="8"/>
        <v>0</v>
      </c>
      <c r="Z358" s="20">
        <f t="shared" ca="1" si="8"/>
        <v>0</v>
      </c>
      <c r="AA358" s="20">
        <f t="shared" ca="1" si="8"/>
        <v>0</v>
      </c>
      <c r="AB358" s="20">
        <f t="shared" ca="1" si="8"/>
        <v>0</v>
      </c>
      <c r="AC358" s="20">
        <f t="shared" ca="1" si="8"/>
        <v>0</v>
      </c>
      <c r="AD358" s="20">
        <f t="shared" ca="1" si="8"/>
        <v>0</v>
      </c>
      <c r="AE358" s="20">
        <f t="shared" ca="1" si="8"/>
        <v>0</v>
      </c>
      <c r="AF358" s="20">
        <f t="shared" ca="1" si="8"/>
        <v>0</v>
      </c>
      <c r="AG358" s="20">
        <f t="shared" ca="1" si="8"/>
        <v>0</v>
      </c>
      <c r="AH358" s="20">
        <f t="shared" ref="AH358:BM358" ca="1" si="9">OFFSET(AH1,$B$357-1,0,1,1)</f>
        <v>0</v>
      </c>
      <c r="AI358" s="20">
        <f t="shared" ca="1" si="9"/>
        <v>0</v>
      </c>
      <c r="AJ358" s="20">
        <f t="shared" ca="1" si="9"/>
        <v>0</v>
      </c>
      <c r="AK358" s="20">
        <f t="shared" ca="1" si="9"/>
        <v>0</v>
      </c>
      <c r="AL358" s="20">
        <f t="shared" ca="1" si="9"/>
        <v>0</v>
      </c>
      <c r="AM358" s="20">
        <f t="shared" ca="1" si="9"/>
        <v>0</v>
      </c>
      <c r="AN358" s="20">
        <f t="shared" ca="1" si="9"/>
        <v>0</v>
      </c>
      <c r="AO358" s="20">
        <f t="shared" ca="1" si="9"/>
        <v>6</v>
      </c>
      <c r="AP358" s="20">
        <f t="shared" ca="1" si="9"/>
        <v>9</v>
      </c>
      <c r="AQ358" s="20">
        <f t="shared" ca="1" si="9"/>
        <v>10</v>
      </c>
      <c r="AR358" s="20">
        <f t="shared" ca="1" si="9"/>
        <v>19</v>
      </c>
      <c r="AS358" s="20">
        <f t="shared" ca="1" si="9"/>
        <v>32</v>
      </c>
      <c r="AT358" s="20">
        <f t="shared" ca="1" si="9"/>
        <v>41</v>
      </c>
      <c r="AU358" s="20">
        <f t="shared" ca="1" si="9"/>
        <v>53</v>
      </c>
      <c r="AV358" s="20">
        <f t="shared" ca="1" si="9"/>
        <v>76</v>
      </c>
      <c r="AW358" s="20">
        <f t="shared" ca="1" si="9"/>
        <v>117</v>
      </c>
      <c r="AX358" s="20">
        <f t="shared" ca="1" si="9"/>
        <v>167</v>
      </c>
      <c r="AY358" s="20">
        <f t="shared" ca="1" si="9"/>
        <v>231</v>
      </c>
      <c r="AZ358" s="20">
        <f t="shared" ca="1" si="9"/>
        <v>305</v>
      </c>
      <c r="BA358" s="20">
        <f t="shared" ca="1" si="9"/>
        <v>424</v>
      </c>
      <c r="BB358" s="20">
        <f t="shared" ca="1" si="9"/>
        <v>604</v>
      </c>
      <c r="BC358" s="20">
        <f t="shared" ca="1" si="9"/>
        <v>864</v>
      </c>
      <c r="BD358" s="20">
        <f t="shared" ca="1" si="9"/>
        <v>1151</v>
      </c>
      <c r="BE358" s="20">
        <f t="shared" ca="1" si="9"/>
        <v>1497</v>
      </c>
      <c r="BF358" s="20">
        <f t="shared" ca="1" si="9"/>
        <v>1975</v>
      </c>
      <c r="BG358" s="20">
        <f t="shared" ca="1" si="9"/>
        <v>2403</v>
      </c>
      <c r="BH358" s="20">
        <f t="shared" ca="1" si="9"/>
        <v>2850</v>
      </c>
      <c r="BI358" s="20">
        <f t="shared" ca="1" si="9"/>
        <v>3223</v>
      </c>
      <c r="BJ358" s="20">
        <f t="shared" ca="1" si="9"/>
        <v>3654</v>
      </c>
      <c r="BK358" s="20">
        <f t="shared" ca="1" si="9"/>
        <v>4183</v>
      </c>
      <c r="BL358" s="20">
        <f t="shared" ca="1" si="9"/>
        <v>4575</v>
      </c>
      <c r="BM358" s="20">
        <f t="shared" ca="1" si="9"/>
        <v>4928</v>
      </c>
      <c r="BN358" s="20">
        <f t="shared" ref="BN358:CS358" ca="1" si="10">OFFSET(BN1,$B$357-1,0,1,1)</f>
        <v>5359</v>
      </c>
      <c r="BO358" s="20">
        <f t="shared" ca="1" si="10"/>
        <v>5775</v>
      </c>
      <c r="BP358" s="20">
        <f t="shared" ca="1" si="10"/>
        <v>6132</v>
      </c>
      <c r="BQ358" s="20">
        <f t="shared" ca="1" si="10"/>
        <v>6502</v>
      </c>
      <c r="BR358" s="20">
        <f t="shared" ca="1" si="10"/>
        <v>6858</v>
      </c>
      <c r="BS358" s="20">
        <f t="shared" ca="1" si="10"/>
        <v>7263</v>
      </c>
      <c r="BT358" s="20">
        <f t="shared" ca="1" si="10"/>
        <v>7643</v>
      </c>
      <c r="BU358" s="20">
        <f t="shared" ca="1" si="10"/>
        <v>7918</v>
      </c>
      <c r="BV358" s="20">
        <f t="shared" ca="1" si="10"/>
        <v>8130</v>
      </c>
      <c r="BW358" s="20">
        <f t="shared" ca="1" si="10"/>
        <v>8307</v>
      </c>
      <c r="BX358" s="20">
        <f t="shared" ca="1" si="10"/>
        <v>8442</v>
      </c>
      <c r="BY358" s="20">
        <f ca="1">OFFSET(BY1,$B$357-1,0,1,1)</f>
        <v>8525</v>
      </c>
      <c r="BZ358" s="20">
        <f t="shared" ca="1" si="10"/>
        <v>8588</v>
      </c>
      <c r="CA358" s="20">
        <f t="shared" ca="1" si="10"/>
        <v>8644</v>
      </c>
      <c r="CB358" s="20">
        <f t="shared" ca="1" si="10"/>
        <v>8681</v>
      </c>
      <c r="CC358" s="20">
        <f t="shared" ca="1" si="10"/>
        <v>8702</v>
      </c>
      <c r="CD358" s="20">
        <f t="shared" ca="1" si="10"/>
        <v>8729</v>
      </c>
      <c r="CE358" s="20">
        <f t="shared" ca="1" si="10"/>
        <v>8744</v>
      </c>
      <c r="CF358" s="20">
        <f t="shared" ca="1" si="10"/>
        <v>8752</v>
      </c>
      <c r="CG358" s="20">
        <f t="shared" ca="1" si="10"/>
        <v>8760</v>
      </c>
      <c r="CH358" s="20">
        <f t="shared" ca="1" si="10"/>
        <v>8760</v>
      </c>
      <c r="CI358" s="20">
        <f t="shared" ca="1" si="10"/>
        <v>8760</v>
      </c>
      <c r="CJ358" s="20">
        <f t="shared" ca="1" si="10"/>
        <v>8760</v>
      </c>
      <c r="CK358" s="20">
        <f t="shared" ca="1" si="10"/>
        <v>8760</v>
      </c>
      <c r="CL358" s="20">
        <f t="shared" ca="1" si="10"/>
        <v>8760</v>
      </c>
      <c r="CM358" s="20">
        <f t="shared" ca="1" si="10"/>
        <v>8760</v>
      </c>
      <c r="CN358" s="20">
        <f t="shared" ca="1" si="10"/>
        <v>8760</v>
      </c>
      <c r="CO358" s="20">
        <f t="shared" ca="1" si="10"/>
        <v>8760</v>
      </c>
      <c r="CP358" s="20">
        <f t="shared" ca="1" si="10"/>
        <v>8760</v>
      </c>
      <c r="CQ358" s="20">
        <f t="shared" ca="1" si="10"/>
        <v>8760</v>
      </c>
      <c r="CR358" s="20">
        <f t="shared" ca="1" si="10"/>
        <v>8760</v>
      </c>
      <c r="CS358" s="20">
        <f t="shared" ca="1" si="10"/>
        <v>8760</v>
      </c>
      <c r="CT358" s="20">
        <f t="shared" ref="CT358:DB358" ca="1" si="11">OFFSET(CT1,$B$357-1,0,1,1)</f>
        <v>8760</v>
      </c>
      <c r="CU358" s="20">
        <f t="shared" ca="1" si="11"/>
        <v>8760</v>
      </c>
      <c r="CV358" s="20">
        <f t="shared" ca="1" si="11"/>
        <v>8760</v>
      </c>
      <c r="CW358" s="20">
        <f t="shared" ca="1" si="11"/>
        <v>8760</v>
      </c>
      <c r="CX358" s="20">
        <f t="shared" ca="1" si="11"/>
        <v>8760</v>
      </c>
      <c r="CY358" s="20">
        <f t="shared" ca="1" si="11"/>
        <v>8760</v>
      </c>
      <c r="CZ358" s="20">
        <f t="shared" ca="1" si="11"/>
        <v>8760</v>
      </c>
      <c r="DA358" s="20">
        <f t="shared" ca="1" si="11"/>
        <v>8760</v>
      </c>
      <c r="DB358" s="20">
        <f t="shared" ca="1" si="11"/>
        <v>8760</v>
      </c>
      <c r="DD358" s="20" t="s">
        <v>1041</v>
      </c>
      <c r="DF358" s="20">
        <v>0</v>
      </c>
      <c r="EB358" s="16"/>
    </row>
    <row r="359" spans="1:132" s="17" customFormat="1" x14ac:dyDescent="0.25">
      <c r="G359" s="17">
        <f t="shared" ref="G359:P368" ca="1" si="12">IF(G$1&lt;$DD359,G$358,0)</f>
        <v>0</v>
      </c>
      <c r="H359" s="17">
        <f t="shared" ca="1" si="12"/>
        <v>0</v>
      </c>
      <c r="I359" s="17">
        <f t="shared" ca="1" si="12"/>
        <v>0</v>
      </c>
      <c r="J359" s="17">
        <f t="shared" ca="1" si="12"/>
        <v>0</v>
      </c>
      <c r="K359" s="17">
        <f t="shared" ca="1" si="12"/>
        <v>0</v>
      </c>
      <c r="L359" s="17">
        <f t="shared" ca="1" si="12"/>
        <v>0</v>
      </c>
      <c r="M359" s="17">
        <f t="shared" ca="1" si="12"/>
        <v>0</v>
      </c>
      <c r="N359" s="17">
        <f t="shared" ca="1" si="12"/>
        <v>0</v>
      </c>
      <c r="O359" s="17">
        <f t="shared" ca="1" si="12"/>
        <v>0</v>
      </c>
      <c r="P359" s="17">
        <f t="shared" ca="1" si="12"/>
        <v>0</v>
      </c>
      <c r="Q359" s="17">
        <f t="shared" ref="Q359:Z368" ca="1" si="13">IF(Q$1&lt;$DD359,Q$358,0)</f>
        <v>0</v>
      </c>
      <c r="R359" s="17">
        <f t="shared" ca="1" si="13"/>
        <v>0</v>
      </c>
      <c r="S359" s="17">
        <f t="shared" ca="1" si="13"/>
        <v>0</v>
      </c>
      <c r="T359" s="17">
        <f t="shared" ca="1" si="13"/>
        <v>0</v>
      </c>
      <c r="U359" s="17">
        <f t="shared" ca="1" si="13"/>
        <v>0</v>
      </c>
      <c r="V359" s="17">
        <f t="shared" ca="1" si="13"/>
        <v>0</v>
      </c>
      <c r="W359" s="17">
        <f t="shared" ca="1" si="13"/>
        <v>0</v>
      </c>
      <c r="X359" s="17">
        <f t="shared" ca="1" si="13"/>
        <v>0</v>
      </c>
      <c r="Y359" s="17">
        <f t="shared" ca="1" si="13"/>
        <v>0</v>
      </c>
      <c r="Z359" s="17">
        <f t="shared" ca="1" si="13"/>
        <v>0</v>
      </c>
      <c r="AA359" s="17">
        <f t="shared" ref="AA359:AJ368" ca="1" si="14">IF(AA$1&lt;$DD359,AA$358,0)</f>
        <v>0</v>
      </c>
      <c r="AB359" s="17">
        <f t="shared" ca="1" si="14"/>
        <v>0</v>
      </c>
      <c r="AC359" s="17">
        <f t="shared" ca="1" si="14"/>
        <v>0</v>
      </c>
      <c r="AD359" s="17">
        <f t="shared" ca="1" si="14"/>
        <v>0</v>
      </c>
      <c r="AE359" s="17">
        <f t="shared" ca="1" si="14"/>
        <v>0</v>
      </c>
      <c r="AF359" s="17">
        <f t="shared" ca="1" si="14"/>
        <v>0</v>
      </c>
      <c r="AG359" s="17">
        <f t="shared" ca="1" si="14"/>
        <v>0</v>
      </c>
      <c r="AH359" s="17">
        <f t="shared" ca="1" si="14"/>
        <v>0</v>
      </c>
      <c r="AI359" s="17">
        <f t="shared" ca="1" si="14"/>
        <v>0</v>
      </c>
      <c r="AJ359" s="17">
        <f t="shared" ca="1" si="14"/>
        <v>0</v>
      </c>
      <c r="AK359" s="17">
        <f t="shared" ref="AK359:AT368" ca="1" si="15">IF(AK$1&lt;$DD359,AK$358,0)</f>
        <v>0</v>
      </c>
      <c r="AL359" s="17">
        <f t="shared" ca="1" si="15"/>
        <v>0</v>
      </c>
      <c r="AM359" s="17">
        <f t="shared" ca="1" si="15"/>
        <v>0</v>
      </c>
      <c r="AN359" s="17">
        <f t="shared" ca="1" si="15"/>
        <v>0</v>
      </c>
      <c r="AO359" s="17">
        <f t="shared" ca="1" si="15"/>
        <v>6</v>
      </c>
      <c r="AP359" s="17">
        <f t="shared" ca="1" si="15"/>
        <v>9</v>
      </c>
      <c r="AQ359" s="17">
        <f t="shared" ca="1" si="15"/>
        <v>10</v>
      </c>
      <c r="AR359" s="17">
        <f t="shared" ca="1" si="15"/>
        <v>19</v>
      </c>
      <c r="AS359" s="17">
        <f t="shared" ca="1" si="15"/>
        <v>32</v>
      </c>
      <c r="AT359" s="17">
        <f t="shared" ca="1" si="15"/>
        <v>41</v>
      </c>
      <c r="AU359" s="17">
        <f t="shared" ref="AU359:BD368" ca="1" si="16">IF(AU$1&lt;$DD359,AU$358,0)</f>
        <v>53</v>
      </c>
      <c r="AV359" s="17">
        <f t="shared" ca="1" si="16"/>
        <v>76</v>
      </c>
      <c r="AW359" s="17">
        <f t="shared" ca="1" si="16"/>
        <v>117</v>
      </c>
      <c r="AX359" s="17">
        <f t="shared" ca="1" si="16"/>
        <v>167</v>
      </c>
      <c r="AY359" s="17">
        <f t="shared" ca="1" si="16"/>
        <v>231</v>
      </c>
      <c r="AZ359" s="17">
        <f t="shared" ca="1" si="16"/>
        <v>305</v>
      </c>
      <c r="BA359" s="17">
        <f t="shared" ca="1" si="16"/>
        <v>424</v>
      </c>
      <c r="BB359" s="17">
        <f t="shared" ca="1" si="16"/>
        <v>604</v>
      </c>
      <c r="BC359" s="17">
        <f t="shared" ca="1" si="16"/>
        <v>864</v>
      </c>
      <c r="BD359" s="17">
        <f t="shared" ca="1" si="16"/>
        <v>1151</v>
      </c>
      <c r="BE359" s="17">
        <f t="shared" ref="BE359:BN368" si="17">IF(BE$1&lt;$DD359,BE$358,0)</f>
        <v>0</v>
      </c>
      <c r="BF359" s="17">
        <f t="shared" si="17"/>
        <v>0</v>
      </c>
      <c r="BG359" s="17">
        <f t="shared" si="17"/>
        <v>0</v>
      </c>
      <c r="BH359" s="17">
        <f t="shared" si="17"/>
        <v>0</v>
      </c>
      <c r="BI359" s="17">
        <f t="shared" si="17"/>
        <v>0</v>
      </c>
      <c r="BJ359" s="17">
        <f t="shared" si="17"/>
        <v>0</v>
      </c>
      <c r="BK359" s="17">
        <f t="shared" si="17"/>
        <v>0</v>
      </c>
      <c r="BL359" s="17">
        <f t="shared" si="17"/>
        <v>0</v>
      </c>
      <c r="BM359" s="17">
        <f t="shared" si="17"/>
        <v>0</v>
      </c>
      <c r="BN359" s="17">
        <f t="shared" si="17"/>
        <v>0</v>
      </c>
      <c r="BO359" s="17">
        <f t="shared" ref="BO359:BX368" si="18">IF(BO$1&lt;$DD359,BO$358,0)</f>
        <v>0</v>
      </c>
      <c r="BP359" s="17">
        <f t="shared" si="18"/>
        <v>0</v>
      </c>
      <c r="BQ359" s="17">
        <f t="shared" si="18"/>
        <v>0</v>
      </c>
      <c r="BR359" s="17">
        <f t="shared" si="18"/>
        <v>0</v>
      </c>
      <c r="BS359" s="17">
        <f t="shared" si="18"/>
        <v>0</v>
      </c>
      <c r="BT359" s="17">
        <f t="shared" si="18"/>
        <v>0</v>
      </c>
      <c r="BU359" s="17">
        <f t="shared" si="18"/>
        <v>0</v>
      </c>
      <c r="BV359" s="17">
        <f t="shared" si="18"/>
        <v>0</v>
      </c>
      <c r="BW359" s="17">
        <f t="shared" si="18"/>
        <v>0</v>
      </c>
      <c r="BX359" s="17">
        <f t="shared" si="18"/>
        <v>0</v>
      </c>
      <c r="BY359" s="17">
        <f t="shared" ref="BY359:CH368" si="19">IF(BY$1&lt;$DD359,BY$358,0)</f>
        <v>0</v>
      </c>
      <c r="BZ359" s="17">
        <f t="shared" si="19"/>
        <v>0</v>
      </c>
      <c r="CA359" s="17">
        <f t="shared" si="19"/>
        <v>0</v>
      </c>
      <c r="CB359" s="17">
        <f t="shared" si="19"/>
        <v>0</v>
      </c>
      <c r="CC359" s="17">
        <f t="shared" si="19"/>
        <v>0</v>
      </c>
      <c r="CD359" s="17">
        <f t="shared" si="19"/>
        <v>0</v>
      </c>
      <c r="CE359" s="17">
        <f t="shared" si="19"/>
        <v>0</v>
      </c>
      <c r="CF359" s="17">
        <f t="shared" si="19"/>
        <v>0</v>
      </c>
      <c r="CG359" s="17">
        <f t="shared" si="19"/>
        <v>0</v>
      </c>
      <c r="CH359" s="17">
        <f t="shared" si="19"/>
        <v>0</v>
      </c>
      <c r="CI359" s="17">
        <f t="shared" ref="CI359:CR368" si="20">IF(CI$1&lt;$DD359,CI$358,0)</f>
        <v>0</v>
      </c>
      <c r="CJ359" s="17">
        <f t="shared" si="20"/>
        <v>0</v>
      </c>
      <c r="CK359" s="17">
        <f t="shared" si="20"/>
        <v>0</v>
      </c>
      <c r="CL359" s="17">
        <f t="shared" si="20"/>
        <v>0</v>
      </c>
      <c r="CM359" s="17">
        <f t="shared" si="20"/>
        <v>0</v>
      </c>
      <c r="CN359" s="17">
        <f t="shared" si="20"/>
        <v>0</v>
      </c>
      <c r="CO359" s="17">
        <f t="shared" si="20"/>
        <v>0</v>
      </c>
      <c r="CP359" s="17">
        <f t="shared" si="20"/>
        <v>0</v>
      </c>
      <c r="CQ359" s="17">
        <f t="shared" si="20"/>
        <v>0</v>
      </c>
      <c r="CR359" s="17">
        <f t="shared" si="20"/>
        <v>0</v>
      </c>
      <c r="CS359" s="17">
        <f t="shared" ref="CS359:DB368" si="21">IF(CS$1&lt;$DD359,CS$358,0)</f>
        <v>0</v>
      </c>
      <c r="CT359" s="17">
        <f t="shared" si="21"/>
        <v>0</v>
      </c>
      <c r="CU359" s="17">
        <f t="shared" si="21"/>
        <v>0</v>
      </c>
      <c r="CV359" s="17">
        <f t="shared" si="21"/>
        <v>0</v>
      </c>
      <c r="CW359" s="17">
        <f t="shared" si="21"/>
        <v>0</v>
      </c>
      <c r="CX359" s="17">
        <f t="shared" si="21"/>
        <v>0</v>
      </c>
      <c r="CY359" s="17">
        <f t="shared" si="21"/>
        <v>0</v>
      </c>
      <c r="CZ359" s="17">
        <f t="shared" si="21"/>
        <v>0</v>
      </c>
      <c r="DA359" s="17">
        <f t="shared" si="21"/>
        <v>0</v>
      </c>
      <c r="DB359" s="17">
        <f t="shared" si="21"/>
        <v>0</v>
      </c>
      <c r="DD359" s="174">
        <f>Mätvärden!$BO$7</f>
        <v>0</v>
      </c>
      <c r="DF359" s="17">
        <f ca="1">INDEX(G$358:DB$358,1,51+DD359)</f>
        <v>1497</v>
      </c>
      <c r="DG359" s="17">
        <f ca="1">SUM(G359:DB359)</f>
        <v>4109</v>
      </c>
      <c r="DH359" s="17">
        <v>0</v>
      </c>
      <c r="DI359" s="17">
        <v>0</v>
      </c>
      <c r="DK359" s="19" t="s">
        <v>1042</v>
      </c>
    </row>
    <row r="360" spans="1:132" s="17" customFormat="1" x14ac:dyDescent="0.25">
      <c r="G360" s="17">
        <f t="shared" ca="1" si="12"/>
        <v>0</v>
      </c>
      <c r="H360" s="17">
        <f t="shared" ca="1" si="12"/>
        <v>0</v>
      </c>
      <c r="I360" s="17">
        <f t="shared" ca="1" si="12"/>
        <v>0</v>
      </c>
      <c r="J360" s="17">
        <f t="shared" ca="1" si="12"/>
        <v>0</v>
      </c>
      <c r="K360" s="17">
        <f t="shared" ca="1" si="12"/>
        <v>0</v>
      </c>
      <c r="L360" s="17">
        <f t="shared" ca="1" si="12"/>
        <v>0</v>
      </c>
      <c r="M360" s="17">
        <f t="shared" ca="1" si="12"/>
        <v>0</v>
      </c>
      <c r="N360" s="17">
        <f t="shared" ca="1" si="12"/>
        <v>0</v>
      </c>
      <c r="O360" s="17">
        <f t="shared" ca="1" si="12"/>
        <v>0</v>
      </c>
      <c r="P360" s="17">
        <f t="shared" ca="1" si="12"/>
        <v>0</v>
      </c>
      <c r="Q360" s="17">
        <f t="shared" ca="1" si="13"/>
        <v>0</v>
      </c>
      <c r="R360" s="17">
        <f t="shared" ca="1" si="13"/>
        <v>0</v>
      </c>
      <c r="S360" s="17">
        <f t="shared" ca="1" si="13"/>
        <v>0</v>
      </c>
      <c r="T360" s="17">
        <f t="shared" ca="1" si="13"/>
        <v>0</v>
      </c>
      <c r="U360" s="17">
        <f t="shared" ca="1" si="13"/>
        <v>0</v>
      </c>
      <c r="V360" s="17">
        <f t="shared" ca="1" si="13"/>
        <v>0</v>
      </c>
      <c r="W360" s="17">
        <f t="shared" ca="1" si="13"/>
        <v>0</v>
      </c>
      <c r="X360" s="17">
        <f t="shared" ca="1" si="13"/>
        <v>0</v>
      </c>
      <c r="Y360" s="17">
        <f t="shared" ca="1" si="13"/>
        <v>0</v>
      </c>
      <c r="Z360" s="17">
        <f t="shared" ca="1" si="13"/>
        <v>0</v>
      </c>
      <c r="AA360" s="17">
        <f t="shared" ca="1" si="14"/>
        <v>0</v>
      </c>
      <c r="AB360" s="17">
        <f t="shared" ca="1" si="14"/>
        <v>0</v>
      </c>
      <c r="AC360" s="17">
        <f t="shared" ca="1" si="14"/>
        <v>0</v>
      </c>
      <c r="AD360" s="17">
        <f t="shared" ca="1" si="14"/>
        <v>0</v>
      </c>
      <c r="AE360" s="17">
        <f t="shared" ca="1" si="14"/>
        <v>0</v>
      </c>
      <c r="AF360" s="17">
        <f t="shared" ca="1" si="14"/>
        <v>0</v>
      </c>
      <c r="AG360" s="17">
        <f t="shared" ca="1" si="14"/>
        <v>0</v>
      </c>
      <c r="AH360" s="17">
        <f t="shared" ca="1" si="14"/>
        <v>0</v>
      </c>
      <c r="AI360" s="17">
        <f t="shared" ca="1" si="14"/>
        <v>0</v>
      </c>
      <c r="AJ360" s="17">
        <f t="shared" ca="1" si="14"/>
        <v>0</v>
      </c>
      <c r="AK360" s="17">
        <f t="shared" ca="1" si="15"/>
        <v>0</v>
      </c>
      <c r="AL360" s="17">
        <f t="shared" ca="1" si="15"/>
        <v>0</v>
      </c>
      <c r="AM360" s="17">
        <f t="shared" ca="1" si="15"/>
        <v>0</v>
      </c>
      <c r="AN360" s="17">
        <f t="shared" ca="1" si="15"/>
        <v>0</v>
      </c>
      <c r="AO360" s="17">
        <f t="shared" ca="1" si="15"/>
        <v>6</v>
      </c>
      <c r="AP360" s="17">
        <f t="shared" ca="1" si="15"/>
        <v>9</v>
      </c>
      <c r="AQ360" s="17">
        <f t="shared" ca="1" si="15"/>
        <v>10</v>
      </c>
      <c r="AR360" s="17">
        <f t="shared" ca="1" si="15"/>
        <v>19</v>
      </c>
      <c r="AS360" s="17">
        <f t="shared" ca="1" si="15"/>
        <v>32</v>
      </c>
      <c r="AT360" s="17">
        <f t="shared" ca="1" si="15"/>
        <v>41</v>
      </c>
      <c r="AU360" s="17">
        <f t="shared" ca="1" si="16"/>
        <v>53</v>
      </c>
      <c r="AV360" s="17">
        <f t="shared" ca="1" si="16"/>
        <v>76</v>
      </c>
      <c r="AW360" s="17">
        <f t="shared" ca="1" si="16"/>
        <v>117</v>
      </c>
      <c r="AX360" s="17">
        <f t="shared" ca="1" si="16"/>
        <v>167</v>
      </c>
      <c r="AY360" s="17">
        <f t="shared" ca="1" si="16"/>
        <v>231</v>
      </c>
      <c r="AZ360" s="17">
        <f t="shared" ca="1" si="16"/>
        <v>305</v>
      </c>
      <c r="BA360" s="17">
        <f t="shared" ca="1" si="16"/>
        <v>424</v>
      </c>
      <c r="BB360" s="17">
        <f t="shared" ca="1" si="16"/>
        <v>604</v>
      </c>
      <c r="BC360" s="17">
        <f t="shared" ca="1" si="16"/>
        <v>864</v>
      </c>
      <c r="BD360" s="17">
        <f t="shared" si="16"/>
        <v>0</v>
      </c>
      <c r="BE360" s="17">
        <f t="shared" si="17"/>
        <v>0</v>
      </c>
      <c r="BF360" s="17">
        <f t="shared" si="17"/>
        <v>0</v>
      </c>
      <c r="BG360" s="17">
        <f t="shared" si="17"/>
        <v>0</v>
      </c>
      <c r="BH360" s="17">
        <f t="shared" si="17"/>
        <v>0</v>
      </c>
      <c r="BI360" s="17">
        <f t="shared" si="17"/>
        <v>0</v>
      </c>
      <c r="BJ360" s="17">
        <f t="shared" si="17"/>
        <v>0</v>
      </c>
      <c r="BK360" s="17">
        <f t="shared" si="17"/>
        <v>0</v>
      </c>
      <c r="BL360" s="17">
        <f t="shared" si="17"/>
        <v>0</v>
      </c>
      <c r="BM360" s="17">
        <f t="shared" si="17"/>
        <v>0</v>
      </c>
      <c r="BN360" s="17">
        <f t="shared" si="17"/>
        <v>0</v>
      </c>
      <c r="BO360" s="17">
        <f t="shared" si="18"/>
        <v>0</v>
      </c>
      <c r="BP360" s="17">
        <f t="shared" si="18"/>
        <v>0</v>
      </c>
      <c r="BQ360" s="17">
        <f t="shared" si="18"/>
        <v>0</v>
      </c>
      <c r="BR360" s="17">
        <f t="shared" si="18"/>
        <v>0</v>
      </c>
      <c r="BS360" s="17">
        <f t="shared" si="18"/>
        <v>0</v>
      </c>
      <c r="BT360" s="17">
        <f t="shared" si="18"/>
        <v>0</v>
      </c>
      <c r="BU360" s="17">
        <f t="shared" si="18"/>
        <v>0</v>
      </c>
      <c r="BV360" s="17">
        <f t="shared" si="18"/>
        <v>0</v>
      </c>
      <c r="BW360" s="17">
        <f t="shared" si="18"/>
        <v>0</v>
      </c>
      <c r="BX360" s="17">
        <f t="shared" si="18"/>
        <v>0</v>
      </c>
      <c r="BY360" s="17">
        <f t="shared" si="19"/>
        <v>0</v>
      </c>
      <c r="BZ360" s="17">
        <f t="shared" si="19"/>
        <v>0</v>
      </c>
      <c r="CA360" s="17">
        <f t="shared" si="19"/>
        <v>0</v>
      </c>
      <c r="CB360" s="17">
        <f t="shared" si="19"/>
        <v>0</v>
      </c>
      <c r="CC360" s="17">
        <f t="shared" si="19"/>
        <v>0</v>
      </c>
      <c r="CD360" s="17">
        <f t="shared" si="19"/>
        <v>0</v>
      </c>
      <c r="CE360" s="17">
        <f t="shared" si="19"/>
        <v>0</v>
      </c>
      <c r="CF360" s="17">
        <f t="shared" si="19"/>
        <v>0</v>
      </c>
      <c r="CG360" s="17">
        <f t="shared" si="19"/>
        <v>0</v>
      </c>
      <c r="CH360" s="17">
        <f t="shared" si="19"/>
        <v>0</v>
      </c>
      <c r="CI360" s="17">
        <f t="shared" si="20"/>
        <v>0</v>
      </c>
      <c r="CJ360" s="17">
        <f t="shared" si="20"/>
        <v>0</v>
      </c>
      <c r="CK360" s="17">
        <f t="shared" si="20"/>
        <v>0</v>
      </c>
      <c r="CL360" s="17">
        <f t="shared" si="20"/>
        <v>0</v>
      </c>
      <c r="CM360" s="17">
        <f t="shared" si="20"/>
        <v>0</v>
      </c>
      <c r="CN360" s="17">
        <f t="shared" si="20"/>
        <v>0</v>
      </c>
      <c r="CO360" s="17">
        <f t="shared" si="20"/>
        <v>0</v>
      </c>
      <c r="CP360" s="17">
        <f t="shared" si="20"/>
        <v>0</v>
      </c>
      <c r="CQ360" s="17">
        <f t="shared" si="20"/>
        <v>0</v>
      </c>
      <c r="CR360" s="17">
        <f t="shared" si="20"/>
        <v>0</v>
      </c>
      <c r="CS360" s="17">
        <f t="shared" si="21"/>
        <v>0</v>
      </c>
      <c r="CT360" s="17">
        <f t="shared" si="21"/>
        <v>0</v>
      </c>
      <c r="CU360" s="17">
        <f t="shared" si="21"/>
        <v>0</v>
      </c>
      <c r="CV360" s="17">
        <f t="shared" si="21"/>
        <v>0</v>
      </c>
      <c r="CW360" s="17">
        <f t="shared" si="21"/>
        <v>0</v>
      </c>
      <c r="CX360" s="17">
        <f t="shared" si="21"/>
        <v>0</v>
      </c>
      <c r="CY360" s="17">
        <f t="shared" si="21"/>
        <v>0</v>
      </c>
      <c r="CZ360" s="17">
        <f t="shared" si="21"/>
        <v>0</v>
      </c>
      <c r="DA360" s="17">
        <f t="shared" si="21"/>
        <v>0</v>
      </c>
      <c r="DB360" s="17">
        <f t="shared" si="21"/>
        <v>0</v>
      </c>
      <c r="DD360" s="14">
        <f>DD359-1</f>
        <v>-1</v>
      </c>
      <c r="DF360" s="17">
        <f ca="1">INDEX(G$358:DB$358,1,51+DD360)</f>
        <v>1151</v>
      </c>
      <c r="DG360" s="17">
        <f ca="1">SUM(G360:DB360)</f>
        <v>2958</v>
      </c>
      <c r="DH360" s="17">
        <f ca="1">DF360/DG359</f>
        <v>0.28011681674373329</v>
      </c>
      <c r="DI360" s="17">
        <f ca="1">IF(DH360&gt;1,1,DH360)</f>
        <v>0.28011681674373329</v>
      </c>
      <c r="DK360" s="17">
        <v>1</v>
      </c>
      <c r="DP360" s="21"/>
      <c r="DQ360" s="21"/>
      <c r="DR360" s="21"/>
      <c r="DS360" s="21"/>
      <c r="DT360" s="21"/>
      <c r="DU360" s="21"/>
      <c r="DV360" s="21"/>
      <c r="DW360" s="21"/>
      <c r="DX360" s="21"/>
      <c r="DY360" s="21"/>
      <c r="DZ360" s="21"/>
      <c r="EA360" s="21"/>
    </row>
    <row r="361" spans="1:132" s="17" customFormat="1" x14ac:dyDescent="0.25">
      <c r="G361" s="17">
        <f t="shared" ca="1" si="12"/>
        <v>0</v>
      </c>
      <c r="H361" s="17">
        <f t="shared" ca="1" si="12"/>
        <v>0</v>
      </c>
      <c r="I361" s="17">
        <f t="shared" ca="1" si="12"/>
        <v>0</v>
      </c>
      <c r="J361" s="17">
        <f t="shared" ca="1" si="12"/>
        <v>0</v>
      </c>
      <c r="K361" s="17">
        <f t="shared" ca="1" si="12"/>
        <v>0</v>
      </c>
      <c r="L361" s="17">
        <f t="shared" ca="1" si="12"/>
        <v>0</v>
      </c>
      <c r="M361" s="17">
        <f t="shared" ca="1" si="12"/>
        <v>0</v>
      </c>
      <c r="N361" s="17">
        <f t="shared" ca="1" si="12"/>
        <v>0</v>
      </c>
      <c r="O361" s="17">
        <f t="shared" ca="1" si="12"/>
        <v>0</v>
      </c>
      <c r="P361" s="17">
        <f t="shared" ca="1" si="12"/>
        <v>0</v>
      </c>
      <c r="Q361" s="17">
        <f t="shared" ca="1" si="13"/>
        <v>0</v>
      </c>
      <c r="R361" s="17">
        <f t="shared" ca="1" si="13"/>
        <v>0</v>
      </c>
      <c r="S361" s="17">
        <f t="shared" ca="1" si="13"/>
        <v>0</v>
      </c>
      <c r="T361" s="17">
        <f t="shared" ca="1" si="13"/>
        <v>0</v>
      </c>
      <c r="U361" s="17">
        <f t="shared" ca="1" si="13"/>
        <v>0</v>
      </c>
      <c r="V361" s="17">
        <f t="shared" ca="1" si="13"/>
        <v>0</v>
      </c>
      <c r="W361" s="17">
        <f t="shared" ca="1" si="13"/>
        <v>0</v>
      </c>
      <c r="X361" s="17">
        <f t="shared" ca="1" si="13"/>
        <v>0</v>
      </c>
      <c r="Y361" s="17">
        <f t="shared" ca="1" si="13"/>
        <v>0</v>
      </c>
      <c r="Z361" s="17">
        <f t="shared" ca="1" si="13"/>
        <v>0</v>
      </c>
      <c r="AA361" s="17">
        <f t="shared" ca="1" si="14"/>
        <v>0</v>
      </c>
      <c r="AB361" s="17">
        <f t="shared" ca="1" si="14"/>
        <v>0</v>
      </c>
      <c r="AC361" s="17">
        <f t="shared" ca="1" si="14"/>
        <v>0</v>
      </c>
      <c r="AD361" s="17">
        <f t="shared" ca="1" si="14"/>
        <v>0</v>
      </c>
      <c r="AE361" s="17">
        <f t="shared" ca="1" si="14"/>
        <v>0</v>
      </c>
      <c r="AF361" s="17">
        <f t="shared" ca="1" si="14"/>
        <v>0</v>
      </c>
      <c r="AG361" s="17">
        <f t="shared" ca="1" si="14"/>
        <v>0</v>
      </c>
      <c r="AH361" s="17">
        <f t="shared" ca="1" si="14"/>
        <v>0</v>
      </c>
      <c r="AI361" s="17">
        <f t="shared" ca="1" si="14"/>
        <v>0</v>
      </c>
      <c r="AJ361" s="17">
        <f t="shared" ca="1" si="14"/>
        <v>0</v>
      </c>
      <c r="AK361" s="17">
        <f t="shared" ca="1" si="15"/>
        <v>0</v>
      </c>
      <c r="AL361" s="17">
        <f t="shared" ca="1" si="15"/>
        <v>0</v>
      </c>
      <c r="AM361" s="17">
        <f t="shared" ca="1" si="15"/>
        <v>0</v>
      </c>
      <c r="AN361" s="17">
        <f t="shared" ca="1" si="15"/>
        <v>0</v>
      </c>
      <c r="AO361" s="17">
        <f t="shared" ca="1" si="15"/>
        <v>6</v>
      </c>
      <c r="AP361" s="17">
        <f t="shared" ca="1" si="15"/>
        <v>9</v>
      </c>
      <c r="AQ361" s="17">
        <f t="shared" ca="1" si="15"/>
        <v>10</v>
      </c>
      <c r="AR361" s="17">
        <f t="shared" ca="1" si="15"/>
        <v>19</v>
      </c>
      <c r="AS361" s="17">
        <f t="shared" ca="1" si="15"/>
        <v>32</v>
      </c>
      <c r="AT361" s="17">
        <f t="shared" ca="1" si="15"/>
        <v>41</v>
      </c>
      <c r="AU361" s="17">
        <f t="shared" ca="1" si="16"/>
        <v>53</v>
      </c>
      <c r="AV361" s="17">
        <f t="shared" ca="1" si="16"/>
        <v>76</v>
      </c>
      <c r="AW361" s="17">
        <f t="shared" ca="1" si="16"/>
        <v>117</v>
      </c>
      <c r="AX361" s="17">
        <f t="shared" ca="1" si="16"/>
        <v>167</v>
      </c>
      <c r="AY361" s="17">
        <f t="shared" ca="1" si="16"/>
        <v>231</v>
      </c>
      <c r="AZ361" s="17">
        <f t="shared" ca="1" si="16"/>
        <v>305</v>
      </c>
      <c r="BA361" s="17">
        <f t="shared" ca="1" si="16"/>
        <v>424</v>
      </c>
      <c r="BB361" s="17">
        <f t="shared" ca="1" si="16"/>
        <v>604</v>
      </c>
      <c r="BC361" s="17">
        <f t="shared" si="16"/>
        <v>0</v>
      </c>
      <c r="BD361" s="17">
        <f t="shared" si="16"/>
        <v>0</v>
      </c>
      <c r="BE361" s="17">
        <f t="shared" si="17"/>
        <v>0</v>
      </c>
      <c r="BF361" s="17">
        <f t="shared" si="17"/>
        <v>0</v>
      </c>
      <c r="BG361" s="17">
        <f t="shared" si="17"/>
        <v>0</v>
      </c>
      <c r="BH361" s="17">
        <f t="shared" si="17"/>
        <v>0</v>
      </c>
      <c r="BI361" s="17">
        <f t="shared" si="17"/>
        <v>0</v>
      </c>
      <c r="BJ361" s="17">
        <f t="shared" si="17"/>
        <v>0</v>
      </c>
      <c r="BK361" s="17">
        <f t="shared" si="17"/>
        <v>0</v>
      </c>
      <c r="BL361" s="17">
        <f t="shared" si="17"/>
        <v>0</v>
      </c>
      <c r="BM361" s="17">
        <f t="shared" si="17"/>
        <v>0</v>
      </c>
      <c r="BN361" s="17">
        <f t="shared" si="17"/>
        <v>0</v>
      </c>
      <c r="BO361" s="17">
        <f t="shared" si="18"/>
        <v>0</v>
      </c>
      <c r="BP361" s="17">
        <f t="shared" si="18"/>
        <v>0</v>
      </c>
      <c r="BQ361" s="17">
        <f t="shared" si="18"/>
        <v>0</v>
      </c>
      <c r="BR361" s="17">
        <f t="shared" si="18"/>
        <v>0</v>
      </c>
      <c r="BS361" s="17">
        <f t="shared" si="18"/>
        <v>0</v>
      </c>
      <c r="BT361" s="17">
        <f t="shared" si="18"/>
        <v>0</v>
      </c>
      <c r="BU361" s="17">
        <f t="shared" si="18"/>
        <v>0</v>
      </c>
      <c r="BV361" s="17">
        <f t="shared" si="18"/>
        <v>0</v>
      </c>
      <c r="BW361" s="17">
        <f t="shared" si="18"/>
        <v>0</v>
      </c>
      <c r="BX361" s="17">
        <f t="shared" si="18"/>
        <v>0</v>
      </c>
      <c r="BY361" s="17">
        <f t="shared" si="19"/>
        <v>0</v>
      </c>
      <c r="BZ361" s="17">
        <f t="shared" si="19"/>
        <v>0</v>
      </c>
      <c r="CA361" s="17">
        <f t="shared" si="19"/>
        <v>0</v>
      </c>
      <c r="CB361" s="17">
        <f t="shared" si="19"/>
        <v>0</v>
      </c>
      <c r="CC361" s="17">
        <f t="shared" si="19"/>
        <v>0</v>
      </c>
      <c r="CD361" s="17">
        <f t="shared" si="19"/>
        <v>0</v>
      </c>
      <c r="CE361" s="17">
        <f t="shared" si="19"/>
        <v>0</v>
      </c>
      <c r="CF361" s="17">
        <f t="shared" si="19"/>
        <v>0</v>
      </c>
      <c r="CG361" s="17">
        <f t="shared" si="19"/>
        <v>0</v>
      </c>
      <c r="CH361" s="17">
        <f t="shared" si="19"/>
        <v>0</v>
      </c>
      <c r="CI361" s="17">
        <f t="shared" si="20"/>
        <v>0</v>
      </c>
      <c r="CJ361" s="17">
        <f t="shared" si="20"/>
        <v>0</v>
      </c>
      <c r="CK361" s="17">
        <f t="shared" si="20"/>
        <v>0</v>
      </c>
      <c r="CL361" s="17">
        <f t="shared" si="20"/>
        <v>0</v>
      </c>
      <c r="CM361" s="17">
        <f t="shared" si="20"/>
        <v>0</v>
      </c>
      <c r="CN361" s="17">
        <f t="shared" si="20"/>
        <v>0</v>
      </c>
      <c r="CO361" s="17">
        <f t="shared" si="20"/>
        <v>0</v>
      </c>
      <c r="CP361" s="17">
        <f t="shared" si="20"/>
        <v>0</v>
      </c>
      <c r="CQ361" s="17">
        <f t="shared" si="20"/>
        <v>0</v>
      </c>
      <c r="CR361" s="17">
        <f t="shared" si="20"/>
        <v>0</v>
      </c>
      <c r="CS361" s="17">
        <f t="shared" si="21"/>
        <v>0</v>
      </c>
      <c r="CT361" s="17">
        <f t="shared" si="21"/>
        <v>0</v>
      </c>
      <c r="CU361" s="17">
        <f t="shared" si="21"/>
        <v>0</v>
      </c>
      <c r="CV361" s="17">
        <f t="shared" si="21"/>
        <v>0</v>
      </c>
      <c r="CW361" s="17">
        <f t="shared" si="21"/>
        <v>0</v>
      </c>
      <c r="CX361" s="17">
        <f t="shared" si="21"/>
        <v>0</v>
      </c>
      <c r="CY361" s="17">
        <f t="shared" si="21"/>
        <v>0</v>
      </c>
      <c r="CZ361" s="17">
        <f t="shared" si="21"/>
        <v>0</v>
      </c>
      <c r="DA361" s="17">
        <f t="shared" si="21"/>
        <v>0</v>
      </c>
      <c r="DB361" s="17">
        <f t="shared" si="21"/>
        <v>0</v>
      </c>
      <c r="DD361" s="14">
        <f t="shared" ref="DD361:DD398" si="22">DD360-1</f>
        <v>-2</v>
      </c>
      <c r="DF361" s="17">
        <f t="shared" ref="DF361:DF398" ca="1" si="23">INDEX(G$358:DB$358,1,51+DD361)</f>
        <v>864</v>
      </c>
      <c r="DG361" s="17">
        <f t="shared" ref="DG361:DG398" ca="1" si="24">SUM(G361:DB361)</f>
        <v>2094</v>
      </c>
      <c r="DH361" s="17">
        <f ca="1">SUM($DF$360:DF361)/$DG$359</f>
        <v>0.49038695546361644</v>
      </c>
      <c r="DI361" s="17">
        <f t="shared" ref="DI361:DI398" ca="1" si="25">IF(DH361&gt;1,1,DH361)</f>
        <v>0.49038695546361644</v>
      </c>
      <c r="DK361" s="17">
        <v>2</v>
      </c>
      <c r="DP361" s="21"/>
      <c r="DQ361" s="21"/>
      <c r="DR361" s="21"/>
      <c r="DS361" s="21"/>
      <c r="DT361" s="21"/>
      <c r="DU361" s="21"/>
      <c r="DV361" s="21"/>
      <c r="DW361" s="21"/>
      <c r="DX361" s="21"/>
      <c r="DY361" s="21"/>
      <c r="DZ361" s="21"/>
      <c r="EA361" s="21"/>
    </row>
    <row r="362" spans="1:132" s="17" customFormat="1" x14ac:dyDescent="0.25">
      <c r="G362" s="17">
        <f t="shared" ca="1" si="12"/>
        <v>0</v>
      </c>
      <c r="H362" s="17">
        <f t="shared" ca="1" si="12"/>
        <v>0</v>
      </c>
      <c r="I362" s="17">
        <f t="shared" ca="1" si="12"/>
        <v>0</v>
      </c>
      <c r="J362" s="17">
        <f t="shared" ca="1" si="12"/>
        <v>0</v>
      </c>
      <c r="K362" s="17">
        <f t="shared" ca="1" si="12"/>
        <v>0</v>
      </c>
      <c r="L362" s="17">
        <f t="shared" ca="1" si="12"/>
        <v>0</v>
      </c>
      <c r="M362" s="17">
        <f t="shared" ca="1" si="12"/>
        <v>0</v>
      </c>
      <c r="N362" s="17">
        <f t="shared" ca="1" si="12"/>
        <v>0</v>
      </c>
      <c r="O362" s="17">
        <f t="shared" ca="1" si="12"/>
        <v>0</v>
      </c>
      <c r="P362" s="17">
        <f t="shared" ca="1" si="12"/>
        <v>0</v>
      </c>
      <c r="Q362" s="17">
        <f t="shared" ca="1" si="13"/>
        <v>0</v>
      </c>
      <c r="R362" s="17">
        <f t="shared" ca="1" si="13"/>
        <v>0</v>
      </c>
      <c r="S362" s="17">
        <f t="shared" ca="1" si="13"/>
        <v>0</v>
      </c>
      <c r="T362" s="17">
        <f t="shared" ca="1" si="13"/>
        <v>0</v>
      </c>
      <c r="U362" s="17">
        <f t="shared" ca="1" si="13"/>
        <v>0</v>
      </c>
      <c r="V362" s="17">
        <f t="shared" ca="1" si="13"/>
        <v>0</v>
      </c>
      <c r="W362" s="17">
        <f t="shared" ca="1" si="13"/>
        <v>0</v>
      </c>
      <c r="X362" s="17">
        <f t="shared" ca="1" si="13"/>
        <v>0</v>
      </c>
      <c r="Y362" s="17">
        <f t="shared" ca="1" si="13"/>
        <v>0</v>
      </c>
      <c r="Z362" s="17">
        <f t="shared" ca="1" si="13"/>
        <v>0</v>
      </c>
      <c r="AA362" s="17">
        <f t="shared" ca="1" si="14"/>
        <v>0</v>
      </c>
      <c r="AB362" s="17">
        <f t="shared" ca="1" si="14"/>
        <v>0</v>
      </c>
      <c r="AC362" s="17">
        <f t="shared" ca="1" si="14"/>
        <v>0</v>
      </c>
      <c r="AD362" s="17">
        <f t="shared" ca="1" si="14"/>
        <v>0</v>
      </c>
      <c r="AE362" s="17">
        <f t="shared" ca="1" si="14"/>
        <v>0</v>
      </c>
      <c r="AF362" s="17">
        <f t="shared" ca="1" si="14"/>
        <v>0</v>
      </c>
      <c r="AG362" s="17">
        <f t="shared" ca="1" si="14"/>
        <v>0</v>
      </c>
      <c r="AH362" s="17">
        <f t="shared" ca="1" si="14"/>
        <v>0</v>
      </c>
      <c r="AI362" s="17">
        <f t="shared" ca="1" si="14"/>
        <v>0</v>
      </c>
      <c r="AJ362" s="17">
        <f t="shared" ca="1" si="14"/>
        <v>0</v>
      </c>
      <c r="AK362" s="17">
        <f t="shared" ca="1" si="15"/>
        <v>0</v>
      </c>
      <c r="AL362" s="17">
        <f t="shared" ca="1" si="15"/>
        <v>0</v>
      </c>
      <c r="AM362" s="17">
        <f t="shared" ca="1" si="15"/>
        <v>0</v>
      </c>
      <c r="AN362" s="17">
        <f t="shared" ca="1" si="15"/>
        <v>0</v>
      </c>
      <c r="AO362" s="17">
        <f t="shared" ca="1" si="15"/>
        <v>6</v>
      </c>
      <c r="AP362" s="17">
        <f t="shared" ca="1" si="15"/>
        <v>9</v>
      </c>
      <c r="AQ362" s="17">
        <f t="shared" ca="1" si="15"/>
        <v>10</v>
      </c>
      <c r="AR362" s="17">
        <f t="shared" ca="1" si="15"/>
        <v>19</v>
      </c>
      <c r="AS362" s="17">
        <f t="shared" ca="1" si="15"/>
        <v>32</v>
      </c>
      <c r="AT362" s="17">
        <f t="shared" ca="1" si="15"/>
        <v>41</v>
      </c>
      <c r="AU362" s="17">
        <f t="shared" ca="1" si="16"/>
        <v>53</v>
      </c>
      <c r="AV362" s="17">
        <f t="shared" ca="1" si="16"/>
        <v>76</v>
      </c>
      <c r="AW362" s="17">
        <f t="shared" ca="1" si="16"/>
        <v>117</v>
      </c>
      <c r="AX362" s="17">
        <f t="shared" ca="1" si="16"/>
        <v>167</v>
      </c>
      <c r="AY362" s="17">
        <f t="shared" ca="1" si="16"/>
        <v>231</v>
      </c>
      <c r="AZ362" s="17">
        <f t="shared" ca="1" si="16"/>
        <v>305</v>
      </c>
      <c r="BA362" s="17">
        <f t="shared" ca="1" si="16"/>
        <v>424</v>
      </c>
      <c r="BB362" s="17">
        <f t="shared" si="16"/>
        <v>0</v>
      </c>
      <c r="BC362" s="17">
        <f t="shared" si="16"/>
        <v>0</v>
      </c>
      <c r="BD362" s="17">
        <f t="shared" si="16"/>
        <v>0</v>
      </c>
      <c r="BE362" s="17">
        <f t="shared" si="17"/>
        <v>0</v>
      </c>
      <c r="BF362" s="17">
        <f t="shared" si="17"/>
        <v>0</v>
      </c>
      <c r="BG362" s="17">
        <f t="shared" si="17"/>
        <v>0</v>
      </c>
      <c r="BH362" s="17">
        <f t="shared" si="17"/>
        <v>0</v>
      </c>
      <c r="BI362" s="17">
        <f t="shared" si="17"/>
        <v>0</v>
      </c>
      <c r="BJ362" s="17">
        <f t="shared" si="17"/>
        <v>0</v>
      </c>
      <c r="BK362" s="17">
        <f t="shared" si="17"/>
        <v>0</v>
      </c>
      <c r="BL362" s="17">
        <f t="shared" si="17"/>
        <v>0</v>
      </c>
      <c r="BM362" s="17">
        <f t="shared" si="17"/>
        <v>0</v>
      </c>
      <c r="BN362" s="17">
        <f t="shared" si="17"/>
        <v>0</v>
      </c>
      <c r="BO362" s="17">
        <f t="shared" si="18"/>
        <v>0</v>
      </c>
      <c r="BP362" s="17">
        <f t="shared" si="18"/>
        <v>0</v>
      </c>
      <c r="BQ362" s="17">
        <f t="shared" si="18"/>
        <v>0</v>
      </c>
      <c r="BR362" s="17">
        <f t="shared" si="18"/>
        <v>0</v>
      </c>
      <c r="BS362" s="17">
        <f t="shared" si="18"/>
        <v>0</v>
      </c>
      <c r="BT362" s="17">
        <f t="shared" si="18"/>
        <v>0</v>
      </c>
      <c r="BU362" s="17">
        <f t="shared" si="18"/>
        <v>0</v>
      </c>
      <c r="BV362" s="17">
        <f t="shared" si="18"/>
        <v>0</v>
      </c>
      <c r="BW362" s="17">
        <f t="shared" si="18"/>
        <v>0</v>
      </c>
      <c r="BX362" s="17">
        <f t="shared" si="18"/>
        <v>0</v>
      </c>
      <c r="BY362" s="17">
        <f t="shared" si="19"/>
        <v>0</v>
      </c>
      <c r="BZ362" s="17">
        <f t="shared" si="19"/>
        <v>0</v>
      </c>
      <c r="CA362" s="17">
        <f t="shared" si="19"/>
        <v>0</v>
      </c>
      <c r="CB362" s="17">
        <f t="shared" si="19"/>
        <v>0</v>
      </c>
      <c r="CC362" s="17">
        <f t="shared" si="19"/>
        <v>0</v>
      </c>
      <c r="CD362" s="17">
        <f t="shared" si="19"/>
        <v>0</v>
      </c>
      <c r="CE362" s="17">
        <f t="shared" si="19"/>
        <v>0</v>
      </c>
      <c r="CF362" s="17">
        <f t="shared" si="19"/>
        <v>0</v>
      </c>
      <c r="CG362" s="17">
        <f t="shared" si="19"/>
        <v>0</v>
      </c>
      <c r="CH362" s="17">
        <f t="shared" si="19"/>
        <v>0</v>
      </c>
      <c r="CI362" s="17">
        <f t="shared" si="20"/>
        <v>0</v>
      </c>
      <c r="CJ362" s="17">
        <f t="shared" si="20"/>
        <v>0</v>
      </c>
      <c r="CK362" s="17">
        <f t="shared" si="20"/>
        <v>0</v>
      </c>
      <c r="CL362" s="17">
        <f t="shared" si="20"/>
        <v>0</v>
      </c>
      <c r="CM362" s="17">
        <f t="shared" si="20"/>
        <v>0</v>
      </c>
      <c r="CN362" s="17">
        <f t="shared" si="20"/>
        <v>0</v>
      </c>
      <c r="CO362" s="17">
        <f t="shared" si="20"/>
        <v>0</v>
      </c>
      <c r="CP362" s="17">
        <f t="shared" si="20"/>
        <v>0</v>
      </c>
      <c r="CQ362" s="17">
        <f t="shared" si="20"/>
        <v>0</v>
      </c>
      <c r="CR362" s="17">
        <f t="shared" si="20"/>
        <v>0</v>
      </c>
      <c r="CS362" s="17">
        <f t="shared" si="21"/>
        <v>0</v>
      </c>
      <c r="CT362" s="17">
        <f t="shared" si="21"/>
        <v>0</v>
      </c>
      <c r="CU362" s="17">
        <f t="shared" si="21"/>
        <v>0</v>
      </c>
      <c r="CV362" s="17">
        <f t="shared" si="21"/>
        <v>0</v>
      </c>
      <c r="CW362" s="17">
        <f t="shared" si="21"/>
        <v>0</v>
      </c>
      <c r="CX362" s="17">
        <f t="shared" si="21"/>
        <v>0</v>
      </c>
      <c r="CY362" s="17">
        <f t="shared" si="21"/>
        <v>0</v>
      </c>
      <c r="CZ362" s="17">
        <f t="shared" si="21"/>
        <v>0</v>
      </c>
      <c r="DA362" s="17">
        <f t="shared" si="21"/>
        <v>0</v>
      </c>
      <c r="DB362" s="17">
        <f t="shared" si="21"/>
        <v>0</v>
      </c>
      <c r="DD362" s="14">
        <f t="shared" si="22"/>
        <v>-3</v>
      </c>
      <c r="DF362" s="17">
        <f ca="1">INDEX(G$358:DB$358,1,51+DD362)</f>
        <v>604</v>
      </c>
      <c r="DG362" s="17">
        <f t="shared" ca="1" si="24"/>
        <v>1490</v>
      </c>
      <c r="DH362" s="17">
        <f ca="1">SUM($DF$360:DF362)/$DG$359</f>
        <v>0.6373813579946459</v>
      </c>
      <c r="DI362" s="17">
        <f t="shared" ca="1" si="25"/>
        <v>0.6373813579946459</v>
      </c>
      <c r="DK362" s="17">
        <v>3</v>
      </c>
      <c r="DP362" s="21"/>
      <c r="DQ362" s="21"/>
      <c r="DR362" s="21"/>
      <c r="DS362" s="21"/>
      <c r="DT362" s="21"/>
      <c r="DU362" s="21"/>
      <c r="DV362" s="21"/>
      <c r="DW362" s="21"/>
      <c r="DX362" s="21"/>
      <c r="DY362" s="21"/>
      <c r="DZ362" s="21"/>
      <c r="EA362" s="21"/>
    </row>
    <row r="363" spans="1:132" s="17" customFormat="1" x14ac:dyDescent="0.25">
      <c r="G363" s="17">
        <f t="shared" ca="1" si="12"/>
        <v>0</v>
      </c>
      <c r="H363" s="17">
        <f t="shared" ca="1" si="12"/>
        <v>0</v>
      </c>
      <c r="I363" s="17">
        <f t="shared" ca="1" si="12"/>
        <v>0</v>
      </c>
      <c r="J363" s="17">
        <f t="shared" ca="1" si="12"/>
        <v>0</v>
      </c>
      <c r="K363" s="17">
        <f t="shared" ca="1" si="12"/>
        <v>0</v>
      </c>
      <c r="L363" s="17">
        <f t="shared" ca="1" si="12"/>
        <v>0</v>
      </c>
      <c r="M363" s="17">
        <f t="shared" ca="1" si="12"/>
        <v>0</v>
      </c>
      <c r="N363" s="17">
        <f t="shared" ca="1" si="12"/>
        <v>0</v>
      </c>
      <c r="O363" s="17">
        <f t="shared" ca="1" si="12"/>
        <v>0</v>
      </c>
      <c r="P363" s="17">
        <f t="shared" ca="1" si="12"/>
        <v>0</v>
      </c>
      <c r="Q363" s="17">
        <f t="shared" ca="1" si="13"/>
        <v>0</v>
      </c>
      <c r="R363" s="17">
        <f t="shared" ca="1" si="13"/>
        <v>0</v>
      </c>
      <c r="S363" s="17">
        <f t="shared" ca="1" si="13"/>
        <v>0</v>
      </c>
      <c r="T363" s="17">
        <f t="shared" ca="1" si="13"/>
        <v>0</v>
      </c>
      <c r="U363" s="17">
        <f t="shared" ca="1" si="13"/>
        <v>0</v>
      </c>
      <c r="V363" s="17">
        <f t="shared" ca="1" si="13"/>
        <v>0</v>
      </c>
      <c r="W363" s="17">
        <f t="shared" ca="1" si="13"/>
        <v>0</v>
      </c>
      <c r="X363" s="17">
        <f t="shared" ca="1" si="13"/>
        <v>0</v>
      </c>
      <c r="Y363" s="17">
        <f t="shared" ca="1" si="13"/>
        <v>0</v>
      </c>
      <c r="Z363" s="17">
        <f t="shared" ca="1" si="13"/>
        <v>0</v>
      </c>
      <c r="AA363" s="17">
        <f t="shared" ca="1" si="14"/>
        <v>0</v>
      </c>
      <c r="AB363" s="17">
        <f t="shared" ca="1" si="14"/>
        <v>0</v>
      </c>
      <c r="AC363" s="17">
        <f t="shared" ca="1" si="14"/>
        <v>0</v>
      </c>
      <c r="AD363" s="17">
        <f t="shared" ca="1" si="14"/>
        <v>0</v>
      </c>
      <c r="AE363" s="17">
        <f t="shared" ca="1" si="14"/>
        <v>0</v>
      </c>
      <c r="AF363" s="17">
        <f t="shared" ca="1" si="14"/>
        <v>0</v>
      </c>
      <c r="AG363" s="17">
        <f t="shared" ca="1" si="14"/>
        <v>0</v>
      </c>
      <c r="AH363" s="17">
        <f t="shared" ca="1" si="14"/>
        <v>0</v>
      </c>
      <c r="AI363" s="17">
        <f t="shared" ca="1" si="14"/>
        <v>0</v>
      </c>
      <c r="AJ363" s="17">
        <f t="shared" ca="1" si="14"/>
        <v>0</v>
      </c>
      <c r="AK363" s="17">
        <f t="shared" ca="1" si="15"/>
        <v>0</v>
      </c>
      <c r="AL363" s="17">
        <f t="shared" ca="1" si="15"/>
        <v>0</v>
      </c>
      <c r="AM363" s="17">
        <f t="shared" ca="1" si="15"/>
        <v>0</v>
      </c>
      <c r="AN363" s="17">
        <f t="shared" ca="1" si="15"/>
        <v>0</v>
      </c>
      <c r="AO363" s="17">
        <f t="shared" ca="1" si="15"/>
        <v>6</v>
      </c>
      <c r="AP363" s="17">
        <f t="shared" ca="1" si="15"/>
        <v>9</v>
      </c>
      <c r="AQ363" s="17">
        <f t="shared" ca="1" si="15"/>
        <v>10</v>
      </c>
      <c r="AR363" s="17">
        <f t="shared" ca="1" si="15"/>
        <v>19</v>
      </c>
      <c r="AS363" s="17">
        <f t="shared" ca="1" si="15"/>
        <v>32</v>
      </c>
      <c r="AT363" s="17">
        <f t="shared" ca="1" si="15"/>
        <v>41</v>
      </c>
      <c r="AU363" s="17">
        <f t="shared" ca="1" si="16"/>
        <v>53</v>
      </c>
      <c r="AV363" s="17">
        <f t="shared" ca="1" si="16"/>
        <v>76</v>
      </c>
      <c r="AW363" s="17">
        <f t="shared" ca="1" si="16"/>
        <v>117</v>
      </c>
      <c r="AX363" s="17">
        <f t="shared" ca="1" si="16"/>
        <v>167</v>
      </c>
      <c r="AY363" s="17">
        <f t="shared" ca="1" si="16"/>
        <v>231</v>
      </c>
      <c r="AZ363" s="17">
        <f t="shared" ca="1" si="16"/>
        <v>305</v>
      </c>
      <c r="BA363" s="17">
        <f t="shared" si="16"/>
        <v>0</v>
      </c>
      <c r="BB363" s="17">
        <f t="shared" si="16"/>
        <v>0</v>
      </c>
      <c r="BC363" s="17">
        <f t="shared" si="16"/>
        <v>0</v>
      </c>
      <c r="BD363" s="17">
        <f t="shared" si="16"/>
        <v>0</v>
      </c>
      <c r="BE363" s="17">
        <f t="shared" si="17"/>
        <v>0</v>
      </c>
      <c r="BF363" s="17">
        <f t="shared" si="17"/>
        <v>0</v>
      </c>
      <c r="BG363" s="17">
        <f t="shared" si="17"/>
        <v>0</v>
      </c>
      <c r="BH363" s="17">
        <f t="shared" si="17"/>
        <v>0</v>
      </c>
      <c r="BI363" s="17">
        <f t="shared" si="17"/>
        <v>0</v>
      </c>
      <c r="BJ363" s="17">
        <f t="shared" si="17"/>
        <v>0</v>
      </c>
      <c r="BK363" s="17">
        <f t="shared" si="17"/>
        <v>0</v>
      </c>
      <c r="BL363" s="17">
        <f t="shared" si="17"/>
        <v>0</v>
      </c>
      <c r="BM363" s="17">
        <f t="shared" si="17"/>
        <v>0</v>
      </c>
      <c r="BN363" s="17">
        <f t="shared" si="17"/>
        <v>0</v>
      </c>
      <c r="BO363" s="17">
        <f t="shared" si="18"/>
        <v>0</v>
      </c>
      <c r="BP363" s="17">
        <f t="shared" si="18"/>
        <v>0</v>
      </c>
      <c r="BQ363" s="17">
        <f t="shared" si="18"/>
        <v>0</v>
      </c>
      <c r="BR363" s="17">
        <f t="shared" si="18"/>
        <v>0</v>
      </c>
      <c r="BS363" s="17">
        <f t="shared" si="18"/>
        <v>0</v>
      </c>
      <c r="BT363" s="17">
        <f t="shared" si="18"/>
        <v>0</v>
      </c>
      <c r="BU363" s="17">
        <f t="shared" si="18"/>
        <v>0</v>
      </c>
      <c r="BV363" s="17">
        <f t="shared" si="18"/>
        <v>0</v>
      </c>
      <c r="BW363" s="17">
        <f t="shared" si="18"/>
        <v>0</v>
      </c>
      <c r="BX363" s="17">
        <f t="shared" si="18"/>
        <v>0</v>
      </c>
      <c r="BY363" s="17">
        <f t="shared" si="19"/>
        <v>0</v>
      </c>
      <c r="BZ363" s="17">
        <f t="shared" si="19"/>
        <v>0</v>
      </c>
      <c r="CA363" s="17">
        <f t="shared" si="19"/>
        <v>0</v>
      </c>
      <c r="CB363" s="17">
        <f t="shared" si="19"/>
        <v>0</v>
      </c>
      <c r="CC363" s="17">
        <f t="shared" si="19"/>
        <v>0</v>
      </c>
      <c r="CD363" s="17">
        <f t="shared" si="19"/>
        <v>0</v>
      </c>
      <c r="CE363" s="17">
        <f t="shared" si="19"/>
        <v>0</v>
      </c>
      <c r="CF363" s="17">
        <f t="shared" si="19"/>
        <v>0</v>
      </c>
      <c r="CG363" s="17">
        <f t="shared" si="19"/>
        <v>0</v>
      </c>
      <c r="CH363" s="17">
        <f t="shared" si="19"/>
        <v>0</v>
      </c>
      <c r="CI363" s="17">
        <f t="shared" si="20"/>
        <v>0</v>
      </c>
      <c r="CJ363" s="17">
        <f t="shared" si="20"/>
        <v>0</v>
      </c>
      <c r="CK363" s="17">
        <f t="shared" si="20"/>
        <v>0</v>
      </c>
      <c r="CL363" s="17">
        <f t="shared" si="20"/>
        <v>0</v>
      </c>
      <c r="CM363" s="17">
        <f t="shared" si="20"/>
        <v>0</v>
      </c>
      <c r="CN363" s="17">
        <f t="shared" si="20"/>
        <v>0</v>
      </c>
      <c r="CO363" s="17">
        <f t="shared" si="20"/>
        <v>0</v>
      </c>
      <c r="CP363" s="17">
        <f t="shared" si="20"/>
        <v>0</v>
      </c>
      <c r="CQ363" s="17">
        <f t="shared" si="20"/>
        <v>0</v>
      </c>
      <c r="CR363" s="17">
        <f t="shared" si="20"/>
        <v>0</v>
      </c>
      <c r="CS363" s="17">
        <f t="shared" si="21"/>
        <v>0</v>
      </c>
      <c r="CT363" s="17">
        <f t="shared" si="21"/>
        <v>0</v>
      </c>
      <c r="CU363" s="17">
        <f t="shared" si="21"/>
        <v>0</v>
      </c>
      <c r="CV363" s="17">
        <f t="shared" si="21"/>
        <v>0</v>
      </c>
      <c r="CW363" s="17">
        <f t="shared" si="21"/>
        <v>0</v>
      </c>
      <c r="CX363" s="17">
        <f t="shared" si="21"/>
        <v>0</v>
      </c>
      <c r="CY363" s="17">
        <f t="shared" si="21"/>
        <v>0</v>
      </c>
      <c r="CZ363" s="17">
        <f t="shared" si="21"/>
        <v>0</v>
      </c>
      <c r="DA363" s="17">
        <f t="shared" si="21"/>
        <v>0</v>
      </c>
      <c r="DB363" s="17">
        <f t="shared" si="21"/>
        <v>0</v>
      </c>
      <c r="DD363" s="14">
        <f t="shared" si="22"/>
        <v>-4</v>
      </c>
      <c r="DF363" s="17">
        <f t="shared" ca="1" si="23"/>
        <v>424</v>
      </c>
      <c r="DG363" s="17">
        <f t="shared" ca="1" si="24"/>
        <v>1066</v>
      </c>
      <c r="DH363" s="17">
        <f ca="1">SUM($DF$360:DF363)/$DG$359</f>
        <v>0.74056948162569969</v>
      </c>
      <c r="DI363" s="17">
        <f t="shared" ca="1" si="25"/>
        <v>0.74056948162569969</v>
      </c>
      <c r="DK363" s="17">
        <v>4</v>
      </c>
      <c r="DP363" s="21"/>
      <c r="DQ363" s="21"/>
      <c r="DR363" s="21"/>
      <c r="DS363" s="21"/>
      <c r="DT363" s="21"/>
      <c r="DU363" s="21"/>
      <c r="DV363" s="21"/>
      <c r="DW363" s="21"/>
      <c r="DX363" s="21"/>
      <c r="DY363" s="21"/>
      <c r="DZ363" s="21"/>
      <c r="EA363" s="21"/>
    </row>
    <row r="364" spans="1:132" s="17" customFormat="1" x14ac:dyDescent="0.25">
      <c r="G364" s="17">
        <f t="shared" ca="1" si="12"/>
        <v>0</v>
      </c>
      <c r="H364" s="17">
        <f t="shared" ca="1" si="12"/>
        <v>0</v>
      </c>
      <c r="I364" s="17">
        <f t="shared" ca="1" si="12"/>
        <v>0</v>
      </c>
      <c r="J364" s="17">
        <f t="shared" ca="1" si="12"/>
        <v>0</v>
      </c>
      <c r="K364" s="17">
        <f t="shared" ca="1" si="12"/>
        <v>0</v>
      </c>
      <c r="L364" s="17">
        <f t="shared" ca="1" si="12"/>
        <v>0</v>
      </c>
      <c r="M364" s="17">
        <f t="shared" ca="1" si="12"/>
        <v>0</v>
      </c>
      <c r="N364" s="17">
        <f t="shared" ca="1" si="12"/>
        <v>0</v>
      </c>
      <c r="O364" s="17">
        <f t="shared" ca="1" si="12"/>
        <v>0</v>
      </c>
      <c r="P364" s="17">
        <f t="shared" ca="1" si="12"/>
        <v>0</v>
      </c>
      <c r="Q364" s="17">
        <f t="shared" ca="1" si="13"/>
        <v>0</v>
      </c>
      <c r="R364" s="17">
        <f t="shared" ca="1" si="13"/>
        <v>0</v>
      </c>
      <c r="S364" s="17">
        <f t="shared" ca="1" si="13"/>
        <v>0</v>
      </c>
      <c r="T364" s="17">
        <f t="shared" ca="1" si="13"/>
        <v>0</v>
      </c>
      <c r="U364" s="17">
        <f t="shared" ca="1" si="13"/>
        <v>0</v>
      </c>
      <c r="V364" s="17">
        <f t="shared" ca="1" si="13"/>
        <v>0</v>
      </c>
      <c r="W364" s="17">
        <f t="shared" ca="1" si="13"/>
        <v>0</v>
      </c>
      <c r="X364" s="17">
        <f t="shared" ca="1" si="13"/>
        <v>0</v>
      </c>
      <c r="Y364" s="17">
        <f t="shared" ca="1" si="13"/>
        <v>0</v>
      </c>
      <c r="Z364" s="17">
        <f t="shared" ca="1" si="13"/>
        <v>0</v>
      </c>
      <c r="AA364" s="17">
        <f t="shared" ca="1" si="14"/>
        <v>0</v>
      </c>
      <c r="AB364" s="17">
        <f t="shared" ca="1" si="14"/>
        <v>0</v>
      </c>
      <c r="AC364" s="17">
        <f t="shared" ca="1" si="14"/>
        <v>0</v>
      </c>
      <c r="AD364" s="17">
        <f t="shared" ca="1" si="14"/>
        <v>0</v>
      </c>
      <c r="AE364" s="17">
        <f t="shared" ca="1" si="14"/>
        <v>0</v>
      </c>
      <c r="AF364" s="17">
        <f t="shared" ca="1" si="14"/>
        <v>0</v>
      </c>
      <c r="AG364" s="17">
        <f t="shared" ca="1" si="14"/>
        <v>0</v>
      </c>
      <c r="AH364" s="17">
        <f t="shared" ca="1" si="14"/>
        <v>0</v>
      </c>
      <c r="AI364" s="17">
        <f t="shared" ca="1" si="14"/>
        <v>0</v>
      </c>
      <c r="AJ364" s="17">
        <f t="shared" ca="1" si="14"/>
        <v>0</v>
      </c>
      <c r="AK364" s="17">
        <f t="shared" ca="1" si="15"/>
        <v>0</v>
      </c>
      <c r="AL364" s="17">
        <f t="shared" ca="1" si="15"/>
        <v>0</v>
      </c>
      <c r="AM364" s="17">
        <f t="shared" ca="1" si="15"/>
        <v>0</v>
      </c>
      <c r="AN364" s="17">
        <f t="shared" ca="1" si="15"/>
        <v>0</v>
      </c>
      <c r="AO364" s="17">
        <f t="shared" ca="1" si="15"/>
        <v>6</v>
      </c>
      <c r="AP364" s="17">
        <f t="shared" ca="1" si="15"/>
        <v>9</v>
      </c>
      <c r="AQ364" s="17">
        <f t="shared" ca="1" si="15"/>
        <v>10</v>
      </c>
      <c r="AR364" s="17">
        <f t="shared" ca="1" si="15"/>
        <v>19</v>
      </c>
      <c r="AS364" s="17">
        <f t="shared" ca="1" si="15"/>
        <v>32</v>
      </c>
      <c r="AT364" s="17">
        <f t="shared" ca="1" si="15"/>
        <v>41</v>
      </c>
      <c r="AU364" s="17">
        <f t="shared" ca="1" si="16"/>
        <v>53</v>
      </c>
      <c r="AV364" s="17">
        <f t="shared" ca="1" si="16"/>
        <v>76</v>
      </c>
      <c r="AW364" s="17">
        <f t="shared" ca="1" si="16"/>
        <v>117</v>
      </c>
      <c r="AX364" s="17">
        <f t="shared" ca="1" si="16"/>
        <v>167</v>
      </c>
      <c r="AY364" s="17">
        <f t="shared" ca="1" si="16"/>
        <v>231</v>
      </c>
      <c r="AZ364" s="17">
        <f t="shared" si="16"/>
        <v>0</v>
      </c>
      <c r="BA364" s="17">
        <f t="shared" si="16"/>
        <v>0</v>
      </c>
      <c r="BB364" s="17">
        <f t="shared" si="16"/>
        <v>0</v>
      </c>
      <c r="BC364" s="17">
        <f t="shared" si="16"/>
        <v>0</v>
      </c>
      <c r="BD364" s="17">
        <f t="shared" si="16"/>
        <v>0</v>
      </c>
      <c r="BE364" s="17">
        <f t="shared" si="17"/>
        <v>0</v>
      </c>
      <c r="BF364" s="17">
        <f t="shared" si="17"/>
        <v>0</v>
      </c>
      <c r="BG364" s="17">
        <f t="shared" si="17"/>
        <v>0</v>
      </c>
      <c r="BH364" s="17">
        <f t="shared" si="17"/>
        <v>0</v>
      </c>
      <c r="BI364" s="17">
        <f t="shared" si="17"/>
        <v>0</v>
      </c>
      <c r="BJ364" s="17">
        <f t="shared" si="17"/>
        <v>0</v>
      </c>
      <c r="BK364" s="17">
        <f t="shared" si="17"/>
        <v>0</v>
      </c>
      <c r="BL364" s="17">
        <f t="shared" si="17"/>
        <v>0</v>
      </c>
      <c r="BM364" s="17">
        <f t="shared" si="17"/>
        <v>0</v>
      </c>
      <c r="BN364" s="17">
        <f t="shared" si="17"/>
        <v>0</v>
      </c>
      <c r="BO364" s="17">
        <f t="shared" si="18"/>
        <v>0</v>
      </c>
      <c r="BP364" s="17">
        <f t="shared" si="18"/>
        <v>0</v>
      </c>
      <c r="BQ364" s="17">
        <f t="shared" si="18"/>
        <v>0</v>
      </c>
      <c r="BR364" s="17">
        <f t="shared" si="18"/>
        <v>0</v>
      </c>
      <c r="BS364" s="17">
        <f t="shared" si="18"/>
        <v>0</v>
      </c>
      <c r="BT364" s="17">
        <f t="shared" si="18"/>
        <v>0</v>
      </c>
      <c r="BU364" s="17">
        <f t="shared" si="18"/>
        <v>0</v>
      </c>
      <c r="BV364" s="17">
        <f t="shared" si="18"/>
        <v>0</v>
      </c>
      <c r="BW364" s="17">
        <f t="shared" si="18"/>
        <v>0</v>
      </c>
      <c r="BX364" s="17">
        <f t="shared" si="18"/>
        <v>0</v>
      </c>
      <c r="BY364" s="17">
        <f t="shared" si="19"/>
        <v>0</v>
      </c>
      <c r="BZ364" s="17">
        <f t="shared" si="19"/>
        <v>0</v>
      </c>
      <c r="CA364" s="17">
        <f t="shared" si="19"/>
        <v>0</v>
      </c>
      <c r="CB364" s="17">
        <f t="shared" si="19"/>
        <v>0</v>
      </c>
      <c r="CC364" s="17">
        <f t="shared" si="19"/>
        <v>0</v>
      </c>
      <c r="CD364" s="17">
        <f t="shared" si="19"/>
        <v>0</v>
      </c>
      <c r="CE364" s="17">
        <f t="shared" si="19"/>
        <v>0</v>
      </c>
      <c r="CF364" s="17">
        <f t="shared" si="19"/>
        <v>0</v>
      </c>
      <c r="CG364" s="17">
        <f t="shared" si="19"/>
        <v>0</v>
      </c>
      <c r="CH364" s="17">
        <f t="shared" si="19"/>
        <v>0</v>
      </c>
      <c r="CI364" s="17">
        <f t="shared" si="20"/>
        <v>0</v>
      </c>
      <c r="CJ364" s="17">
        <f t="shared" si="20"/>
        <v>0</v>
      </c>
      <c r="CK364" s="17">
        <f t="shared" si="20"/>
        <v>0</v>
      </c>
      <c r="CL364" s="17">
        <f t="shared" si="20"/>
        <v>0</v>
      </c>
      <c r="CM364" s="17">
        <f t="shared" si="20"/>
        <v>0</v>
      </c>
      <c r="CN364" s="17">
        <f t="shared" si="20"/>
        <v>0</v>
      </c>
      <c r="CO364" s="17">
        <f t="shared" si="20"/>
        <v>0</v>
      </c>
      <c r="CP364" s="17">
        <f t="shared" si="20"/>
        <v>0</v>
      </c>
      <c r="CQ364" s="17">
        <f t="shared" si="20"/>
        <v>0</v>
      </c>
      <c r="CR364" s="17">
        <f t="shared" si="20"/>
        <v>0</v>
      </c>
      <c r="CS364" s="17">
        <f t="shared" si="21"/>
        <v>0</v>
      </c>
      <c r="CT364" s="17">
        <f t="shared" si="21"/>
        <v>0</v>
      </c>
      <c r="CU364" s="17">
        <f t="shared" si="21"/>
        <v>0</v>
      </c>
      <c r="CV364" s="17">
        <f t="shared" si="21"/>
        <v>0</v>
      </c>
      <c r="CW364" s="17">
        <f t="shared" si="21"/>
        <v>0</v>
      </c>
      <c r="CX364" s="17">
        <f t="shared" si="21"/>
        <v>0</v>
      </c>
      <c r="CY364" s="17">
        <f t="shared" si="21"/>
        <v>0</v>
      </c>
      <c r="CZ364" s="17">
        <f t="shared" si="21"/>
        <v>0</v>
      </c>
      <c r="DA364" s="17">
        <f t="shared" si="21"/>
        <v>0</v>
      </c>
      <c r="DB364" s="17">
        <f t="shared" si="21"/>
        <v>0</v>
      </c>
      <c r="DD364" s="14">
        <f t="shared" si="22"/>
        <v>-5</v>
      </c>
      <c r="DF364" s="17">
        <f t="shared" ca="1" si="23"/>
        <v>305</v>
      </c>
      <c r="DG364" s="17">
        <f t="shared" ca="1" si="24"/>
        <v>761</v>
      </c>
      <c r="DH364" s="17">
        <f ca="1">SUM($DF$360:DF364)/$DG$359</f>
        <v>0.81479678753954732</v>
      </c>
      <c r="DI364" s="17">
        <f t="shared" ca="1" si="25"/>
        <v>0.81479678753954732</v>
      </c>
      <c r="DK364" s="17">
        <v>5</v>
      </c>
      <c r="DP364" s="21"/>
      <c r="DQ364" s="21"/>
      <c r="DR364" s="21"/>
      <c r="DS364" s="21"/>
      <c r="DT364" s="21"/>
      <c r="DU364" s="21"/>
      <c r="DV364" s="21"/>
      <c r="DW364" s="21"/>
      <c r="DX364" s="21"/>
      <c r="DY364" s="21"/>
      <c r="DZ364" s="21"/>
      <c r="EA364" s="21"/>
    </row>
    <row r="365" spans="1:132" s="17" customFormat="1" x14ac:dyDescent="0.25">
      <c r="G365" s="17">
        <f t="shared" ca="1" si="12"/>
        <v>0</v>
      </c>
      <c r="H365" s="17">
        <f t="shared" ca="1" si="12"/>
        <v>0</v>
      </c>
      <c r="I365" s="17">
        <f t="shared" ca="1" si="12"/>
        <v>0</v>
      </c>
      <c r="J365" s="17">
        <f t="shared" ca="1" si="12"/>
        <v>0</v>
      </c>
      <c r="K365" s="17">
        <f t="shared" ca="1" si="12"/>
        <v>0</v>
      </c>
      <c r="L365" s="17">
        <f t="shared" ca="1" si="12"/>
        <v>0</v>
      </c>
      <c r="M365" s="17">
        <f t="shared" ca="1" si="12"/>
        <v>0</v>
      </c>
      <c r="N365" s="17">
        <f t="shared" ca="1" si="12"/>
        <v>0</v>
      </c>
      <c r="O365" s="17">
        <f t="shared" ca="1" si="12"/>
        <v>0</v>
      </c>
      <c r="P365" s="17">
        <f t="shared" ca="1" si="12"/>
        <v>0</v>
      </c>
      <c r="Q365" s="17">
        <f t="shared" ca="1" si="13"/>
        <v>0</v>
      </c>
      <c r="R365" s="17">
        <f t="shared" ca="1" si="13"/>
        <v>0</v>
      </c>
      <c r="S365" s="17">
        <f t="shared" ca="1" si="13"/>
        <v>0</v>
      </c>
      <c r="T365" s="17">
        <f t="shared" ca="1" si="13"/>
        <v>0</v>
      </c>
      <c r="U365" s="17">
        <f t="shared" ca="1" si="13"/>
        <v>0</v>
      </c>
      <c r="V365" s="17">
        <f t="shared" ca="1" si="13"/>
        <v>0</v>
      </c>
      <c r="W365" s="17">
        <f t="shared" ca="1" si="13"/>
        <v>0</v>
      </c>
      <c r="X365" s="17">
        <f t="shared" ca="1" si="13"/>
        <v>0</v>
      </c>
      <c r="Y365" s="17">
        <f t="shared" ca="1" si="13"/>
        <v>0</v>
      </c>
      <c r="Z365" s="17">
        <f t="shared" ca="1" si="13"/>
        <v>0</v>
      </c>
      <c r="AA365" s="17">
        <f t="shared" ca="1" si="14"/>
        <v>0</v>
      </c>
      <c r="AB365" s="17">
        <f t="shared" ca="1" si="14"/>
        <v>0</v>
      </c>
      <c r="AC365" s="17">
        <f t="shared" ca="1" si="14"/>
        <v>0</v>
      </c>
      <c r="AD365" s="17">
        <f t="shared" ca="1" si="14"/>
        <v>0</v>
      </c>
      <c r="AE365" s="17">
        <f t="shared" ca="1" si="14"/>
        <v>0</v>
      </c>
      <c r="AF365" s="17">
        <f t="shared" ca="1" si="14"/>
        <v>0</v>
      </c>
      <c r="AG365" s="17">
        <f t="shared" ca="1" si="14"/>
        <v>0</v>
      </c>
      <c r="AH365" s="17">
        <f t="shared" ca="1" si="14"/>
        <v>0</v>
      </c>
      <c r="AI365" s="17">
        <f t="shared" ca="1" si="14"/>
        <v>0</v>
      </c>
      <c r="AJ365" s="17">
        <f t="shared" ca="1" si="14"/>
        <v>0</v>
      </c>
      <c r="AK365" s="17">
        <f t="shared" ca="1" si="15"/>
        <v>0</v>
      </c>
      <c r="AL365" s="17">
        <f t="shared" ca="1" si="15"/>
        <v>0</v>
      </c>
      <c r="AM365" s="17">
        <f t="shared" ca="1" si="15"/>
        <v>0</v>
      </c>
      <c r="AN365" s="17">
        <f t="shared" ca="1" si="15"/>
        <v>0</v>
      </c>
      <c r="AO365" s="17">
        <f t="shared" ca="1" si="15"/>
        <v>6</v>
      </c>
      <c r="AP365" s="17">
        <f t="shared" ca="1" si="15"/>
        <v>9</v>
      </c>
      <c r="AQ365" s="17">
        <f t="shared" ca="1" si="15"/>
        <v>10</v>
      </c>
      <c r="AR365" s="17">
        <f t="shared" ca="1" si="15"/>
        <v>19</v>
      </c>
      <c r="AS365" s="17">
        <f t="shared" ca="1" si="15"/>
        <v>32</v>
      </c>
      <c r="AT365" s="17">
        <f t="shared" ca="1" si="15"/>
        <v>41</v>
      </c>
      <c r="AU365" s="17">
        <f t="shared" ca="1" si="16"/>
        <v>53</v>
      </c>
      <c r="AV365" s="17">
        <f t="shared" ca="1" si="16"/>
        <v>76</v>
      </c>
      <c r="AW365" s="17">
        <f t="shared" ca="1" si="16"/>
        <v>117</v>
      </c>
      <c r="AX365" s="17">
        <f t="shared" ca="1" si="16"/>
        <v>167</v>
      </c>
      <c r="AY365" s="17">
        <f t="shared" si="16"/>
        <v>0</v>
      </c>
      <c r="AZ365" s="17">
        <f t="shared" si="16"/>
        <v>0</v>
      </c>
      <c r="BA365" s="17">
        <f t="shared" si="16"/>
        <v>0</v>
      </c>
      <c r="BB365" s="17">
        <f t="shared" si="16"/>
        <v>0</v>
      </c>
      <c r="BC365" s="17">
        <f t="shared" si="16"/>
        <v>0</v>
      </c>
      <c r="BD365" s="17">
        <f t="shared" si="16"/>
        <v>0</v>
      </c>
      <c r="BE365" s="17">
        <f t="shared" si="17"/>
        <v>0</v>
      </c>
      <c r="BF365" s="17">
        <f t="shared" si="17"/>
        <v>0</v>
      </c>
      <c r="BG365" s="17">
        <f t="shared" si="17"/>
        <v>0</v>
      </c>
      <c r="BH365" s="17">
        <f t="shared" si="17"/>
        <v>0</v>
      </c>
      <c r="BI365" s="17">
        <f t="shared" si="17"/>
        <v>0</v>
      </c>
      <c r="BJ365" s="17">
        <f t="shared" si="17"/>
        <v>0</v>
      </c>
      <c r="BK365" s="17">
        <f t="shared" si="17"/>
        <v>0</v>
      </c>
      <c r="BL365" s="17">
        <f t="shared" si="17"/>
        <v>0</v>
      </c>
      <c r="BM365" s="17">
        <f t="shared" si="17"/>
        <v>0</v>
      </c>
      <c r="BN365" s="17">
        <f t="shared" si="17"/>
        <v>0</v>
      </c>
      <c r="BO365" s="17">
        <f t="shared" si="18"/>
        <v>0</v>
      </c>
      <c r="BP365" s="17">
        <f t="shared" si="18"/>
        <v>0</v>
      </c>
      <c r="BQ365" s="17">
        <f t="shared" si="18"/>
        <v>0</v>
      </c>
      <c r="BR365" s="17">
        <f t="shared" si="18"/>
        <v>0</v>
      </c>
      <c r="BS365" s="17">
        <f t="shared" si="18"/>
        <v>0</v>
      </c>
      <c r="BT365" s="17">
        <f t="shared" si="18"/>
        <v>0</v>
      </c>
      <c r="BU365" s="17">
        <f t="shared" si="18"/>
        <v>0</v>
      </c>
      <c r="BV365" s="17">
        <f t="shared" si="18"/>
        <v>0</v>
      </c>
      <c r="BW365" s="17">
        <f t="shared" si="18"/>
        <v>0</v>
      </c>
      <c r="BX365" s="17">
        <f t="shared" si="18"/>
        <v>0</v>
      </c>
      <c r="BY365" s="17">
        <f t="shared" si="19"/>
        <v>0</v>
      </c>
      <c r="BZ365" s="17">
        <f t="shared" si="19"/>
        <v>0</v>
      </c>
      <c r="CA365" s="17">
        <f t="shared" si="19"/>
        <v>0</v>
      </c>
      <c r="CB365" s="17">
        <f t="shared" si="19"/>
        <v>0</v>
      </c>
      <c r="CC365" s="17">
        <f t="shared" si="19"/>
        <v>0</v>
      </c>
      <c r="CD365" s="17">
        <f t="shared" si="19"/>
        <v>0</v>
      </c>
      <c r="CE365" s="17">
        <f t="shared" si="19"/>
        <v>0</v>
      </c>
      <c r="CF365" s="17">
        <f t="shared" si="19"/>
        <v>0</v>
      </c>
      <c r="CG365" s="17">
        <f t="shared" si="19"/>
        <v>0</v>
      </c>
      <c r="CH365" s="17">
        <f t="shared" si="19"/>
        <v>0</v>
      </c>
      <c r="CI365" s="17">
        <f t="shared" si="20"/>
        <v>0</v>
      </c>
      <c r="CJ365" s="17">
        <f t="shared" si="20"/>
        <v>0</v>
      </c>
      <c r="CK365" s="17">
        <f t="shared" si="20"/>
        <v>0</v>
      </c>
      <c r="CL365" s="17">
        <f t="shared" si="20"/>
        <v>0</v>
      </c>
      <c r="CM365" s="17">
        <f t="shared" si="20"/>
        <v>0</v>
      </c>
      <c r="CN365" s="17">
        <f t="shared" si="20"/>
        <v>0</v>
      </c>
      <c r="CO365" s="17">
        <f t="shared" si="20"/>
        <v>0</v>
      </c>
      <c r="CP365" s="17">
        <f t="shared" si="20"/>
        <v>0</v>
      </c>
      <c r="CQ365" s="17">
        <f t="shared" si="20"/>
        <v>0</v>
      </c>
      <c r="CR365" s="17">
        <f t="shared" si="20"/>
        <v>0</v>
      </c>
      <c r="CS365" s="17">
        <f t="shared" si="21"/>
        <v>0</v>
      </c>
      <c r="CT365" s="17">
        <f t="shared" si="21"/>
        <v>0</v>
      </c>
      <c r="CU365" s="17">
        <f t="shared" si="21"/>
        <v>0</v>
      </c>
      <c r="CV365" s="17">
        <f t="shared" si="21"/>
        <v>0</v>
      </c>
      <c r="CW365" s="17">
        <f t="shared" si="21"/>
        <v>0</v>
      </c>
      <c r="CX365" s="17">
        <f t="shared" si="21"/>
        <v>0</v>
      </c>
      <c r="CY365" s="17">
        <f t="shared" si="21"/>
        <v>0</v>
      </c>
      <c r="CZ365" s="17">
        <f t="shared" si="21"/>
        <v>0</v>
      </c>
      <c r="DA365" s="17">
        <f t="shared" si="21"/>
        <v>0</v>
      </c>
      <c r="DB365" s="17">
        <f t="shared" si="21"/>
        <v>0</v>
      </c>
      <c r="DD365" s="14">
        <f t="shared" si="22"/>
        <v>-6</v>
      </c>
      <c r="DF365" s="17">
        <f t="shared" ca="1" si="23"/>
        <v>231</v>
      </c>
      <c r="DG365" s="17">
        <f t="shared" ca="1" si="24"/>
        <v>530</v>
      </c>
      <c r="DH365" s="17">
        <f ca="1">SUM($DF$360:DF365)/$DG$359</f>
        <v>0.8710148454611828</v>
      </c>
      <c r="DI365" s="17">
        <f t="shared" ca="1" si="25"/>
        <v>0.8710148454611828</v>
      </c>
      <c r="DK365" s="17">
        <v>6</v>
      </c>
      <c r="DP365" s="21"/>
      <c r="DQ365" s="21"/>
      <c r="DR365" s="21"/>
      <c r="DS365" s="21"/>
      <c r="DT365" s="21"/>
      <c r="DU365" s="21"/>
      <c r="DV365" s="21"/>
      <c r="DW365" s="21"/>
      <c r="DX365" s="21"/>
      <c r="DY365" s="21"/>
      <c r="DZ365" s="21"/>
      <c r="EA365" s="21"/>
    </row>
    <row r="366" spans="1:132" s="17" customFormat="1" x14ac:dyDescent="0.25">
      <c r="G366" s="17">
        <f t="shared" ca="1" si="12"/>
        <v>0</v>
      </c>
      <c r="H366" s="17">
        <f t="shared" ca="1" si="12"/>
        <v>0</v>
      </c>
      <c r="I366" s="17">
        <f t="shared" ca="1" si="12"/>
        <v>0</v>
      </c>
      <c r="J366" s="17">
        <f t="shared" ca="1" si="12"/>
        <v>0</v>
      </c>
      <c r="K366" s="17">
        <f t="shared" ca="1" si="12"/>
        <v>0</v>
      </c>
      <c r="L366" s="17">
        <f t="shared" ca="1" si="12"/>
        <v>0</v>
      </c>
      <c r="M366" s="17">
        <f t="shared" ca="1" si="12"/>
        <v>0</v>
      </c>
      <c r="N366" s="17">
        <f t="shared" ca="1" si="12"/>
        <v>0</v>
      </c>
      <c r="O366" s="17">
        <f t="shared" ca="1" si="12"/>
        <v>0</v>
      </c>
      <c r="P366" s="17">
        <f t="shared" ca="1" si="12"/>
        <v>0</v>
      </c>
      <c r="Q366" s="17">
        <f t="shared" ca="1" si="13"/>
        <v>0</v>
      </c>
      <c r="R366" s="17">
        <f t="shared" ca="1" si="13"/>
        <v>0</v>
      </c>
      <c r="S366" s="17">
        <f t="shared" ca="1" si="13"/>
        <v>0</v>
      </c>
      <c r="T366" s="17">
        <f t="shared" ca="1" si="13"/>
        <v>0</v>
      </c>
      <c r="U366" s="17">
        <f t="shared" ca="1" si="13"/>
        <v>0</v>
      </c>
      <c r="V366" s="17">
        <f t="shared" ca="1" si="13"/>
        <v>0</v>
      </c>
      <c r="W366" s="17">
        <f t="shared" ca="1" si="13"/>
        <v>0</v>
      </c>
      <c r="X366" s="17">
        <f t="shared" ca="1" si="13"/>
        <v>0</v>
      </c>
      <c r="Y366" s="17">
        <f t="shared" ca="1" si="13"/>
        <v>0</v>
      </c>
      <c r="Z366" s="17">
        <f t="shared" ca="1" si="13"/>
        <v>0</v>
      </c>
      <c r="AA366" s="17">
        <f t="shared" ca="1" si="14"/>
        <v>0</v>
      </c>
      <c r="AB366" s="17">
        <f t="shared" ca="1" si="14"/>
        <v>0</v>
      </c>
      <c r="AC366" s="17">
        <f t="shared" ca="1" si="14"/>
        <v>0</v>
      </c>
      <c r="AD366" s="17">
        <f t="shared" ca="1" si="14"/>
        <v>0</v>
      </c>
      <c r="AE366" s="17">
        <f t="shared" ca="1" si="14"/>
        <v>0</v>
      </c>
      <c r="AF366" s="17">
        <f t="shared" ca="1" si="14"/>
        <v>0</v>
      </c>
      <c r="AG366" s="17">
        <f t="shared" ca="1" si="14"/>
        <v>0</v>
      </c>
      <c r="AH366" s="17">
        <f t="shared" ca="1" si="14"/>
        <v>0</v>
      </c>
      <c r="AI366" s="17">
        <f t="shared" ca="1" si="14"/>
        <v>0</v>
      </c>
      <c r="AJ366" s="17">
        <f t="shared" ca="1" si="14"/>
        <v>0</v>
      </c>
      <c r="AK366" s="17">
        <f t="shared" ca="1" si="15"/>
        <v>0</v>
      </c>
      <c r="AL366" s="17">
        <f t="shared" ca="1" si="15"/>
        <v>0</v>
      </c>
      <c r="AM366" s="17">
        <f t="shared" ca="1" si="15"/>
        <v>0</v>
      </c>
      <c r="AN366" s="17">
        <f t="shared" ca="1" si="15"/>
        <v>0</v>
      </c>
      <c r="AO366" s="17">
        <f t="shared" ca="1" si="15"/>
        <v>6</v>
      </c>
      <c r="AP366" s="17">
        <f t="shared" ca="1" si="15"/>
        <v>9</v>
      </c>
      <c r="AQ366" s="17">
        <f t="shared" ca="1" si="15"/>
        <v>10</v>
      </c>
      <c r="AR366" s="17">
        <f t="shared" ca="1" si="15"/>
        <v>19</v>
      </c>
      <c r="AS366" s="17">
        <f t="shared" ca="1" si="15"/>
        <v>32</v>
      </c>
      <c r="AT366" s="17">
        <f t="shared" ca="1" si="15"/>
        <v>41</v>
      </c>
      <c r="AU366" s="17">
        <f t="shared" ca="1" si="16"/>
        <v>53</v>
      </c>
      <c r="AV366" s="17">
        <f t="shared" ca="1" si="16"/>
        <v>76</v>
      </c>
      <c r="AW366" s="17">
        <f t="shared" ca="1" si="16"/>
        <v>117</v>
      </c>
      <c r="AX366" s="17">
        <f t="shared" si="16"/>
        <v>0</v>
      </c>
      <c r="AY366" s="17">
        <f t="shared" si="16"/>
        <v>0</v>
      </c>
      <c r="AZ366" s="17">
        <f t="shared" si="16"/>
        <v>0</v>
      </c>
      <c r="BA366" s="17">
        <f t="shared" si="16"/>
        <v>0</v>
      </c>
      <c r="BB366" s="17">
        <f t="shared" si="16"/>
        <v>0</v>
      </c>
      <c r="BC366" s="17">
        <f t="shared" si="16"/>
        <v>0</v>
      </c>
      <c r="BD366" s="17">
        <f t="shared" si="16"/>
        <v>0</v>
      </c>
      <c r="BE366" s="17">
        <f t="shared" si="17"/>
        <v>0</v>
      </c>
      <c r="BF366" s="17">
        <f t="shared" si="17"/>
        <v>0</v>
      </c>
      <c r="BG366" s="17">
        <f t="shared" si="17"/>
        <v>0</v>
      </c>
      <c r="BH366" s="17">
        <f t="shared" si="17"/>
        <v>0</v>
      </c>
      <c r="BI366" s="17">
        <f t="shared" si="17"/>
        <v>0</v>
      </c>
      <c r="BJ366" s="17">
        <f t="shared" si="17"/>
        <v>0</v>
      </c>
      <c r="BK366" s="17">
        <f t="shared" si="17"/>
        <v>0</v>
      </c>
      <c r="BL366" s="17">
        <f t="shared" si="17"/>
        <v>0</v>
      </c>
      <c r="BM366" s="17">
        <f t="shared" si="17"/>
        <v>0</v>
      </c>
      <c r="BN366" s="17">
        <f t="shared" si="17"/>
        <v>0</v>
      </c>
      <c r="BO366" s="17">
        <f t="shared" si="18"/>
        <v>0</v>
      </c>
      <c r="BP366" s="17">
        <f t="shared" si="18"/>
        <v>0</v>
      </c>
      <c r="BQ366" s="17">
        <f t="shared" si="18"/>
        <v>0</v>
      </c>
      <c r="BR366" s="17">
        <f t="shared" si="18"/>
        <v>0</v>
      </c>
      <c r="BS366" s="17">
        <f t="shared" si="18"/>
        <v>0</v>
      </c>
      <c r="BT366" s="17">
        <f t="shared" si="18"/>
        <v>0</v>
      </c>
      <c r="BU366" s="17">
        <f t="shared" si="18"/>
        <v>0</v>
      </c>
      <c r="BV366" s="17">
        <f t="shared" si="18"/>
        <v>0</v>
      </c>
      <c r="BW366" s="17">
        <f t="shared" si="18"/>
        <v>0</v>
      </c>
      <c r="BX366" s="17">
        <f t="shared" si="18"/>
        <v>0</v>
      </c>
      <c r="BY366" s="17">
        <f t="shared" si="19"/>
        <v>0</v>
      </c>
      <c r="BZ366" s="17">
        <f t="shared" si="19"/>
        <v>0</v>
      </c>
      <c r="CA366" s="17">
        <f t="shared" si="19"/>
        <v>0</v>
      </c>
      <c r="CB366" s="17">
        <f t="shared" si="19"/>
        <v>0</v>
      </c>
      <c r="CC366" s="17">
        <f t="shared" si="19"/>
        <v>0</v>
      </c>
      <c r="CD366" s="17">
        <f t="shared" si="19"/>
        <v>0</v>
      </c>
      <c r="CE366" s="17">
        <f t="shared" si="19"/>
        <v>0</v>
      </c>
      <c r="CF366" s="17">
        <f t="shared" si="19"/>
        <v>0</v>
      </c>
      <c r="CG366" s="17">
        <f t="shared" si="19"/>
        <v>0</v>
      </c>
      <c r="CH366" s="17">
        <f t="shared" si="19"/>
        <v>0</v>
      </c>
      <c r="CI366" s="17">
        <f t="shared" si="20"/>
        <v>0</v>
      </c>
      <c r="CJ366" s="17">
        <f t="shared" si="20"/>
        <v>0</v>
      </c>
      <c r="CK366" s="17">
        <f t="shared" si="20"/>
        <v>0</v>
      </c>
      <c r="CL366" s="17">
        <f t="shared" si="20"/>
        <v>0</v>
      </c>
      <c r="CM366" s="17">
        <f t="shared" si="20"/>
        <v>0</v>
      </c>
      <c r="CN366" s="17">
        <f t="shared" si="20"/>
        <v>0</v>
      </c>
      <c r="CO366" s="17">
        <f t="shared" si="20"/>
        <v>0</v>
      </c>
      <c r="CP366" s="17">
        <f t="shared" si="20"/>
        <v>0</v>
      </c>
      <c r="CQ366" s="17">
        <f t="shared" si="20"/>
        <v>0</v>
      </c>
      <c r="CR366" s="17">
        <f t="shared" si="20"/>
        <v>0</v>
      </c>
      <c r="CS366" s="17">
        <f t="shared" si="21"/>
        <v>0</v>
      </c>
      <c r="CT366" s="17">
        <f t="shared" si="21"/>
        <v>0</v>
      </c>
      <c r="CU366" s="17">
        <f t="shared" si="21"/>
        <v>0</v>
      </c>
      <c r="CV366" s="17">
        <f t="shared" si="21"/>
        <v>0</v>
      </c>
      <c r="CW366" s="17">
        <f t="shared" si="21"/>
        <v>0</v>
      </c>
      <c r="CX366" s="17">
        <f t="shared" si="21"/>
        <v>0</v>
      </c>
      <c r="CY366" s="17">
        <f t="shared" si="21"/>
        <v>0</v>
      </c>
      <c r="CZ366" s="17">
        <f t="shared" si="21"/>
        <v>0</v>
      </c>
      <c r="DA366" s="17">
        <f t="shared" si="21"/>
        <v>0</v>
      </c>
      <c r="DB366" s="17">
        <f t="shared" si="21"/>
        <v>0</v>
      </c>
      <c r="DD366" s="14">
        <f t="shared" si="22"/>
        <v>-7</v>
      </c>
      <c r="DF366" s="17">
        <f t="shared" ca="1" si="23"/>
        <v>167</v>
      </c>
      <c r="DG366" s="17">
        <f t="shared" ca="1" si="24"/>
        <v>363</v>
      </c>
      <c r="DH366" s="17">
        <f ca="1">SUM($DF$360:DF366)/$DG$359</f>
        <v>0.91165733755171574</v>
      </c>
      <c r="DI366" s="17">
        <f t="shared" ca="1" si="25"/>
        <v>0.91165733755171574</v>
      </c>
      <c r="DK366" s="17">
        <v>7</v>
      </c>
      <c r="DP366" s="21"/>
      <c r="DQ366" s="21"/>
      <c r="DR366" s="21"/>
      <c r="DS366" s="21"/>
      <c r="DT366" s="21"/>
      <c r="DU366" s="21"/>
      <c r="DV366" s="21"/>
      <c r="DW366" s="21"/>
      <c r="DX366" s="21"/>
      <c r="DY366" s="21"/>
      <c r="DZ366" s="21"/>
      <c r="EA366" s="21"/>
    </row>
    <row r="367" spans="1:132" s="17" customFormat="1" x14ac:dyDescent="0.25">
      <c r="G367" s="17">
        <f t="shared" ca="1" si="12"/>
        <v>0</v>
      </c>
      <c r="H367" s="17">
        <f t="shared" ca="1" si="12"/>
        <v>0</v>
      </c>
      <c r="I367" s="17">
        <f t="shared" ca="1" si="12"/>
        <v>0</v>
      </c>
      <c r="J367" s="17">
        <f t="shared" ca="1" si="12"/>
        <v>0</v>
      </c>
      <c r="K367" s="17">
        <f t="shared" ca="1" si="12"/>
        <v>0</v>
      </c>
      <c r="L367" s="17">
        <f t="shared" ca="1" si="12"/>
        <v>0</v>
      </c>
      <c r="M367" s="17">
        <f t="shared" ca="1" si="12"/>
        <v>0</v>
      </c>
      <c r="N367" s="17">
        <f t="shared" ca="1" si="12"/>
        <v>0</v>
      </c>
      <c r="O367" s="17">
        <f t="shared" ca="1" si="12"/>
        <v>0</v>
      </c>
      <c r="P367" s="17">
        <f t="shared" ca="1" si="12"/>
        <v>0</v>
      </c>
      <c r="Q367" s="17">
        <f t="shared" ca="1" si="13"/>
        <v>0</v>
      </c>
      <c r="R367" s="17">
        <f t="shared" ca="1" si="13"/>
        <v>0</v>
      </c>
      <c r="S367" s="17">
        <f t="shared" ca="1" si="13"/>
        <v>0</v>
      </c>
      <c r="T367" s="17">
        <f t="shared" ca="1" si="13"/>
        <v>0</v>
      </c>
      <c r="U367" s="17">
        <f t="shared" ca="1" si="13"/>
        <v>0</v>
      </c>
      <c r="V367" s="17">
        <f t="shared" ca="1" si="13"/>
        <v>0</v>
      </c>
      <c r="W367" s="17">
        <f t="shared" ca="1" si="13"/>
        <v>0</v>
      </c>
      <c r="X367" s="17">
        <f t="shared" ca="1" si="13"/>
        <v>0</v>
      </c>
      <c r="Y367" s="17">
        <f t="shared" ca="1" si="13"/>
        <v>0</v>
      </c>
      <c r="Z367" s="17">
        <f t="shared" ca="1" si="13"/>
        <v>0</v>
      </c>
      <c r="AA367" s="17">
        <f t="shared" ca="1" si="14"/>
        <v>0</v>
      </c>
      <c r="AB367" s="17">
        <f t="shared" ca="1" si="14"/>
        <v>0</v>
      </c>
      <c r="AC367" s="17">
        <f t="shared" ca="1" si="14"/>
        <v>0</v>
      </c>
      <c r="AD367" s="17">
        <f t="shared" ca="1" si="14"/>
        <v>0</v>
      </c>
      <c r="AE367" s="17">
        <f t="shared" ca="1" si="14"/>
        <v>0</v>
      </c>
      <c r="AF367" s="17">
        <f t="shared" ca="1" si="14"/>
        <v>0</v>
      </c>
      <c r="AG367" s="17">
        <f t="shared" ca="1" si="14"/>
        <v>0</v>
      </c>
      <c r="AH367" s="17">
        <f t="shared" ca="1" si="14"/>
        <v>0</v>
      </c>
      <c r="AI367" s="17">
        <f t="shared" ca="1" si="14"/>
        <v>0</v>
      </c>
      <c r="AJ367" s="17">
        <f t="shared" ca="1" si="14"/>
        <v>0</v>
      </c>
      <c r="AK367" s="17">
        <f t="shared" ca="1" si="15"/>
        <v>0</v>
      </c>
      <c r="AL367" s="17">
        <f t="shared" ca="1" si="15"/>
        <v>0</v>
      </c>
      <c r="AM367" s="17">
        <f t="shared" ca="1" si="15"/>
        <v>0</v>
      </c>
      <c r="AN367" s="17">
        <f t="shared" ca="1" si="15"/>
        <v>0</v>
      </c>
      <c r="AO367" s="17">
        <f t="shared" ca="1" si="15"/>
        <v>6</v>
      </c>
      <c r="AP367" s="17">
        <f t="shared" ca="1" si="15"/>
        <v>9</v>
      </c>
      <c r="AQ367" s="17">
        <f t="shared" ca="1" si="15"/>
        <v>10</v>
      </c>
      <c r="AR367" s="17">
        <f t="shared" ca="1" si="15"/>
        <v>19</v>
      </c>
      <c r="AS367" s="17">
        <f t="shared" ca="1" si="15"/>
        <v>32</v>
      </c>
      <c r="AT367" s="17">
        <f t="shared" ca="1" si="15"/>
        <v>41</v>
      </c>
      <c r="AU367" s="17">
        <f t="shared" ca="1" si="16"/>
        <v>53</v>
      </c>
      <c r="AV367" s="17">
        <f t="shared" ca="1" si="16"/>
        <v>76</v>
      </c>
      <c r="AW367" s="17">
        <f t="shared" si="16"/>
        <v>0</v>
      </c>
      <c r="AX367" s="17">
        <f t="shared" si="16"/>
        <v>0</v>
      </c>
      <c r="AY367" s="17">
        <f t="shared" si="16"/>
        <v>0</v>
      </c>
      <c r="AZ367" s="17">
        <f t="shared" si="16"/>
        <v>0</v>
      </c>
      <c r="BA367" s="17">
        <f t="shared" si="16"/>
        <v>0</v>
      </c>
      <c r="BB367" s="17">
        <f t="shared" si="16"/>
        <v>0</v>
      </c>
      <c r="BC367" s="17">
        <f t="shared" si="16"/>
        <v>0</v>
      </c>
      <c r="BD367" s="17">
        <f t="shared" si="16"/>
        <v>0</v>
      </c>
      <c r="BE367" s="17">
        <f t="shared" si="17"/>
        <v>0</v>
      </c>
      <c r="BF367" s="17">
        <f t="shared" si="17"/>
        <v>0</v>
      </c>
      <c r="BG367" s="17">
        <f t="shared" si="17"/>
        <v>0</v>
      </c>
      <c r="BH367" s="17">
        <f t="shared" si="17"/>
        <v>0</v>
      </c>
      <c r="BI367" s="17">
        <f t="shared" si="17"/>
        <v>0</v>
      </c>
      <c r="BJ367" s="17">
        <f t="shared" si="17"/>
        <v>0</v>
      </c>
      <c r="BK367" s="17">
        <f t="shared" si="17"/>
        <v>0</v>
      </c>
      <c r="BL367" s="17">
        <f t="shared" si="17"/>
        <v>0</v>
      </c>
      <c r="BM367" s="17">
        <f t="shared" si="17"/>
        <v>0</v>
      </c>
      <c r="BN367" s="17">
        <f t="shared" si="17"/>
        <v>0</v>
      </c>
      <c r="BO367" s="17">
        <f t="shared" si="18"/>
        <v>0</v>
      </c>
      <c r="BP367" s="17">
        <f t="shared" si="18"/>
        <v>0</v>
      </c>
      <c r="BQ367" s="17">
        <f t="shared" si="18"/>
        <v>0</v>
      </c>
      <c r="BR367" s="17">
        <f t="shared" si="18"/>
        <v>0</v>
      </c>
      <c r="BS367" s="17">
        <f t="shared" si="18"/>
        <v>0</v>
      </c>
      <c r="BT367" s="17">
        <f t="shared" si="18"/>
        <v>0</v>
      </c>
      <c r="BU367" s="17">
        <f t="shared" si="18"/>
        <v>0</v>
      </c>
      <c r="BV367" s="17">
        <f t="shared" si="18"/>
        <v>0</v>
      </c>
      <c r="BW367" s="17">
        <f t="shared" si="18"/>
        <v>0</v>
      </c>
      <c r="BX367" s="17">
        <f t="shared" si="18"/>
        <v>0</v>
      </c>
      <c r="BY367" s="17">
        <f t="shared" si="19"/>
        <v>0</v>
      </c>
      <c r="BZ367" s="17">
        <f t="shared" si="19"/>
        <v>0</v>
      </c>
      <c r="CA367" s="17">
        <f t="shared" si="19"/>
        <v>0</v>
      </c>
      <c r="CB367" s="17">
        <f t="shared" si="19"/>
        <v>0</v>
      </c>
      <c r="CC367" s="17">
        <f t="shared" si="19"/>
        <v>0</v>
      </c>
      <c r="CD367" s="17">
        <f t="shared" si="19"/>
        <v>0</v>
      </c>
      <c r="CE367" s="17">
        <f t="shared" si="19"/>
        <v>0</v>
      </c>
      <c r="CF367" s="17">
        <f t="shared" si="19"/>
        <v>0</v>
      </c>
      <c r="CG367" s="17">
        <f t="shared" si="19"/>
        <v>0</v>
      </c>
      <c r="CH367" s="17">
        <f t="shared" si="19"/>
        <v>0</v>
      </c>
      <c r="CI367" s="17">
        <f t="shared" si="20"/>
        <v>0</v>
      </c>
      <c r="CJ367" s="17">
        <f t="shared" si="20"/>
        <v>0</v>
      </c>
      <c r="CK367" s="17">
        <f t="shared" si="20"/>
        <v>0</v>
      </c>
      <c r="CL367" s="17">
        <f t="shared" si="20"/>
        <v>0</v>
      </c>
      <c r="CM367" s="17">
        <f t="shared" si="20"/>
        <v>0</v>
      </c>
      <c r="CN367" s="17">
        <f t="shared" si="20"/>
        <v>0</v>
      </c>
      <c r="CO367" s="17">
        <f t="shared" si="20"/>
        <v>0</v>
      </c>
      <c r="CP367" s="17">
        <f t="shared" si="20"/>
        <v>0</v>
      </c>
      <c r="CQ367" s="17">
        <f t="shared" si="20"/>
        <v>0</v>
      </c>
      <c r="CR367" s="17">
        <f t="shared" si="20"/>
        <v>0</v>
      </c>
      <c r="CS367" s="17">
        <f t="shared" si="21"/>
        <v>0</v>
      </c>
      <c r="CT367" s="17">
        <f t="shared" si="21"/>
        <v>0</v>
      </c>
      <c r="CU367" s="17">
        <f t="shared" si="21"/>
        <v>0</v>
      </c>
      <c r="CV367" s="17">
        <f t="shared" si="21"/>
        <v>0</v>
      </c>
      <c r="CW367" s="17">
        <f t="shared" si="21"/>
        <v>0</v>
      </c>
      <c r="CX367" s="17">
        <f t="shared" si="21"/>
        <v>0</v>
      </c>
      <c r="CY367" s="17">
        <f t="shared" si="21"/>
        <v>0</v>
      </c>
      <c r="CZ367" s="17">
        <f t="shared" si="21"/>
        <v>0</v>
      </c>
      <c r="DA367" s="17">
        <f t="shared" si="21"/>
        <v>0</v>
      </c>
      <c r="DB367" s="17">
        <f t="shared" si="21"/>
        <v>0</v>
      </c>
      <c r="DD367" s="14">
        <f t="shared" si="22"/>
        <v>-8</v>
      </c>
      <c r="DF367" s="17">
        <f t="shared" ca="1" si="23"/>
        <v>117</v>
      </c>
      <c r="DG367" s="17">
        <f t="shared" ca="1" si="24"/>
        <v>246</v>
      </c>
      <c r="DH367" s="17">
        <f ca="1">SUM($DF$360:DF367)/$DG$359</f>
        <v>0.94013141883669993</v>
      </c>
      <c r="DI367" s="17">
        <f t="shared" ca="1" si="25"/>
        <v>0.94013141883669993</v>
      </c>
      <c r="DK367" s="17">
        <v>8</v>
      </c>
      <c r="DP367" s="21"/>
      <c r="DQ367" s="21"/>
      <c r="DR367" s="21"/>
      <c r="DS367" s="21"/>
      <c r="DT367" s="21"/>
      <c r="DU367" s="21"/>
      <c r="DV367" s="21"/>
      <c r="DW367" s="21"/>
      <c r="DX367" s="21"/>
      <c r="DY367" s="21"/>
      <c r="DZ367" s="21"/>
      <c r="EA367" s="21"/>
    </row>
    <row r="368" spans="1:132" s="17" customFormat="1" x14ac:dyDescent="0.25">
      <c r="G368" s="17">
        <f t="shared" ca="1" si="12"/>
        <v>0</v>
      </c>
      <c r="H368" s="17">
        <f t="shared" ca="1" si="12"/>
        <v>0</v>
      </c>
      <c r="I368" s="17">
        <f t="shared" ca="1" si="12"/>
        <v>0</v>
      </c>
      <c r="J368" s="17">
        <f t="shared" ca="1" si="12"/>
        <v>0</v>
      </c>
      <c r="K368" s="17">
        <f t="shared" ca="1" si="12"/>
        <v>0</v>
      </c>
      <c r="L368" s="17">
        <f t="shared" ca="1" si="12"/>
        <v>0</v>
      </c>
      <c r="M368" s="17">
        <f t="shared" ca="1" si="12"/>
        <v>0</v>
      </c>
      <c r="N368" s="17">
        <f t="shared" ca="1" si="12"/>
        <v>0</v>
      </c>
      <c r="O368" s="17">
        <f t="shared" ca="1" si="12"/>
        <v>0</v>
      </c>
      <c r="P368" s="17">
        <f t="shared" ca="1" si="12"/>
        <v>0</v>
      </c>
      <c r="Q368" s="17">
        <f t="shared" ca="1" si="13"/>
        <v>0</v>
      </c>
      <c r="R368" s="17">
        <f t="shared" ca="1" si="13"/>
        <v>0</v>
      </c>
      <c r="S368" s="17">
        <f t="shared" ca="1" si="13"/>
        <v>0</v>
      </c>
      <c r="T368" s="17">
        <f t="shared" ca="1" si="13"/>
        <v>0</v>
      </c>
      <c r="U368" s="17">
        <f t="shared" ca="1" si="13"/>
        <v>0</v>
      </c>
      <c r="V368" s="17">
        <f t="shared" ca="1" si="13"/>
        <v>0</v>
      </c>
      <c r="W368" s="17">
        <f t="shared" ca="1" si="13"/>
        <v>0</v>
      </c>
      <c r="X368" s="17">
        <f t="shared" ca="1" si="13"/>
        <v>0</v>
      </c>
      <c r="Y368" s="17">
        <f t="shared" ca="1" si="13"/>
        <v>0</v>
      </c>
      <c r="Z368" s="17">
        <f t="shared" ca="1" si="13"/>
        <v>0</v>
      </c>
      <c r="AA368" s="17">
        <f t="shared" ca="1" si="14"/>
        <v>0</v>
      </c>
      <c r="AB368" s="17">
        <f t="shared" ca="1" si="14"/>
        <v>0</v>
      </c>
      <c r="AC368" s="17">
        <f t="shared" ca="1" si="14"/>
        <v>0</v>
      </c>
      <c r="AD368" s="17">
        <f t="shared" ca="1" si="14"/>
        <v>0</v>
      </c>
      <c r="AE368" s="17">
        <f t="shared" ca="1" si="14"/>
        <v>0</v>
      </c>
      <c r="AF368" s="17">
        <f t="shared" ca="1" si="14"/>
        <v>0</v>
      </c>
      <c r="AG368" s="17">
        <f t="shared" ca="1" si="14"/>
        <v>0</v>
      </c>
      <c r="AH368" s="17">
        <f t="shared" ca="1" si="14"/>
        <v>0</v>
      </c>
      <c r="AI368" s="17">
        <f t="shared" ca="1" si="14"/>
        <v>0</v>
      </c>
      <c r="AJ368" s="17">
        <f t="shared" ca="1" si="14"/>
        <v>0</v>
      </c>
      <c r="AK368" s="17">
        <f t="shared" ca="1" si="15"/>
        <v>0</v>
      </c>
      <c r="AL368" s="17">
        <f t="shared" ca="1" si="15"/>
        <v>0</v>
      </c>
      <c r="AM368" s="17">
        <f t="shared" ca="1" si="15"/>
        <v>0</v>
      </c>
      <c r="AN368" s="17">
        <f t="shared" ca="1" si="15"/>
        <v>0</v>
      </c>
      <c r="AO368" s="17">
        <f t="shared" ca="1" si="15"/>
        <v>6</v>
      </c>
      <c r="AP368" s="17">
        <f t="shared" ca="1" si="15"/>
        <v>9</v>
      </c>
      <c r="AQ368" s="17">
        <f t="shared" ca="1" si="15"/>
        <v>10</v>
      </c>
      <c r="AR368" s="17">
        <f t="shared" ca="1" si="15"/>
        <v>19</v>
      </c>
      <c r="AS368" s="17">
        <f t="shared" ca="1" si="15"/>
        <v>32</v>
      </c>
      <c r="AT368" s="17">
        <f t="shared" ca="1" si="15"/>
        <v>41</v>
      </c>
      <c r="AU368" s="17">
        <f t="shared" ca="1" si="16"/>
        <v>53</v>
      </c>
      <c r="AV368" s="17">
        <f t="shared" si="16"/>
        <v>0</v>
      </c>
      <c r="AW368" s="17">
        <f t="shared" si="16"/>
        <v>0</v>
      </c>
      <c r="AX368" s="17">
        <f t="shared" si="16"/>
        <v>0</v>
      </c>
      <c r="AY368" s="17">
        <f t="shared" si="16"/>
        <v>0</v>
      </c>
      <c r="AZ368" s="17">
        <f t="shared" si="16"/>
        <v>0</v>
      </c>
      <c r="BA368" s="17">
        <f t="shared" si="16"/>
        <v>0</v>
      </c>
      <c r="BB368" s="17">
        <f t="shared" si="16"/>
        <v>0</v>
      </c>
      <c r="BC368" s="17">
        <f t="shared" si="16"/>
        <v>0</v>
      </c>
      <c r="BD368" s="17">
        <f t="shared" si="16"/>
        <v>0</v>
      </c>
      <c r="BE368" s="17">
        <f t="shared" si="17"/>
        <v>0</v>
      </c>
      <c r="BF368" s="17">
        <f t="shared" si="17"/>
        <v>0</v>
      </c>
      <c r="BG368" s="17">
        <f t="shared" si="17"/>
        <v>0</v>
      </c>
      <c r="BH368" s="17">
        <f t="shared" si="17"/>
        <v>0</v>
      </c>
      <c r="BI368" s="17">
        <f t="shared" si="17"/>
        <v>0</v>
      </c>
      <c r="BJ368" s="17">
        <f t="shared" si="17"/>
        <v>0</v>
      </c>
      <c r="BK368" s="17">
        <f t="shared" si="17"/>
        <v>0</v>
      </c>
      <c r="BL368" s="17">
        <f t="shared" si="17"/>
        <v>0</v>
      </c>
      <c r="BM368" s="17">
        <f t="shared" si="17"/>
        <v>0</v>
      </c>
      <c r="BN368" s="17">
        <f t="shared" si="17"/>
        <v>0</v>
      </c>
      <c r="BO368" s="17">
        <f t="shared" si="18"/>
        <v>0</v>
      </c>
      <c r="BP368" s="17">
        <f t="shared" si="18"/>
        <v>0</v>
      </c>
      <c r="BQ368" s="17">
        <f t="shared" si="18"/>
        <v>0</v>
      </c>
      <c r="BR368" s="17">
        <f t="shared" si="18"/>
        <v>0</v>
      </c>
      <c r="BS368" s="17">
        <f t="shared" si="18"/>
        <v>0</v>
      </c>
      <c r="BT368" s="17">
        <f t="shared" si="18"/>
        <v>0</v>
      </c>
      <c r="BU368" s="17">
        <f t="shared" si="18"/>
        <v>0</v>
      </c>
      <c r="BV368" s="17">
        <f t="shared" si="18"/>
        <v>0</v>
      </c>
      <c r="BW368" s="17">
        <f t="shared" si="18"/>
        <v>0</v>
      </c>
      <c r="BX368" s="17">
        <f t="shared" si="18"/>
        <v>0</v>
      </c>
      <c r="BY368" s="17">
        <f t="shared" si="19"/>
        <v>0</v>
      </c>
      <c r="BZ368" s="17">
        <f t="shared" si="19"/>
        <v>0</v>
      </c>
      <c r="CA368" s="17">
        <f t="shared" si="19"/>
        <v>0</v>
      </c>
      <c r="CB368" s="17">
        <f t="shared" si="19"/>
        <v>0</v>
      </c>
      <c r="CC368" s="17">
        <f t="shared" si="19"/>
        <v>0</v>
      </c>
      <c r="CD368" s="17">
        <f t="shared" si="19"/>
        <v>0</v>
      </c>
      <c r="CE368" s="17">
        <f t="shared" si="19"/>
        <v>0</v>
      </c>
      <c r="CF368" s="17">
        <f t="shared" si="19"/>
        <v>0</v>
      </c>
      <c r="CG368" s="17">
        <f t="shared" si="19"/>
        <v>0</v>
      </c>
      <c r="CH368" s="17">
        <f t="shared" si="19"/>
        <v>0</v>
      </c>
      <c r="CI368" s="17">
        <f t="shared" si="20"/>
        <v>0</v>
      </c>
      <c r="CJ368" s="17">
        <f t="shared" si="20"/>
        <v>0</v>
      </c>
      <c r="CK368" s="17">
        <f t="shared" si="20"/>
        <v>0</v>
      </c>
      <c r="CL368" s="17">
        <f t="shared" si="20"/>
        <v>0</v>
      </c>
      <c r="CM368" s="17">
        <f t="shared" si="20"/>
        <v>0</v>
      </c>
      <c r="CN368" s="17">
        <f t="shared" si="20"/>
        <v>0</v>
      </c>
      <c r="CO368" s="17">
        <f t="shared" si="20"/>
        <v>0</v>
      </c>
      <c r="CP368" s="17">
        <f t="shared" si="20"/>
        <v>0</v>
      </c>
      <c r="CQ368" s="17">
        <f t="shared" si="20"/>
        <v>0</v>
      </c>
      <c r="CR368" s="17">
        <f t="shared" si="20"/>
        <v>0</v>
      </c>
      <c r="CS368" s="17">
        <f t="shared" si="21"/>
        <v>0</v>
      </c>
      <c r="CT368" s="17">
        <f t="shared" si="21"/>
        <v>0</v>
      </c>
      <c r="CU368" s="17">
        <f t="shared" si="21"/>
        <v>0</v>
      </c>
      <c r="CV368" s="17">
        <f t="shared" si="21"/>
        <v>0</v>
      </c>
      <c r="CW368" s="17">
        <f t="shared" si="21"/>
        <v>0</v>
      </c>
      <c r="CX368" s="17">
        <f t="shared" si="21"/>
        <v>0</v>
      </c>
      <c r="CY368" s="17">
        <f t="shared" si="21"/>
        <v>0</v>
      </c>
      <c r="CZ368" s="17">
        <f t="shared" si="21"/>
        <v>0</v>
      </c>
      <c r="DA368" s="17">
        <f t="shared" si="21"/>
        <v>0</v>
      </c>
      <c r="DB368" s="17">
        <f t="shared" si="21"/>
        <v>0</v>
      </c>
      <c r="DD368" s="14">
        <f t="shared" si="22"/>
        <v>-9</v>
      </c>
      <c r="DF368" s="17">
        <f t="shared" ca="1" si="23"/>
        <v>76</v>
      </c>
      <c r="DG368" s="17">
        <f t="shared" ca="1" si="24"/>
        <v>170</v>
      </c>
      <c r="DH368" s="17">
        <f ca="1">SUM($DF$360:DF368)/$DG$359</f>
        <v>0.95862740326113405</v>
      </c>
      <c r="DI368" s="17">
        <f t="shared" ca="1" si="25"/>
        <v>0.95862740326113405</v>
      </c>
      <c r="DK368" s="17">
        <v>9</v>
      </c>
      <c r="DP368" s="21"/>
      <c r="DQ368" s="21"/>
      <c r="DR368" s="21"/>
      <c r="DS368" s="21"/>
      <c r="DT368" s="21"/>
      <c r="DU368" s="21"/>
      <c r="DV368" s="21"/>
      <c r="DW368" s="21"/>
      <c r="DX368" s="21"/>
      <c r="DY368" s="21"/>
      <c r="DZ368" s="21"/>
      <c r="EA368" s="21"/>
    </row>
    <row r="369" spans="7:131" s="17" customFormat="1" x14ac:dyDescent="0.25">
      <c r="G369" s="17">
        <f t="shared" ref="G369:P378" ca="1" si="26">IF(G$1&lt;$DD369,G$358,0)</f>
        <v>0</v>
      </c>
      <c r="H369" s="17">
        <f t="shared" ca="1" si="26"/>
        <v>0</v>
      </c>
      <c r="I369" s="17">
        <f t="shared" ca="1" si="26"/>
        <v>0</v>
      </c>
      <c r="J369" s="17">
        <f t="shared" ca="1" si="26"/>
        <v>0</v>
      </c>
      <c r="K369" s="17">
        <f t="shared" ca="1" si="26"/>
        <v>0</v>
      </c>
      <c r="L369" s="17">
        <f t="shared" ca="1" si="26"/>
        <v>0</v>
      </c>
      <c r="M369" s="17">
        <f t="shared" ca="1" si="26"/>
        <v>0</v>
      </c>
      <c r="N369" s="17">
        <f t="shared" ca="1" si="26"/>
        <v>0</v>
      </c>
      <c r="O369" s="17">
        <f t="shared" ca="1" si="26"/>
        <v>0</v>
      </c>
      <c r="P369" s="17">
        <f t="shared" ca="1" si="26"/>
        <v>0</v>
      </c>
      <c r="Q369" s="17">
        <f t="shared" ref="Q369:Z378" ca="1" si="27">IF(Q$1&lt;$DD369,Q$358,0)</f>
        <v>0</v>
      </c>
      <c r="R369" s="17">
        <f t="shared" ca="1" si="27"/>
        <v>0</v>
      </c>
      <c r="S369" s="17">
        <f t="shared" ca="1" si="27"/>
        <v>0</v>
      </c>
      <c r="T369" s="17">
        <f t="shared" ca="1" si="27"/>
        <v>0</v>
      </c>
      <c r="U369" s="17">
        <f t="shared" ca="1" si="27"/>
        <v>0</v>
      </c>
      <c r="V369" s="17">
        <f t="shared" ca="1" si="27"/>
        <v>0</v>
      </c>
      <c r="W369" s="17">
        <f t="shared" ca="1" si="27"/>
        <v>0</v>
      </c>
      <c r="X369" s="17">
        <f t="shared" ca="1" si="27"/>
        <v>0</v>
      </c>
      <c r="Y369" s="17">
        <f t="shared" ca="1" si="27"/>
        <v>0</v>
      </c>
      <c r="Z369" s="17">
        <f t="shared" ca="1" si="27"/>
        <v>0</v>
      </c>
      <c r="AA369" s="17">
        <f t="shared" ref="AA369:AJ378" ca="1" si="28">IF(AA$1&lt;$DD369,AA$358,0)</f>
        <v>0</v>
      </c>
      <c r="AB369" s="17">
        <f t="shared" ca="1" si="28"/>
        <v>0</v>
      </c>
      <c r="AC369" s="17">
        <f t="shared" ca="1" si="28"/>
        <v>0</v>
      </c>
      <c r="AD369" s="17">
        <f t="shared" ca="1" si="28"/>
        <v>0</v>
      </c>
      <c r="AE369" s="17">
        <f t="shared" ca="1" si="28"/>
        <v>0</v>
      </c>
      <c r="AF369" s="17">
        <f t="shared" ca="1" si="28"/>
        <v>0</v>
      </c>
      <c r="AG369" s="17">
        <f t="shared" ca="1" si="28"/>
        <v>0</v>
      </c>
      <c r="AH369" s="17">
        <f t="shared" ca="1" si="28"/>
        <v>0</v>
      </c>
      <c r="AI369" s="17">
        <f t="shared" ca="1" si="28"/>
        <v>0</v>
      </c>
      <c r="AJ369" s="17">
        <f t="shared" ca="1" si="28"/>
        <v>0</v>
      </c>
      <c r="AK369" s="17">
        <f t="shared" ref="AK369:AT378" ca="1" si="29">IF(AK$1&lt;$DD369,AK$358,0)</f>
        <v>0</v>
      </c>
      <c r="AL369" s="17">
        <f t="shared" ca="1" si="29"/>
        <v>0</v>
      </c>
      <c r="AM369" s="17">
        <f t="shared" ca="1" si="29"/>
        <v>0</v>
      </c>
      <c r="AN369" s="17">
        <f t="shared" ca="1" si="29"/>
        <v>0</v>
      </c>
      <c r="AO369" s="17">
        <f t="shared" ca="1" si="29"/>
        <v>6</v>
      </c>
      <c r="AP369" s="17">
        <f t="shared" ca="1" si="29"/>
        <v>9</v>
      </c>
      <c r="AQ369" s="17">
        <f t="shared" ca="1" si="29"/>
        <v>10</v>
      </c>
      <c r="AR369" s="17">
        <f t="shared" ca="1" si="29"/>
        <v>19</v>
      </c>
      <c r="AS369" s="17">
        <f t="shared" ca="1" si="29"/>
        <v>32</v>
      </c>
      <c r="AT369" s="17">
        <f t="shared" ca="1" si="29"/>
        <v>41</v>
      </c>
      <c r="AU369" s="17">
        <f t="shared" ref="AU369:BD378" si="30">IF(AU$1&lt;$DD369,AU$358,0)</f>
        <v>0</v>
      </c>
      <c r="AV369" s="17">
        <f t="shared" si="30"/>
        <v>0</v>
      </c>
      <c r="AW369" s="17">
        <f t="shared" si="30"/>
        <v>0</v>
      </c>
      <c r="AX369" s="17">
        <f t="shared" si="30"/>
        <v>0</v>
      </c>
      <c r="AY369" s="17">
        <f t="shared" si="30"/>
        <v>0</v>
      </c>
      <c r="AZ369" s="17">
        <f t="shared" si="30"/>
        <v>0</v>
      </c>
      <c r="BA369" s="17">
        <f t="shared" si="30"/>
        <v>0</v>
      </c>
      <c r="BB369" s="17">
        <f t="shared" si="30"/>
        <v>0</v>
      </c>
      <c r="BC369" s="17">
        <f t="shared" si="30"/>
        <v>0</v>
      </c>
      <c r="BD369" s="17">
        <f t="shared" si="30"/>
        <v>0</v>
      </c>
      <c r="BE369" s="17">
        <f t="shared" ref="BE369:BN378" si="31">IF(BE$1&lt;$DD369,BE$358,0)</f>
        <v>0</v>
      </c>
      <c r="BF369" s="17">
        <f t="shared" si="31"/>
        <v>0</v>
      </c>
      <c r="BG369" s="17">
        <f t="shared" si="31"/>
        <v>0</v>
      </c>
      <c r="BH369" s="17">
        <f t="shared" si="31"/>
        <v>0</v>
      </c>
      <c r="BI369" s="17">
        <f t="shared" si="31"/>
        <v>0</v>
      </c>
      <c r="BJ369" s="17">
        <f t="shared" si="31"/>
        <v>0</v>
      </c>
      <c r="BK369" s="17">
        <f t="shared" si="31"/>
        <v>0</v>
      </c>
      <c r="BL369" s="17">
        <f t="shared" si="31"/>
        <v>0</v>
      </c>
      <c r="BM369" s="17">
        <f t="shared" si="31"/>
        <v>0</v>
      </c>
      <c r="BN369" s="17">
        <f t="shared" si="31"/>
        <v>0</v>
      </c>
      <c r="BO369" s="17">
        <f t="shared" ref="BO369:BX378" si="32">IF(BO$1&lt;$DD369,BO$358,0)</f>
        <v>0</v>
      </c>
      <c r="BP369" s="17">
        <f t="shared" si="32"/>
        <v>0</v>
      </c>
      <c r="BQ369" s="17">
        <f t="shared" si="32"/>
        <v>0</v>
      </c>
      <c r="BR369" s="17">
        <f t="shared" si="32"/>
        <v>0</v>
      </c>
      <c r="BS369" s="17">
        <f t="shared" si="32"/>
        <v>0</v>
      </c>
      <c r="BT369" s="17">
        <f t="shared" si="32"/>
        <v>0</v>
      </c>
      <c r="BU369" s="17">
        <f t="shared" si="32"/>
        <v>0</v>
      </c>
      <c r="BV369" s="17">
        <f t="shared" si="32"/>
        <v>0</v>
      </c>
      <c r="BW369" s="17">
        <f t="shared" si="32"/>
        <v>0</v>
      </c>
      <c r="BX369" s="17">
        <f t="shared" si="32"/>
        <v>0</v>
      </c>
      <c r="BY369" s="17">
        <f t="shared" ref="BY369:CH378" si="33">IF(BY$1&lt;$DD369,BY$358,0)</f>
        <v>0</v>
      </c>
      <c r="BZ369" s="17">
        <f t="shared" si="33"/>
        <v>0</v>
      </c>
      <c r="CA369" s="17">
        <f t="shared" si="33"/>
        <v>0</v>
      </c>
      <c r="CB369" s="17">
        <f t="shared" si="33"/>
        <v>0</v>
      </c>
      <c r="CC369" s="17">
        <f t="shared" si="33"/>
        <v>0</v>
      </c>
      <c r="CD369" s="17">
        <f t="shared" si="33"/>
        <v>0</v>
      </c>
      <c r="CE369" s="17">
        <f t="shared" si="33"/>
        <v>0</v>
      </c>
      <c r="CF369" s="17">
        <f t="shared" si="33"/>
        <v>0</v>
      </c>
      <c r="CG369" s="17">
        <f t="shared" si="33"/>
        <v>0</v>
      </c>
      <c r="CH369" s="17">
        <f t="shared" si="33"/>
        <v>0</v>
      </c>
      <c r="CI369" s="17">
        <f t="shared" ref="CI369:CR378" si="34">IF(CI$1&lt;$DD369,CI$358,0)</f>
        <v>0</v>
      </c>
      <c r="CJ369" s="17">
        <f t="shared" si="34"/>
        <v>0</v>
      </c>
      <c r="CK369" s="17">
        <f t="shared" si="34"/>
        <v>0</v>
      </c>
      <c r="CL369" s="17">
        <f t="shared" si="34"/>
        <v>0</v>
      </c>
      <c r="CM369" s="17">
        <f t="shared" si="34"/>
        <v>0</v>
      </c>
      <c r="CN369" s="17">
        <f t="shared" si="34"/>
        <v>0</v>
      </c>
      <c r="CO369" s="17">
        <f t="shared" si="34"/>
        <v>0</v>
      </c>
      <c r="CP369" s="17">
        <f t="shared" si="34"/>
        <v>0</v>
      </c>
      <c r="CQ369" s="17">
        <f t="shared" si="34"/>
        <v>0</v>
      </c>
      <c r="CR369" s="17">
        <f t="shared" si="34"/>
        <v>0</v>
      </c>
      <c r="CS369" s="17">
        <f t="shared" ref="CS369:DB378" si="35">IF(CS$1&lt;$DD369,CS$358,0)</f>
        <v>0</v>
      </c>
      <c r="CT369" s="17">
        <f t="shared" si="35"/>
        <v>0</v>
      </c>
      <c r="CU369" s="17">
        <f t="shared" si="35"/>
        <v>0</v>
      </c>
      <c r="CV369" s="17">
        <f t="shared" si="35"/>
        <v>0</v>
      </c>
      <c r="CW369" s="17">
        <f t="shared" si="35"/>
        <v>0</v>
      </c>
      <c r="CX369" s="17">
        <f t="shared" si="35"/>
        <v>0</v>
      </c>
      <c r="CY369" s="17">
        <f t="shared" si="35"/>
        <v>0</v>
      </c>
      <c r="CZ369" s="17">
        <f t="shared" si="35"/>
        <v>0</v>
      </c>
      <c r="DA369" s="17">
        <f t="shared" si="35"/>
        <v>0</v>
      </c>
      <c r="DB369" s="17">
        <f t="shared" si="35"/>
        <v>0</v>
      </c>
      <c r="DD369" s="14">
        <f t="shared" si="22"/>
        <v>-10</v>
      </c>
      <c r="DF369" s="17">
        <f t="shared" ca="1" si="23"/>
        <v>53</v>
      </c>
      <c r="DG369" s="17">
        <f t="shared" ca="1" si="24"/>
        <v>117</v>
      </c>
      <c r="DH369" s="17">
        <f ca="1">SUM($DF$360:DF369)/$DG$359</f>
        <v>0.97152591871501581</v>
      </c>
      <c r="DI369" s="17">
        <f t="shared" ca="1" si="25"/>
        <v>0.97152591871501581</v>
      </c>
      <c r="DK369" s="17">
        <v>10</v>
      </c>
      <c r="DP369" s="21"/>
      <c r="DQ369" s="21"/>
      <c r="DR369" s="21"/>
      <c r="DS369" s="21"/>
      <c r="DT369" s="21"/>
      <c r="DU369" s="21"/>
      <c r="DV369" s="21"/>
      <c r="DW369" s="21"/>
      <c r="DX369" s="21"/>
      <c r="DY369" s="21"/>
      <c r="DZ369" s="21"/>
      <c r="EA369" s="21"/>
    </row>
    <row r="370" spans="7:131" s="17" customFormat="1" x14ac:dyDescent="0.25">
      <c r="G370" s="17">
        <f t="shared" ca="1" si="26"/>
        <v>0</v>
      </c>
      <c r="H370" s="17">
        <f t="shared" ca="1" si="26"/>
        <v>0</v>
      </c>
      <c r="I370" s="17">
        <f t="shared" ca="1" si="26"/>
        <v>0</v>
      </c>
      <c r="J370" s="17">
        <f t="shared" ca="1" si="26"/>
        <v>0</v>
      </c>
      <c r="K370" s="17">
        <f t="shared" ca="1" si="26"/>
        <v>0</v>
      </c>
      <c r="L370" s="17">
        <f t="shared" ca="1" si="26"/>
        <v>0</v>
      </c>
      <c r="M370" s="17">
        <f t="shared" ca="1" si="26"/>
        <v>0</v>
      </c>
      <c r="N370" s="17">
        <f t="shared" ca="1" si="26"/>
        <v>0</v>
      </c>
      <c r="O370" s="17">
        <f t="shared" ca="1" si="26"/>
        <v>0</v>
      </c>
      <c r="P370" s="17">
        <f t="shared" ca="1" si="26"/>
        <v>0</v>
      </c>
      <c r="Q370" s="17">
        <f t="shared" ca="1" si="27"/>
        <v>0</v>
      </c>
      <c r="R370" s="17">
        <f t="shared" ca="1" si="27"/>
        <v>0</v>
      </c>
      <c r="S370" s="17">
        <f t="shared" ca="1" si="27"/>
        <v>0</v>
      </c>
      <c r="T370" s="17">
        <f t="shared" ca="1" si="27"/>
        <v>0</v>
      </c>
      <c r="U370" s="17">
        <f t="shared" ca="1" si="27"/>
        <v>0</v>
      </c>
      <c r="V370" s="17">
        <f t="shared" ca="1" si="27"/>
        <v>0</v>
      </c>
      <c r="W370" s="17">
        <f t="shared" ca="1" si="27"/>
        <v>0</v>
      </c>
      <c r="X370" s="17">
        <f t="shared" ca="1" si="27"/>
        <v>0</v>
      </c>
      <c r="Y370" s="17">
        <f t="shared" ca="1" si="27"/>
        <v>0</v>
      </c>
      <c r="Z370" s="17">
        <f t="shared" ca="1" si="27"/>
        <v>0</v>
      </c>
      <c r="AA370" s="17">
        <f t="shared" ca="1" si="28"/>
        <v>0</v>
      </c>
      <c r="AB370" s="17">
        <f t="shared" ca="1" si="28"/>
        <v>0</v>
      </c>
      <c r="AC370" s="17">
        <f t="shared" ca="1" si="28"/>
        <v>0</v>
      </c>
      <c r="AD370" s="17">
        <f t="shared" ca="1" si="28"/>
        <v>0</v>
      </c>
      <c r="AE370" s="17">
        <f t="shared" ca="1" si="28"/>
        <v>0</v>
      </c>
      <c r="AF370" s="17">
        <f t="shared" ca="1" si="28"/>
        <v>0</v>
      </c>
      <c r="AG370" s="17">
        <f t="shared" ca="1" si="28"/>
        <v>0</v>
      </c>
      <c r="AH370" s="17">
        <f t="shared" ca="1" si="28"/>
        <v>0</v>
      </c>
      <c r="AI370" s="17">
        <f t="shared" ca="1" si="28"/>
        <v>0</v>
      </c>
      <c r="AJ370" s="17">
        <f t="shared" ca="1" si="28"/>
        <v>0</v>
      </c>
      <c r="AK370" s="17">
        <f t="shared" ca="1" si="29"/>
        <v>0</v>
      </c>
      <c r="AL370" s="17">
        <f t="shared" ca="1" si="29"/>
        <v>0</v>
      </c>
      <c r="AM370" s="17">
        <f t="shared" ca="1" si="29"/>
        <v>0</v>
      </c>
      <c r="AN370" s="17">
        <f t="shared" ca="1" si="29"/>
        <v>0</v>
      </c>
      <c r="AO370" s="17">
        <f t="shared" ca="1" si="29"/>
        <v>6</v>
      </c>
      <c r="AP370" s="17">
        <f t="shared" ca="1" si="29"/>
        <v>9</v>
      </c>
      <c r="AQ370" s="17">
        <f t="shared" ca="1" si="29"/>
        <v>10</v>
      </c>
      <c r="AR370" s="17">
        <f t="shared" ca="1" si="29"/>
        <v>19</v>
      </c>
      <c r="AS370" s="17">
        <f t="shared" ca="1" si="29"/>
        <v>32</v>
      </c>
      <c r="AT370" s="17">
        <f t="shared" si="29"/>
        <v>0</v>
      </c>
      <c r="AU370" s="17">
        <f t="shared" si="30"/>
        <v>0</v>
      </c>
      <c r="AV370" s="17">
        <f t="shared" si="30"/>
        <v>0</v>
      </c>
      <c r="AW370" s="17">
        <f t="shared" si="30"/>
        <v>0</v>
      </c>
      <c r="AX370" s="17">
        <f t="shared" si="30"/>
        <v>0</v>
      </c>
      <c r="AY370" s="17">
        <f t="shared" si="30"/>
        <v>0</v>
      </c>
      <c r="AZ370" s="17">
        <f t="shared" si="30"/>
        <v>0</v>
      </c>
      <c r="BA370" s="17">
        <f t="shared" si="30"/>
        <v>0</v>
      </c>
      <c r="BB370" s="17">
        <f t="shared" si="30"/>
        <v>0</v>
      </c>
      <c r="BC370" s="17">
        <f t="shared" si="30"/>
        <v>0</v>
      </c>
      <c r="BD370" s="17">
        <f t="shared" si="30"/>
        <v>0</v>
      </c>
      <c r="BE370" s="17">
        <f t="shared" si="31"/>
        <v>0</v>
      </c>
      <c r="BF370" s="17">
        <f t="shared" si="31"/>
        <v>0</v>
      </c>
      <c r="BG370" s="17">
        <f t="shared" si="31"/>
        <v>0</v>
      </c>
      <c r="BH370" s="17">
        <f t="shared" si="31"/>
        <v>0</v>
      </c>
      <c r="BI370" s="17">
        <f t="shared" si="31"/>
        <v>0</v>
      </c>
      <c r="BJ370" s="17">
        <f t="shared" si="31"/>
        <v>0</v>
      </c>
      <c r="BK370" s="17">
        <f t="shared" si="31"/>
        <v>0</v>
      </c>
      <c r="BL370" s="17">
        <f t="shared" si="31"/>
        <v>0</v>
      </c>
      <c r="BM370" s="17">
        <f t="shared" si="31"/>
        <v>0</v>
      </c>
      <c r="BN370" s="17">
        <f t="shared" si="31"/>
        <v>0</v>
      </c>
      <c r="BO370" s="17">
        <f t="shared" si="32"/>
        <v>0</v>
      </c>
      <c r="BP370" s="17">
        <f t="shared" si="32"/>
        <v>0</v>
      </c>
      <c r="BQ370" s="17">
        <f t="shared" si="32"/>
        <v>0</v>
      </c>
      <c r="BR370" s="17">
        <f t="shared" si="32"/>
        <v>0</v>
      </c>
      <c r="BS370" s="17">
        <f t="shared" si="32"/>
        <v>0</v>
      </c>
      <c r="BT370" s="17">
        <f t="shared" si="32"/>
        <v>0</v>
      </c>
      <c r="BU370" s="17">
        <f t="shared" si="32"/>
        <v>0</v>
      </c>
      <c r="BV370" s="17">
        <f t="shared" si="32"/>
        <v>0</v>
      </c>
      <c r="BW370" s="17">
        <f t="shared" si="32"/>
        <v>0</v>
      </c>
      <c r="BX370" s="17">
        <f t="shared" si="32"/>
        <v>0</v>
      </c>
      <c r="BY370" s="17">
        <f t="shared" si="33"/>
        <v>0</v>
      </c>
      <c r="BZ370" s="17">
        <f t="shared" si="33"/>
        <v>0</v>
      </c>
      <c r="CA370" s="17">
        <f t="shared" si="33"/>
        <v>0</v>
      </c>
      <c r="CB370" s="17">
        <f t="shared" si="33"/>
        <v>0</v>
      </c>
      <c r="CC370" s="17">
        <f t="shared" si="33"/>
        <v>0</v>
      </c>
      <c r="CD370" s="17">
        <f t="shared" si="33"/>
        <v>0</v>
      </c>
      <c r="CE370" s="17">
        <f t="shared" si="33"/>
        <v>0</v>
      </c>
      <c r="CF370" s="17">
        <f t="shared" si="33"/>
        <v>0</v>
      </c>
      <c r="CG370" s="17">
        <f t="shared" si="33"/>
        <v>0</v>
      </c>
      <c r="CH370" s="17">
        <f t="shared" si="33"/>
        <v>0</v>
      </c>
      <c r="CI370" s="17">
        <f t="shared" si="34"/>
        <v>0</v>
      </c>
      <c r="CJ370" s="17">
        <f t="shared" si="34"/>
        <v>0</v>
      </c>
      <c r="CK370" s="17">
        <f t="shared" si="34"/>
        <v>0</v>
      </c>
      <c r="CL370" s="17">
        <f t="shared" si="34"/>
        <v>0</v>
      </c>
      <c r="CM370" s="17">
        <f t="shared" si="34"/>
        <v>0</v>
      </c>
      <c r="CN370" s="17">
        <f t="shared" si="34"/>
        <v>0</v>
      </c>
      <c r="CO370" s="17">
        <f t="shared" si="34"/>
        <v>0</v>
      </c>
      <c r="CP370" s="17">
        <f t="shared" si="34"/>
        <v>0</v>
      </c>
      <c r="CQ370" s="17">
        <f t="shared" si="34"/>
        <v>0</v>
      </c>
      <c r="CR370" s="17">
        <f t="shared" si="34"/>
        <v>0</v>
      </c>
      <c r="CS370" s="17">
        <f t="shared" si="35"/>
        <v>0</v>
      </c>
      <c r="CT370" s="17">
        <f t="shared" si="35"/>
        <v>0</v>
      </c>
      <c r="CU370" s="17">
        <f t="shared" si="35"/>
        <v>0</v>
      </c>
      <c r="CV370" s="17">
        <f t="shared" si="35"/>
        <v>0</v>
      </c>
      <c r="CW370" s="17">
        <f t="shared" si="35"/>
        <v>0</v>
      </c>
      <c r="CX370" s="17">
        <f t="shared" si="35"/>
        <v>0</v>
      </c>
      <c r="CY370" s="17">
        <f t="shared" si="35"/>
        <v>0</v>
      </c>
      <c r="CZ370" s="17">
        <f t="shared" si="35"/>
        <v>0</v>
      </c>
      <c r="DA370" s="17">
        <f t="shared" si="35"/>
        <v>0</v>
      </c>
      <c r="DB370" s="17">
        <f t="shared" si="35"/>
        <v>0</v>
      </c>
      <c r="DD370" s="14">
        <f t="shared" si="22"/>
        <v>-11</v>
      </c>
      <c r="DF370" s="17">
        <f t="shared" ca="1" si="23"/>
        <v>41</v>
      </c>
      <c r="DG370" s="17">
        <f t="shared" ca="1" si="24"/>
        <v>76</v>
      </c>
      <c r="DH370" s="17">
        <f ca="1">SUM($DF$360:DF370)/$DG$359</f>
        <v>0.98150401557556588</v>
      </c>
      <c r="DI370" s="17">
        <f t="shared" ca="1" si="25"/>
        <v>0.98150401557556588</v>
      </c>
      <c r="DK370" s="17">
        <v>11</v>
      </c>
      <c r="DP370" s="21"/>
      <c r="DQ370" s="21"/>
      <c r="DR370" s="21"/>
      <c r="DS370" s="21"/>
      <c r="DT370" s="21"/>
      <c r="DU370" s="21"/>
      <c r="DV370" s="21"/>
      <c r="DW370" s="21"/>
      <c r="DX370" s="21"/>
      <c r="DY370" s="21"/>
      <c r="DZ370" s="21"/>
      <c r="EA370" s="21"/>
    </row>
    <row r="371" spans="7:131" s="17" customFormat="1" x14ac:dyDescent="0.25">
      <c r="G371" s="17">
        <f t="shared" ca="1" si="26"/>
        <v>0</v>
      </c>
      <c r="H371" s="17">
        <f t="shared" ca="1" si="26"/>
        <v>0</v>
      </c>
      <c r="I371" s="17">
        <f t="shared" ca="1" si="26"/>
        <v>0</v>
      </c>
      <c r="J371" s="17">
        <f t="shared" ca="1" si="26"/>
        <v>0</v>
      </c>
      <c r="K371" s="17">
        <f t="shared" ca="1" si="26"/>
        <v>0</v>
      </c>
      <c r="L371" s="17">
        <f t="shared" ca="1" si="26"/>
        <v>0</v>
      </c>
      <c r="M371" s="17">
        <f t="shared" ca="1" si="26"/>
        <v>0</v>
      </c>
      <c r="N371" s="17">
        <f t="shared" ca="1" si="26"/>
        <v>0</v>
      </c>
      <c r="O371" s="17">
        <f t="shared" ca="1" si="26"/>
        <v>0</v>
      </c>
      <c r="P371" s="17">
        <f t="shared" ca="1" si="26"/>
        <v>0</v>
      </c>
      <c r="Q371" s="17">
        <f t="shared" ca="1" si="27"/>
        <v>0</v>
      </c>
      <c r="R371" s="17">
        <f t="shared" ca="1" si="27"/>
        <v>0</v>
      </c>
      <c r="S371" s="17">
        <f t="shared" ca="1" si="27"/>
        <v>0</v>
      </c>
      <c r="T371" s="17">
        <f t="shared" ca="1" si="27"/>
        <v>0</v>
      </c>
      <c r="U371" s="17">
        <f t="shared" ca="1" si="27"/>
        <v>0</v>
      </c>
      <c r="V371" s="17">
        <f t="shared" ca="1" si="27"/>
        <v>0</v>
      </c>
      <c r="W371" s="17">
        <f t="shared" ca="1" si="27"/>
        <v>0</v>
      </c>
      <c r="X371" s="17">
        <f t="shared" ca="1" si="27"/>
        <v>0</v>
      </c>
      <c r="Y371" s="17">
        <f t="shared" ca="1" si="27"/>
        <v>0</v>
      </c>
      <c r="Z371" s="17">
        <f t="shared" ca="1" si="27"/>
        <v>0</v>
      </c>
      <c r="AA371" s="17">
        <f t="shared" ca="1" si="28"/>
        <v>0</v>
      </c>
      <c r="AB371" s="17">
        <f t="shared" ca="1" si="28"/>
        <v>0</v>
      </c>
      <c r="AC371" s="17">
        <f t="shared" ca="1" si="28"/>
        <v>0</v>
      </c>
      <c r="AD371" s="17">
        <f t="shared" ca="1" si="28"/>
        <v>0</v>
      </c>
      <c r="AE371" s="17">
        <f t="shared" ca="1" si="28"/>
        <v>0</v>
      </c>
      <c r="AF371" s="17">
        <f t="shared" ca="1" si="28"/>
        <v>0</v>
      </c>
      <c r="AG371" s="17">
        <f t="shared" ca="1" si="28"/>
        <v>0</v>
      </c>
      <c r="AH371" s="17">
        <f t="shared" ca="1" si="28"/>
        <v>0</v>
      </c>
      <c r="AI371" s="17">
        <f t="shared" ca="1" si="28"/>
        <v>0</v>
      </c>
      <c r="AJ371" s="17">
        <f t="shared" ca="1" si="28"/>
        <v>0</v>
      </c>
      <c r="AK371" s="17">
        <f t="shared" ca="1" si="29"/>
        <v>0</v>
      </c>
      <c r="AL371" s="17">
        <f t="shared" ca="1" si="29"/>
        <v>0</v>
      </c>
      <c r="AM371" s="17">
        <f t="shared" ca="1" si="29"/>
        <v>0</v>
      </c>
      <c r="AN371" s="17">
        <f t="shared" ca="1" si="29"/>
        <v>0</v>
      </c>
      <c r="AO371" s="17">
        <f t="shared" ca="1" si="29"/>
        <v>6</v>
      </c>
      <c r="AP371" s="17">
        <f t="shared" ca="1" si="29"/>
        <v>9</v>
      </c>
      <c r="AQ371" s="17">
        <f t="shared" ca="1" si="29"/>
        <v>10</v>
      </c>
      <c r="AR371" s="17">
        <f t="shared" ca="1" si="29"/>
        <v>19</v>
      </c>
      <c r="AS371" s="17">
        <f t="shared" si="29"/>
        <v>0</v>
      </c>
      <c r="AT371" s="17">
        <f t="shared" si="29"/>
        <v>0</v>
      </c>
      <c r="AU371" s="17">
        <f t="shared" si="30"/>
        <v>0</v>
      </c>
      <c r="AV371" s="17">
        <f t="shared" si="30"/>
        <v>0</v>
      </c>
      <c r="AW371" s="17">
        <f t="shared" si="30"/>
        <v>0</v>
      </c>
      <c r="AX371" s="17">
        <f t="shared" si="30"/>
        <v>0</v>
      </c>
      <c r="AY371" s="17">
        <f t="shared" si="30"/>
        <v>0</v>
      </c>
      <c r="AZ371" s="17">
        <f t="shared" si="30"/>
        <v>0</v>
      </c>
      <c r="BA371" s="17">
        <f t="shared" si="30"/>
        <v>0</v>
      </c>
      <c r="BB371" s="17">
        <f t="shared" si="30"/>
        <v>0</v>
      </c>
      <c r="BC371" s="17">
        <f t="shared" si="30"/>
        <v>0</v>
      </c>
      <c r="BD371" s="17">
        <f t="shared" si="30"/>
        <v>0</v>
      </c>
      <c r="BE371" s="17">
        <f t="shared" si="31"/>
        <v>0</v>
      </c>
      <c r="BF371" s="17">
        <f t="shared" si="31"/>
        <v>0</v>
      </c>
      <c r="BG371" s="17">
        <f t="shared" si="31"/>
        <v>0</v>
      </c>
      <c r="BH371" s="17">
        <f t="shared" si="31"/>
        <v>0</v>
      </c>
      <c r="BI371" s="17">
        <f t="shared" si="31"/>
        <v>0</v>
      </c>
      <c r="BJ371" s="17">
        <f t="shared" si="31"/>
        <v>0</v>
      </c>
      <c r="BK371" s="17">
        <f t="shared" si="31"/>
        <v>0</v>
      </c>
      <c r="BL371" s="17">
        <f t="shared" si="31"/>
        <v>0</v>
      </c>
      <c r="BM371" s="17">
        <f t="shared" si="31"/>
        <v>0</v>
      </c>
      <c r="BN371" s="17">
        <f t="shared" si="31"/>
        <v>0</v>
      </c>
      <c r="BO371" s="17">
        <f t="shared" si="32"/>
        <v>0</v>
      </c>
      <c r="BP371" s="17">
        <f t="shared" si="32"/>
        <v>0</v>
      </c>
      <c r="BQ371" s="17">
        <f t="shared" si="32"/>
        <v>0</v>
      </c>
      <c r="BR371" s="17">
        <f t="shared" si="32"/>
        <v>0</v>
      </c>
      <c r="BS371" s="17">
        <f t="shared" si="32"/>
        <v>0</v>
      </c>
      <c r="BT371" s="17">
        <f t="shared" si="32"/>
        <v>0</v>
      </c>
      <c r="BU371" s="17">
        <f t="shared" si="32"/>
        <v>0</v>
      </c>
      <c r="BV371" s="17">
        <f t="shared" si="32"/>
        <v>0</v>
      </c>
      <c r="BW371" s="17">
        <f t="shared" si="32"/>
        <v>0</v>
      </c>
      <c r="BX371" s="17">
        <f t="shared" si="32"/>
        <v>0</v>
      </c>
      <c r="BY371" s="17">
        <f t="shared" si="33"/>
        <v>0</v>
      </c>
      <c r="BZ371" s="17">
        <f t="shared" si="33"/>
        <v>0</v>
      </c>
      <c r="CA371" s="17">
        <f t="shared" si="33"/>
        <v>0</v>
      </c>
      <c r="CB371" s="17">
        <f t="shared" si="33"/>
        <v>0</v>
      </c>
      <c r="CC371" s="17">
        <f t="shared" si="33"/>
        <v>0</v>
      </c>
      <c r="CD371" s="17">
        <f t="shared" si="33"/>
        <v>0</v>
      </c>
      <c r="CE371" s="17">
        <f t="shared" si="33"/>
        <v>0</v>
      </c>
      <c r="CF371" s="17">
        <f t="shared" si="33"/>
        <v>0</v>
      </c>
      <c r="CG371" s="17">
        <f t="shared" si="33"/>
        <v>0</v>
      </c>
      <c r="CH371" s="17">
        <f t="shared" si="33"/>
        <v>0</v>
      </c>
      <c r="CI371" s="17">
        <f t="shared" si="34"/>
        <v>0</v>
      </c>
      <c r="CJ371" s="17">
        <f t="shared" si="34"/>
        <v>0</v>
      </c>
      <c r="CK371" s="17">
        <f t="shared" si="34"/>
        <v>0</v>
      </c>
      <c r="CL371" s="17">
        <f t="shared" si="34"/>
        <v>0</v>
      </c>
      <c r="CM371" s="17">
        <f t="shared" si="34"/>
        <v>0</v>
      </c>
      <c r="CN371" s="17">
        <f t="shared" si="34"/>
        <v>0</v>
      </c>
      <c r="CO371" s="17">
        <f t="shared" si="34"/>
        <v>0</v>
      </c>
      <c r="CP371" s="17">
        <f t="shared" si="34"/>
        <v>0</v>
      </c>
      <c r="CQ371" s="17">
        <f t="shared" si="34"/>
        <v>0</v>
      </c>
      <c r="CR371" s="17">
        <f t="shared" si="34"/>
        <v>0</v>
      </c>
      <c r="CS371" s="17">
        <f t="shared" si="35"/>
        <v>0</v>
      </c>
      <c r="CT371" s="17">
        <f t="shared" si="35"/>
        <v>0</v>
      </c>
      <c r="CU371" s="17">
        <f t="shared" si="35"/>
        <v>0</v>
      </c>
      <c r="CV371" s="17">
        <f t="shared" si="35"/>
        <v>0</v>
      </c>
      <c r="CW371" s="17">
        <f t="shared" si="35"/>
        <v>0</v>
      </c>
      <c r="CX371" s="17">
        <f t="shared" si="35"/>
        <v>0</v>
      </c>
      <c r="CY371" s="17">
        <f t="shared" si="35"/>
        <v>0</v>
      </c>
      <c r="CZ371" s="17">
        <f t="shared" si="35"/>
        <v>0</v>
      </c>
      <c r="DA371" s="17">
        <f t="shared" si="35"/>
        <v>0</v>
      </c>
      <c r="DB371" s="17">
        <f t="shared" si="35"/>
        <v>0</v>
      </c>
      <c r="DD371" s="14">
        <f t="shared" si="22"/>
        <v>-12</v>
      </c>
      <c r="DF371" s="17">
        <f t="shared" ca="1" si="23"/>
        <v>32</v>
      </c>
      <c r="DG371" s="17">
        <f t="shared" ca="1" si="24"/>
        <v>44</v>
      </c>
      <c r="DH371" s="17">
        <f ca="1">SUM($DF$360:DF371)/$DG$359</f>
        <v>0.98929179849111704</v>
      </c>
      <c r="DI371" s="17">
        <f t="shared" ca="1" si="25"/>
        <v>0.98929179849111704</v>
      </c>
      <c r="DK371" s="17">
        <v>12</v>
      </c>
      <c r="DP371" s="21"/>
      <c r="DQ371" s="21"/>
      <c r="DR371" s="21"/>
      <c r="DS371" s="21"/>
      <c r="DT371" s="21"/>
      <c r="DU371" s="21"/>
      <c r="DV371" s="21"/>
      <c r="DW371" s="21"/>
      <c r="DX371" s="21"/>
      <c r="DY371" s="21"/>
      <c r="DZ371" s="21"/>
      <c r="EA371" s="21"/>
    </row>
    <row r="372" spans="7:131" s="17" customFormat="1" x14ac:dyDescent="0.25">
      <c r="G372" s="17">
        <f t="shared" ca="1" si="26"/>
        <v>0</v>
      </c>
      <c r="H372" s="17">
        <f t="shared" ca="1" si="26"/>
        <v>0</v>
      </c>
      <c r="I372" s="17">
        <f t="shared" ca="1" si="26"/>
        <v>0</v>
      </c>
      <c r="J372" s="17">
        <f t="shared" ca="1" si="26"/>
        <v>0</v>
      </c>
      <c r="K372" s="17">
        <f t="shared" ca="1" si="26"/>
        <v>0</v>
      </c>
      <c r="L372" s="17">
        <f t="shared" ca="1" si="26"/>
        <v>0</v>
      </c>
      <c r="M372" s="17">
        <f t="shared" ca="1" si="26"/>
        <v>0</v>
      </c>
      <c r="N372" s="17">
        <f t="shared" ca="1" si="26"/>
        <v>0</v>
      </c>
      <c r="O372" s="17">
        <f t="shared" ca="1" si="26"/>
        <v>0</v>
      </c>
      <c r="P372" s="17">
        <f t="shared" ca="1" si="26"/>
        <v>0</v>
      </c>
      <c r="Q372" s="17">
        <f t="shared" ca="1" si="27"/>
        <v>0</v>
      </c>
      <c r="R372" s="17">
        <f t="shared" ca="1" si="27"/>
        <v>0</v>
      </c>
      <c r="S372" s="17">
        <f t="shared" ca="1" si="27"/>
        <v>0</v>
      </c>
      <c r="T372" s="17">
        <f t="shared" ca="1" si="27"/>
        <v>0</v>
      </c>
      <c r="U372" s="17">
        <f t="shared" ca="1" si="27"/>
        <v>0</v>
      </c>
      <c r="V372" s="17">
        <f t="shared" ca="1" si="27"/>
        <v>0</v>
      </c>
      <c r="W372" s="17">
        <f t="shared" ca="1" si="27"/>
        <v>0</v>
      </c>
      <c r="X372" s="17">
        <f t="shared" ca="1" si="27"/>
        <v>0</v>
      </c>
      <c r="Y372" s="17">
        <f t="shared" ca="1" si="27"/>
        <v>0</v>
      </c>
      <c r="Z372" s="17">
        <f t="shared" ca="1" si="27"/>
        <v>0</v>
      </c>
      <c r="AA372" s="17">
        <f t="shared" ca="1" si="28"/>
        <v>0</v>
      </c>
      <c r="AB372" s="17">
        <f t="shared" ca="1" si="28"/>
        <v>0</v>
      </c>
      <c r="AC372" s="17">
        <f t="shared" ca="1" si="28"/>
        <v>0</v>
      </c>
      <c r="AD372" s="17">
        <f t="shared" ca="1" si="28"/>
        <v>0</v>
      </c>
      <c r="AE372" s="17">
        <f t="shared" ca="1" si="28"/>
        <v>0</v>
      </c>
      <c r="AF372" s="17">
        <f t="shared" ca="1" si="28"/>
        <v>0</v>
      </c>
      <c r="AG372" s="17">
        <f t="shared" ca="1" si="28"/>
        <v>0</v>
      </c>
      <c r="AH372" s="17">
        <f t="shared" ca="1" si="28"/>
        <v>0</v>
      </c>
      <c r="AI372" s="17">
        <f t="shared" ca="1" si="28"/>
        <v>0</v>
      </c>
      <c r="AJ372" s="17">
        <f t="shared" ca="1" si="28"/>
        <v>0</v>
      </c>
      <c r="AK372" s="17">
        <f t="shared" ca="1" si="29"/>
        <v>0</v>
      </c>
      <c r="AL372" s="17">
        <f t="shared" ca="1" si="29"/>
        <v>0</v>
      </c>
      <c r="AM372" s="17">
        <f t="shared" ca="1" si="29"/>
        <v>0</v>
      </c>
      <c r="AN372" s="17">
        <f t="shared" ca="1" si="29"/>
        <v>0</v>
      </c>
      <c r="AO372" s="17">
        <f t="shared" ca="1" si="29"/>
        <v>6</v>
      </c>
      <c r="AP372" s="17">
        <f t="shared" ca="1" si="29"/>
        <v>9</v>
      </c>
      <c r="AQ372" s="17">
        <f t="shared" ca="1" si="29"/>
        <v>10</v>
      </c>
      <c r="AR372" s="17">
        <f t="shared" si="29"/>
        <v>0</v>
      </c>
      <c r="AS372" s="17">
        <f t="shared" si="29"/>
        <v>0</v>
      </c>
      <c r="AT372" s="17">
        <f t="shared" si="29"/>
        <v>0</v>
      </c>
      <c r="AU372" s="17">
        <f t="shared" si="30"/>
        <v>0</v>
      </c>
      <c r="AV372" s="17">
        <f t="shared" si="30"/>
        <v>0</v>
      </c>
      <c r="AW372" s="17">
        <f t="shared" si="30"/>
        <v>0</v>
      </c>
      <c r="AX372" s="17">
        <f t="shared" si="30"/>
        <v>0</v>
      </c>
      <c r="AY372" s="17">
        <f t="shared" si="30"/>
        <v>0</v>
      </c>
      <c r="AZ372" s="17">
        <f t="shared" si="30"/>
        <v>0</v>
      </c>
      <c r="BA372" s="17">
        <f t="shared" si="30"/>
        <v>0</v>
      </c>
      <c r="BB372" s="17">
        <f t="shared" si="30"/>
        <v>0</v>
      </c>
      <c r="BC372" s="17">
        <f t="shared" si="30"/>
        <v>0</v>
      </c>
      <c r="BD372" s="17">
        <f t="shared" si="30"/>
        <v>0</v>
      </c>
      <c r="BE372" s="17">
        <f t="shared" si="31"/>
        <v>0</v>
      </c>
      <c r="BF372" s="17">
        <f t="shared" si="31"/>
        <v>0</v>
      </c>
      <c r="BG372" s="17">
        <f t="shared" si="31"/>
        <v>0</v>
      </c>
      <c r="BH372" s="17">
        <f t="shared" si="31"/>
        <v>0</v>
      </c>
      <c r="BI372" s="17">
        <f t="shared" si="31"/>
        <v>0</v>
      </c>
      <c r="BJ372" s="17">
        <f t="shared" si="31"/>
        <v>0</v>
      </c>
      <c r="BK372" s="17">
        <f t="shared" si="31"/>
        <v>0</v>
      </c>
      <c r="BL372" s="17">
        <f t="shared" si="31"/>
        <v>0</v>
      </c>
      <c r="BM372" s="17">
        <f t="shared" si="31"/>
        <v>0</v>
      </c>
      <c r="BN372" s="17">
        <f t="shared" si="31"/>
        <v>0</v>
      </c>
      <c r="BO372" s="17">
        <f t="shared" si="32"/>
        <v>0</v>
      </c>
      <c r="BP372" s="17">
        <f t="shared" si="32"/>
        <v>0</v>
      </c>
      <c r="BQ372" s="17">
        <f t="shared" si="32"/>
        <v>0</v>
      </c>
      <c r="BR372" s="17">
        <f t="shared" si="32"/>
        <v>0</v>
      </c>
      <c r="BS372" s="17">
        <f t="shared" si="32"/>
        <v>0</v>
      </c>
      <c r="BT372" s="17">
        <f t="shared" si="32"/>
        <v>0</v>
      </c>
      <c r="BU372" s="17">
        <f t="shared" si="32"/>
        <v>0</v>
      </c>
      <c r="BV372" s="17">
        <f t="shared" si="32"/>
        <v>0</v>
      </c>
      <c r="BW372" s="17">
        <f t="shared" si="32"/>
        <v>0</v>
      </c>
      <c r="BX372" s="17">
        <f t="shared" si="32"/>
        <v>0</v>
      </c>
      <c r="BY372" s="17">
        <f t="shared" si="33"/>
        <v>0</v>
      </c>
      <c r="BZ372" s="17">
        <f t="shared" si="33"/>
        <v>0</v>
      </c>
      <c r="CA372" s="17">
        <f t="shared" si="33"/>
        <v>0</v>
      </c>
      <c r="CB372" s="17">
        <f t="shared" si="33"/>
        <v>0</v>
      </c>
      <c r="CC372" s="17">
        <f t="shared" si="33"/>
        <v>0</v>
      </c>
      <c r="CD372" s="17">
        <f t="shared" si="33"/>
        <v>0</v>
      </c>
      <c r="CE372" s="17">
        <f t="shared" si="33"/>
        <v>0</v>
      </c>
      <c r="CF372" s="17">
        <f t="shared" si="33"/>
        <v>0</v>
      </c>
      <c r="CG372" s="17">
        <f t="shared" si="33"/>
        <v>0</v>
      </c>
      <c r="CH372" s="17">
        <f t="shared" si="33"/>
        <v>0</v>
      </c>
      <c r="CI372" s="17">
        <f t="shared" si="34"/>
        <v>0</v>
      </c>
      <c r="CJ372" s="17">
        <f t="shared" si="34"/>
        <v>0</v>
      </c>
      <c r="CK372" s="17">
        <f t="shared" si="34"/>
        <v>0</v>
      </c>
      <c r="CL372" s="17">
        <f t="shared" si="34"/>
        <v>0</v>
      </c>
      <c r="CM372" s="17">
        <f t="shared" si="34"/>
        <v>0</v>
      </c>
      <c r="CN372" s="17">
        <f t="shared" si="34"/>
        <v>0</v>
      </c>
      <c r="CO372" s="17">
        <f t="shared" si="34"/>
        <v>0</v>
      </c>
      <c r="CP372" s="17">
        <f t="shared" si="34"/>
        <v>0</v>
      </c>
      <c r="CQ372" s="17">
        <f t="shared" si="34"/>
        <v>0</v>
      </c>
      <c r="CR372" s="17">
        <f t="shared" si="34"/>
        <v>0</v>
      </c>
      <c r="CS372" s="17">
        <f t="shared" si="35"/>
        <v>0</v>
      </c>
      <c r="CT372" s="17">
        <f t="shared" si="35"/>
        <v>0</v>
      </c>
      <c r="CU372" s="17">
        <f t="shared" si="35"/>
        <v>0</v>
      </c>
      <c r="CV372" s="17">
        <f t="shared" si="35"/>
        <v>0</v>
      </c>
      <c r="CW372" s="17">
        <f t="shared" si="35"/>
        <v>0</v>
      </c>
      <c r="CX372" s="17">
        <f t="shared" si="35"/>
        <v>0</v>
      </c>
      <c r="CY372" s="17">
        <f t="shared" si="35"/>
        <v>0</v>
      </c>
      <c r="CZ372" s="17">
        <f t="shared" si="35"/>
        <v>0</v>
      </c>
      <c r="DA372" s="17">
        <f t="shared" si="35"/>
        <v>0</v>
      </c>
      <c r="DB372" s="17">
        <f t="shared" si="35"/>
        <v>0</v>
      </c>
      <c r="DD372" s="14">
        <f t="shared" si="22"/>
        <v>-13</v>
      </c>
      <c r="DF372" s="17">
        <f t="shared" ca="1" si="23"/>
        <v>19</v>
      </c>
      <c r="DG372" s="17">
        <f t="shared" ca="1" si="24"/>
        <v>25</v>
      </c>
      <c r="DH372" s="17">
        <f ca="1">SUM($DF$360:DF372)/$DG$359</f>
        <v>0.99391579459722557</v>
      </c>
      <c r="DI372" s="17">
        <f t="shared" ca="1" si="25"/>
        <v>0.99391579459722557</v>
      </c>
      <c r="DK372" s="17">
        <v>13</v>
      </c>
      <c r="DP372" s="21"/>
      <c r="DQ372" s="21"/>
      <c r="DR372" s="21"/>
      <c r="DS372" s="21"/>
      <c r="DT372" s="21"/>
      <c r="DU372" s="21"/>
      <c r="DV372" s="21"/>
      <c r="DW372" s="21"/>
      <c r="DX372" s="21"/>
      <c r="DY372" s="21"/>
      <c r="DZ372" s="21"/>
      <c r="EA372" s="21"/>
    </row>
    <row r="373" spans="7:131" s="17" customFormat="1" x14ac:dyDescent="0.25">
      <c r="G373" s="17">
        <f t="shared" ca="1" si="26"/>
        <v>0</v>
      </c>
      <c r="H373" s="17">
        <f t="shared" ca="1" si="26"/>
        <v>0</v>
      </c>
      <c r="I373" s="17">
        <f t="shared" ca="1" si="26"/>
        <v>0</v>
      </c>
      <c r="J373" s="17">
        <f t="shared" ca="1" si="26"/>
        <v>0</v>
      </c>
      <c r="K373" s="17">
        <f t="shared" ca="1" si="26"/>
        <v>0</v>
      </c>
      <c r="L373" s="17">
        <f t="shared" ca="1" si="26"/>
        <v>0</v>
      </c>
      <c r="M373" s="17">
        <f t="shared" ca="1" si="26"/>
        <v>0</v>
      </c>
      <c r="N373" s="17">
        <f t="shared" ca="1" si="26"/>
        <v>0</v>
      </c>
      <c r="O373" s="17">
        <f t="shared" ca="1" si="26"/>
        <v>0</v>
      </c>
      <c r="P373" s="17">
        <f t="shared" ca="1" si="26"/>
        <v>0</v>
      </c>
      <c r="Q373" s="17">
        <f t="shared" ca="1" si="27"/>
        <v>0</v>
      </c>
      <c r="R373" s="17">
        <f t="shared" ca="1" si="27"/>
        <v>0</v>
      </c>
      <c r="S373" s="17">
        <f t="shared" ca="1" si="27"/>
        <v>0</v>
      </c>
      <c r="T373" s="17">
        <f t="shared" ca="1" si="27"/>
        <v>0</v>
      </c>
      <c r="U373" s="17">
        <f t="shared" ca="1" si="27"/>
        <v>0</v>
      </c>
      <c r="V373" s="17">
        <f t="shared" ca="1" si="27"/>
        <v>0</v>
      </c>
      <c r="W373" s="17">
        <f t="shared" ca="1" si="27"/>
        <v>0</v>
      </c>
      <c r="X373" s="17">
        <f t="shared" ca="1" si="27"/>
        <v>0</v>
      </c>
      <c r="Y373" s="17">
        <f t="shared" ca="1" si="27"/>
        <v>0</v>
      </c>
      <c r="Z373" s="17">
        <f t="shared" ca="1" si="27"/>
        <v>0</v>
      </c>
      <c r="AA373" s="17">
        <f t="shared" ca="1" si="28"/>
        <v>0</v>
      </c>
      <c r="AB373" s="17">
        <f t="shared" ca="1" si="28"/>
        <v>0</v>
      </c>
      <c r="AC373" s="17">
        <f t="shared" ca="1" si="28"/>
        <v>0</v>
      </c>
      <c r="AD373" s="17">
        <f t="shared" ca="1" si="28"/>
        <v>0</v>
      </c>
      <c r="AE373" s="17">
        <f t="shared" ca="1" si="28"/>
        <v>0</v>
      </c>
      <c r="AF373" s="17">
        <f t="shared" ca="1" si="28"/>
        <v>0</v>
      </c>
      <c r="AG373" s="17">
        <f t="shared" ca="1" si="28"/>
        <v>0</v>
      </c>
      <c r="AH373" s="17">
        <f t="shared" ca="1" si="28"/>
        <v>0</v>
      </c>
      <c r="AI373" s="17">
        <f t="shared" ca="1" si="28"/>
        <v>0</v>
      </c>
      <c r="AJ373" s="17">
        <f t="shared" ca="1" si="28"/>
        <v>0</v>
      </c>
      <c r="AK373" s="17">
        <f t="shared" ca="1" si="29"/>
        <v>0</v>
      </c>
      <c r="AL373" s="17">
        <f t="shared" ca="1" si="29"/>
        <v>0</v>
      </c>
      <c r="AM373" s="17">
        <f t="shared" ca="1" si="29"/>
        <v>0</v>
      </c>
      <c r="AN373" s="17">
        <f t="shared" ca="1" si="29"/>
        <v>0</v>
      </c>
      <c r="AO373" s="17">
        <f t="shared" ca="1" si="29"/>
        <v>6</v>
      </c>
      <c r="AP373" s="17">
        <f t="shared" ca="1" si="29"/>
        <v>9</v>
      </c>
      <c r="AQ373" s="17">
        <f t="shared" si="29"/>
        <v>0</v>
      </c>
      <c r="AR373" s="17">
        <f t="shared" si="29"/>
        <v>0</v>
      </c>
      <c r="AS373" s="17">
        <f t="shared" si="29"/>
        <v>0</v>
      </c>
      <c r="AT373" s="17">
        <f t="shared" si="29"/>
        <v>0</v>
      </c>
      <c r="AU373" s="17">
        <f t="shared" si="30"/>
        <v>0</v>
      </c>
      <c r="AV373" s="17">
        <f t="shared" si="30"/>
        <v>0</v>
      </c>
      <c r="AW373" s="17">
        <f t="shared" si="30"/>
        <v>0</v>
      </c>
      <c r="AX373" s="17">
        <f t="shared" si="30"/>
        <v>0</v>
      </c>
      <c r="AY373" s="17">
        <f t="shared" si="30"/>
        <v>0</v>
      </c>
      <c r="AZ373" s="17">
        <f t="shared" si="30"/>
        <v>0</v>
      </c>
      <c r="BA373" s="17">
        <f t="shared" si="30"/>
        <v>0</v>
      </c>
      <c r="BB373" s="17">
        <f t="shared" si="30"/>
        <v>0</v>
      </c>
      <c r="BC373" s="17">
        <f t="shared" si="30"/>
        <v>0</v>
      </c>
      <c r="BD373" s="17">
        <f t="shared" si="30"/>
        <v>0</v>
      </c>
      <c r="BE373" s="17">
        <f t="shared" si="31"/>
        <v>0</v>
      </c>
      <c r="BF373" s="17">
        <f t="shared" si="31"/>
        <v>0</v>
      </c>
      <c r="BG373" s="17">
        <f t="shared" si="31"/>
        <v>0</v>
      </c>
      <c r="BH373" s="17">
        <f t="shared" si="31"/>
        <v>0</v>
      </c>
      <c r="BI373" s="17">
        <f t="shared" si="31"/>
        <v>0</v>
      </c>
      <c r="BJ373" s="17">
        <f t="shared" si="31"/>
        <v>0</v>
      </c>
      <c r="BK373" s="17">
        <f t="shared" si="31"/>
        <v>0</v>
      </c>
      <c r="BL373" s="17">
        <f t="shared" si="31"/>
        <v>0</v>
      </c>
      <c r="BM373" s="17">
        <f t="shared" si="31"/>
        <v>0</v>
      </c>
      <c r="BN373" s="17">
        <f t="shared" si="31"/>
        <v>0</v>
      </c>
      <c r="BO373" s="17">
        <f t="shared" si="32"/>
        <v>0</v>
      </c>
      <c r="BP373" s="17">
        <f t="shared" si="32"/>
        <v>0</v>
      </c>
      <c r="BQ373" s="17">
        <f t="shared" si="32"/>
        <v>0</v>
      </c>
      <c r="BR373" s="17">
        <f t="shared" si="32"/>
        <v>0</v>
      </c>
      <c r="BS373" s="17">
        <f t="shared" si="32"/>
        <v>0</v>
      </c>
      <c r="BT373" s="17">
        <f t="shared" si="32"/>
        <v>0</v>
      </c>
      <c r="BU373" s="17">
        <f t="shared" si="32"/>
        <v>0</v>
      </c>
      <c r="BV373" s="17">
        <f t="shared" si="32"/>
        <v>0</v>
      </c>
      <c r="BW373" s="17">
        <f t="shared" si="32"/>
        <v>0</v>
      </c>
      <c r="BX373" s="17">
        <f t="shared" si="32"/>
        <v>0</v>
      </c>
      <c r="BY373" s="17">
        <f t="shared" si="33"/>
        <v>0</v>
      </c>
      <c r="BZ373" s="17">
        <f t="shared" si="33"/>
        <v>0</v>
      </c>
      <c r="CA373" s="17">
        <f t="shared" si="33"/>
        <v>0</v>
      </c>
      <c r="CB373" s="17">
        <f t="shared" si="33"/>
        <v>0</v>
      </c>
      <c r="CC373" s="17">
        <f t="shared" si="33"/>
        <v>0</v>
      </c>
      <c r="CD373" s="17">
        <f t="shared" si="33"/>
        <v>0</v>
      </c>
      <c r="CE373" s="17">
        <f t="shared" si="33"/>
        <v>0</v>
      </c>
      <c r="CF373" s="17">
        <f t="shared" si="33"/>
        <v>0</v>
      </c>
      <c r="CG373" s="17">
        <f t="shared" si="33"/>
        <v>0</v>
      </c>
      <c r="CH373" s="17">
        <f t="shared" si="33"/>
        <v>0</v>
      </c>
      <c r="CI373" s="17">
        <f t="shared" si="34"/>
        <v>0</v>
      </c>
      <c r="CJ373" s="17">
        <f t="shared" si="34"/>
        <v>0</v>
      </c>
      <c r="CK373" s="17">
        <f t="shared" si="34"/>
        <v>0</v>
      </c>
      <c r="CL373" s="17">
        <f t="shared" si="34"/>
        <v>0</v>
      </c>
      <c r="CM373" s="17">
        <f t="shared" si="34"/>
        <v>0</v>
      </c>
      <c r="CN373" s="17">
        <f t="shared" si="34"/>
        <v>0</v>
      </c>
      <c r="CO373" s="17">
        <f t="shared" si="34"/>
        <v>0</v>
      </c>
      <c r="CP373" s="17">
        <f t="shared" si="34"/>
        <v>0</v>
      </c>
      <c r="CQ373" s="17">
        <f t="shared" si="34"/>
        <v>0</v>
      </c>
      <c r="CR373" s="17">
        <f t="shared" si="34"/>
        <v>0</v>
      </c>
      <c r="CS373" s="17">
        <f t="shared" si="35"/>
        <v>0</v>
      </c>
      <c r="CT373" s="17">
        <f t="shared" si="35"/>
        <v>0</v>
      </c>
      <c r="CU373" s="17">
        <f t="shared" si="35"/>
        <v>0</v>
      </c>
      <c r="CV373" s="17">
        <f t="shared" si="35"/>
        <v>0</v>
      </c>
      <c r="CW373" s="17">
        <f t="shared" si="35"/>
        <v>0</v>
      </c>
      <c r="CX373" s="17">
        <f t="shared" si="35"/>
        <v>0</v>
      </c>
      <c r="CY373" s="17">
        <f t="shared" si="35"/>
        <v>0</v>
      </c>
      <c r="CZ373" s="17">
        <f t="shared" si="35"/>
        <v>0</v>
      </c>
      <c r="DA373" s="17">
        <f t="shared" si="35"/>
        <v>0</v>
      </c>
      <c r="DB373" s="17">
        <f t="shared" si="35"/>
        <v>0</v>
      </c>
      <c r="DD373" s="14">
        <f t="shared" si="22"/>
        <v>-14</v>
      </c>
      <c r="DF373" s="17">
        <f t="shared" ca="1" si="23"/>
        <v>10</v>
      </c>
      <c r="DG373" s="17">
        <f t="shared" ca="1" si="24"/>
        <v>15</v>
      </c>
      <c r="DH373" s="17">
        <f ca="1">SUM($DF$360:DF373)/$DG$359</f>
        <v>0.99634947675833541</v>
      </c>
      <c r="DI373" s="17">
        <f t="shared" ca="1" si="25"/>
        <v>0.99634947675833541</v>
      </c>
      <c r="DK373" s="17">
        <v>14</v>
      </c>
      <c r="DP373" s="21"/>
      <c r="DQ373" s="21"/>
      <c r="DR373" s="21"/>
      <c r="DS373" s="21"/>
      <c r="DT373" s="21"/>
      <c r="DU373" s="21"/>
      <c r="DV373" s="21"/>
      <c r="DW373" s="21"/>
      <c r="DX373" s="21"/>
      <c r="DY373" s="21"/>
      <c r="DZ373" s="21"/>
      <c r="EA373" s="21"/>
    </row>
    <row r="374" spans="7:131" s="17" customFormat="1" x14ac:dyDescent="0.25">
      <c r="G374" s="17">
        <f t="shared" ca="1" si="26"/>
        <v>0</v>
      </c>
      <c r="H374" s="17">
        <f t="shared" ca="1" si="26"/>
        <v>0</v>
      </c>
      <c r="I374" s="17">
        <f t="shared" ca="1" si="26"/>
        <v>0</v>
      </c>
      <c r="J374" s="17">
        <f t="shared" ca="1" si="26"/>
        <v>0</v>
      </c>
      <c r="K374" s="17">
        <f t="shared" ca="1" si="26"/>
        <v>0</v>
      </c>
      <c r="L374" s="17">
        <f t="shared" ca="1" si="26"/>
        <v>0</v>
      </c>
      <c r="M374" s="17">
        <f t="shared" ca="1" si="26"/>
        <v>0</v>
      </c>
      <c r="N374" s="17">
        <f t="shared" ca="1" si="26"/>
        <v>0</v>
      </c>
      <c r="O374" s="17">
        <f t="shared" ca="1" si="26"/>
        <v>0</v>
      </c>
      <c r="P374" s="17">
        <f t="shared" ca="1" si="26"/>
        <v>0</v>
      </c>
      <c r="Q374" s="17">
        <f t="shared" ca="1" si="27"/>
        <v>0</v>
      </c>
      <c r="R374" s="17">
        <f t="shared" ca="1" si="27"/>
        <v>0</v>
      </c>
      <c r="S374" s="17">
        <f t="shared" ca="1" si="27"/>
        <v>0</v>
      </c>
      <c r="T374" s="17">
        <f t="shared" ca="1" si="27"/>
        <v>0</v>
      </c>
      <c r="U374" s="17">
        <f t="shared" ca="1" si="27"/>
        <v>0</v>
      </c>
      <c r="V374" s="17">
        <f t="shared" ca="1" si="27"/>
        <v>0</v>
      </c>
      <c r="W374" s="17">
        <f t="shared" ca="1" si="27"/>
        <v>0</v>
      </c>
      <c r="X374" s="17">
        <f t="shared" ca="1" si="27"/>
        <v>0</v>
      </c>
      <c r="Y374" s="17">
        <f t="shared" ca="1" si="27"/>
        <v>0</v>
      </c>
      <c r="Z374" s="17">
        <f t="shared" ca="1" si="27"/>
        <v>0</v>
      </c>
      <c r="AA374" s="17">
        <f t="shared" ca="1" si="28"/>
        <v>0</v>
      </c>
      <c r="AB374" s="17">
        <f t="shared" ca="1" si="28"/>
        <v>0</v>
      </c>
      <c r="AC374" s="17">
        <f t="shared" ca="1" si="28"/>
        <v>0</v>
      </c>
      <c r="AD374" s="17">
        <f t="shared" ca="1" si="28"/>
        <v>0</v>
      </c>
      <c r="AE374" s="17">
        <f t="shared" ca="1" si="28"/>
        <v>0</v>
      </c>
      <c r="AF374" s="17">
        <f t="shared" ca="1" si="28"/>
        <v>0</v>
      </c>
      <c r="AG374" s="17">
        <f t="shared" ca="1" si="28"/>
        <v>0</v>
      </c>
      <c r="AH374" s="17">
        <f t="shared" ca="1" si="28"/>
        <v>0</v>
      </c>
      <c r="AI374" s="17">
        <f t="shared" ca="1" si="28"/>
        <v>0</v>
      </c>
      <c r="AJ374" s="17">
        <f t="shared" ca="1" si="28"/>
        <v>0</v>
      </c>
      <c r="AK374" s="17">
        <f t="shared" ca="1" si="29"/>
        <v>0</v>
      </c>
      <c r="AL374" s="17">
        <f t="shared" ca="1" si="29"/>
        <v>0</v>
      </c>
      <c r="AM374" s="17">
        <f t="shared" ca="1" si="29"/>
        <v>0</v>
      </c>
      <c r="AN374" s="17">
        <f t="shared" ca="1" si="29"/>
        <v>0</v>
      </c>
      <c r="AO374" s="17">
        <f t="shared" ca="1" si="29"/>
        <v>6</v>
      </c>
      <c r="AP374" s="17">
        <f t="shared" si="29"/>
        <v>0</v>
      </c>
      <c r="AQ374" s="17">
        <f t="shared" si="29"/>
        <v>0</v>
      </c>
      <c r="AR374" s="17">
        <f t="shared" si="29"/>
        <v>0</v>
      </c>
      <c r="AS374" s="17">
        <f t="shared" si="29"/>
        <v>0</v>
      </c>
      <c r="AT374" s="17">
        <f t="shared" si="29"/>
        <v>0</v>
      </c>
      <c r="AU374" s="17">
        <f t="shared" si="30"/>
        <v>0</v>
      </c>
      <c r="AV374" s="17">
        <f t="shared" si="30"/>
        <v>0</v>
      </c>
      <c r="AW374" s="17">
        <f t="shared" si="30"/>
        <v>0</v>
      </c>
      <c r="AX374" s="17">
        <f t="shared" si="30"/>
        <v>0</v>
      </c>
      <c r="AY374" s="17">
        <f t="shared" si="30"/>
        <v>0</v>
      </c>
      <c r="AZ374" s="17">
        <f t="shared" si="30"/>
        <v>0</v>
      </c>
      <c r="BA374" s="17">
        <f t="shared" si="30"/>
        <v>0</v>
      </c>
      <c r="BB374" s="17">
        <f t="shared" si="30"/>
        <v>0</v>
      </c>
      <c r="BC374" s="17">
        <f t="shared" si="30"/>
        <v>0</v>
      </c>
      <c r="BD374" s="17">
        <f t="shared" si="30"/>
        <v>0</v>
      </c>
      <c r="BE374" s="17">
        <f t="shared" si="31"/>
        <v>0</v>
      </c>
      <c r="BF374" s="17">
        <f t="shared" si="31"/>
        <v>0</v>
      </c>
      <c r="BG374" s="17">
        <f t="shared" si="31"/>
        <v>0</v>
      </c>
      <c r="BH374" s="17">
        <f t="shared" si="31"/>
        <v>0</v>
      </c>
      <c r="BI374" s="17">
        <f t="shared" si="31"/>
        <v>0</v>
      </c>
      <c r="BJ374" s="17">
        <f t="shared" si="31"/>
        <v>0</v>
      </c>
      <c r="BK374" s="17">
        <f t="shared" si="31"/>
        <v>0</v>
      </c>
      <c r="BL374" s="17">
        <f t="shared" si="31"/>
        <v>0</v>
      </c>
      <c r="BM374" s="17">
        <f t="shared" si="31"/>
        <v>0</v>
      </c>
      <c r="BN374" s="17">
        <f t="shared" si="31"/>
        <v>0</v>
      </c>
      <c r="BO374" s="17">
        <f t="shared" si="32"/>
        <v>0</v>
      </c>
      <c r="BP374" s="17">
        <f t="shared" si="32"/>
        <v>0</v>
      </c>
      <c r="BQ374" s="17">
        <f t="shared" si="32"/>
        <v>0</v>
      </c>
      <c r="BR374" s="17">
        <f t="shared" si="32"/>
        <v>0</v>
      </c>
      <c r="BS374" s="17">
        <f t="shared" si="32"/>
        <v>0</v>
      </c>
      <c r="BT374" s="17">
        <f t="shared" si="32"/>
        <v>0</v>
      </c>
      <c r="BU374" s="17">
        <f t="shared" si="32"/>
        <v>0</v>
      </c>
      <c r="BV374" s="17">
        <f t="shared" si="32"/>
        <v>0</v>
      </c>
      <c r="BW374" s="17">
        <f t="shared" si="32"/>
        <v>0</v>
      </c>
      <c r="BX374" s="17">
        <f t="shared" si="32"/>
        <v>0</v>
      </c>
      <c r="BY374" s="17">
        <f t="shared" si="33"/>
        <v>0</v>
      </c>
      <c r="BZ374" s="17">
        <f t="shared" si="33"/>
        <v>0</v>
      </c>
      <c r="CA374" s="17">
        <f t="shared" si="33"/>
        <v>0</v>
      </c>
      <c r="CB374" s="17">
        <f t="shared" si="33"/>
        <v>0</v>
      </c>
      <c r="CC374" s="17">
        <f t="shared" si="33"/>
        <v>0</v>
      </c>
      <c r="CD374" s="17">
        <f t="shared" si="33"/>
        <v>0</v>
      </c>
      <c r="CE374" s="17">
        <f t="shared" si="33"/>
        <v>0</v>
      </c>
      <c r="CF374" s="17">
        <f t="shared" si="33"/>
        <v>0</v>
      </c>
      <c r="CG374" s="17">
        <f t="shared" si="33"/>
        <v>0</v>
      </c>
      <c r="CH374" s="17">
        <f t="shared" si="33"/>
        <v>0</v>
      </c>
      <c r="CI374" s="17">
        <f t="shared" si="34"/>
        <v>0</v>
      </c>
      <c r="CJ374" s="17">
        <f t="shared" si="34"/>
        <v>0</v>
      </c>
      <c r="CK374" s="17">
        <f t="shared" si="34"/>
        <v>0</v>
      </c>
      <c r="CL374" s="17">
        <f t="shared" si="34"/>
        <v>0</v>
      </c>
      <c r="CM374" s="17">
        <f t="shared" si="34"/>
        <v>0</v>
      </c>
      <c r="CN374" s="17">
        <f t="shared" si="34"/>
        <v>0</v>
      </c>
      <c r="CO374" s="17">
        <f t="shared" si="34"/>
        <v>0</v>
      </c>
      <c r="CP374" s="17">
        <f t="shared" si="34"/>
        <v>0</v>
      </c>
      <c r="CQ374" s="17">
        <f t="shared" si="34"/>
        <v>0</v>
      </c>
      <c r="CR374" s="17">
        <f t="shared" si="34"/>
        <v>0</v>
      </c>
      <c r="CS374" s="17">
        <f t="shared" si="35"/>
        <v>0</v>
      </c>
      <c r="CT374" s="17">
        <f t="shared" si="35"/>
        <v>0</v>
      </c>
      <c r="CU374" s="17">
        <f t="shared" si="35"/>
        <v>0</v>
      </c>
      <c r="CV374" s="17">
        <f t="shared" si="35"/>
        <v>0</v>
      </c>
      <c r="CW374" s="17">
        <f t="shared" si="35"/>
        <v>0</v>
      </c>
      <c r="CX374" s="17">
        <f t="shared" si="35"/>
        <v>0</v>
      </c>
      <c r="CY374" s="17">
        <f t="shared" si="35"/>
        <v>0</v>
      </c>
      <c r="CZ374" s="17">
        <f t="shared" si="35"/>
        <v>0</v>
      </c>
      <c r="DA374" s="17">
        <f t="shared" si="35"/>
        <v>0</v>
      </c>
      <c r="DB374" s="17">
        <f t="shared" si="35"/>
        <v>0</v>
      </c>
      <c r="DD374" s="14">
        <f t="shared" si="22"/>
        <v>-15</v>
      </c>
      <c r="DF374" s="17">
        <f t="shared" ca="1" si="23"/>
        <v>9</v>
      </c>
      <c r="DG374" s="17">
        <f t="shared" ca="1" si="24"/>
        <v>6</v>
      </c>
      <c r="DH374" s="17">
        <f ca="1">SUM($DF$360:DF374)/$DG$359</f>
        <v>0.9985397907033341</v>
      </c>
      <c r="DI374" s="17">
        <f t="shared" ca="1" si="25"/>
        <v>0.9985397907033341</v>
      </c>
      <c r="DK374" s="17">
        <v>15</v>
      </c>
      <c r="DP374" s="21"/>
      <c r="DQ374" s="21"/>
      <c r="DR374" s="21"/>
      <c r="DS374" s="21"/>
      <c r="DT374" s="21"/>
      <c r="DU374" s="21"/>
      <c r="DV374" s="21"/>
      <c r="DW374" s="21"/>
      <c r="DX374" s="21"/>
      <c r="DY374" s="21"/>
      <c r="DZ374" s="21"/>
      <c r="EA374" s="21"/>
    </row>
    <row r="375" spans="7:131" s="17" customFormat="1" x14ac:dyDescent="0.25">
      <c r="G375" s="17">
        <f t="shared" ca="1" si="26"/>
        <v>0</v>
      </c>
      <c r="H375" s="17">
        <f t="shared" ca="1" si="26"/>
        <v>0</v>
      </c>
      <c r="I375" s="17">
        <f t="shared" ca="1" si="26"/>
        <v>0</v>
      </c>
      <c r="J375" s="17">
        <f t="shared" ca="1" si="26"/>
        <v>0</v>
      </c>
      <c r="K375" s="17">
        <f t="shared" ca="1" si="26"/>
        <v>0</v>
      </c>
      <c r="L375" s="17">
        <f t="shared" ca="1" si="26"/>
        <v>0</v>
      </c>
      <c r="M375" s="17">
        <f t="shared" ca="1" si="26"/>
        <v>0</v>
      </c>
      <c r="N375" s="17">
        <f t="shared" ca="1" si="26"/>
        <v>0</v>
      </c>
      <c r="O375" s="17">
        <f t="shared" ca="1" si="26"/>
        <v>0</v>
      </c>
      <c r="P375" s="17">
        <f t="shared" ca="1" si="26"/>
        <v>0</v>
      </c>
      <c r="Q375" s="17">
        <f t="shared" ca="1" si="27"/>
        <v>0</v>
      </c>
      <c r="R375" s="17">
        <f t="shared" ca="1" si="27"/>
        <v>0</v>
      </c>
      <c r="S375" s="17">
        <f t="shared" ca="1" si="27"/>
        <v>0</v>
      </c>
      <c r="T375" s="17">
        <f t="shared" ca="1" si="27"/>
        <v>0</v>
      </c>
      <c r="U375" s="17">
        <f t="shared" ca="1" si="27"/>
        <v>0</v>
      </c>
      <c r="V375" s="17">
        <f t="shared" ca="1" si="27"/>
        <v>0</v>
      </c>
      <c r="W375" s="17">
        <f t="shared" ca="1" si="27"/>
        <v>0</v>
      </c>
      <c r="X375" s="17">
        <f t="shared" ca="1" si="27"/>
        <v>0</v>
      </c>
      <c r="Y375" s="17">
        <f t="shared" ca="1" si="27"/>
        <v>0</v>
      </c>
      <c r="Z375" s="17">
        <f t="shared" ca="1" si="27"/>
        <v>0</v>
      </c>
      <c r="AA375" s="17">
        <f t="shared" ca="1" si="28"/>
        <v>0</v>
      </c>
      <c r="AB375" s="17">
        <f t="shared" ca="1" si="28"/>
        <v>0</v>
      </c>
      <c r="AC375" s="17">
        <f t="shared" ca="1" si="28"/>
        <v>0</v>
      </c>
      <c r="AD375" s="17">
        <f t="shared" ca="1" si="28"/>
        <v>0</v>
      </c>
      <c r="AE375" s="17">
        <f t="shared" ca="1" si="28"/>
        <v>0</v>
      </c>
      <c r="AF375" s="17">
        <f t="shared" ca="1" si="28"/>
        <v>0</v>
      </c>
      <c r="AG375" s="17">
        <f t="shared" ca="1" si="28"/>
        <v>0</v>
      </c>
      <c r="AH375" s="17">
        <f t="shared" ca="1" si="28"/>
        <v>0</v>
      </c>
      <c r="AI375" s="17">
        <f t="shared" ca="1" si="28"/>
        <v>0</v>
      </c>
      <c r="AJ375" s="17">
        <f t="shared" ca="1" si="28"/>
        <v>0</v>
      </c>
      <c r="AK375" s="17">
        <f t="shared" ca="1" si="29"/>
        <v>0</v>
      </c>
      <c r="AL375" s="17">
        <f t="shared" ca="1" si="29"/>
        <v>0</v>
      </c>
      <c r="AM375" s="17">
        <f t="shared" ca="1" si="29"/>
        <v>0</v>
      </c>
      <c r="AN375" s="17">
        <f t="shared" ca="1" si="29"/>
        <v>0</v>
      </c>
      <c r="AO375" s="17">
        <f t="shared" si="29"/>
        <v>0</v>
      </c>
      <c r="AP375" s="17">
        <f t="shared" si="29"/>
        <v>0</v>
      </c>
      <c r="AQ375" s="17">
        <f t="shared" si="29"/>
        <v>0</v>
      </c>
      <c r="AR375" s="17">
        <f t="shared" si="29"/>
        <v>0</v>
      </c>
      <c r="AS375" s="17">
        <f t="shared" si="29"/>
        <v>0</v>
      </c>
      <c r="AT375" s="17">
        <f t="shared" si="29"/>
        <v>0</v>
      </c>
      <c r="AU375" s="17">
        <f t="shared" si="30"/>
        <v>0</v>
      </c>
      <c r="AV375" s="17">
        <f t="shared" si="30"/>
        <v>0</v>
      </c>
      <c r="AW375" s="17">
        <f t="shared" si="30"/>
        <v>0</v>
      </c>
      <c r="AX375" s="17">
        <f t="shared" si="30"/>
        <v>0</v>
      </c>
      <c r="AY375" s="17">
        <f t="shared" si="30"/>
        <v>0</v>
      </c>
      <c r="AZ375" s="17">
        <f t="shared" si="30"/>
        <v>0</v>
      </c>
      <c r="BA375" s="17">
        <f t="shared" si="30"/>
        <v>0</v>
      </c>
      <c r="BB375" s="17">
        <f t="shared" si="30"/>
        <v>0</v>
      </c>
      <c r="BC375" s="17">
        <f t="shared" si="30"/>
        <v>0</v>
      </c>
      <c r="BD375" s="17">
        <f t="shared" si="30"/>
        <v>0</v>
      </c>
      <c r="BE375" s="17">
        <f t="shared" si="31"/>
        <v>0</v>
      </c>
      <c r="BF375" s="17">
        <f t="shared" si="31"/>
        <v>0</v>
      </c>
      <c r="BG375" s="17">
        <f t="shared" si="31"/>
        <v>0</v>
      </c>
      <c r="BH375" s="17">
        <f t="shared" si="31"/>
        <v>0</v>
      </c>
      <c r="BI375" s="17">
        <f t="shared" si="31"/>
        <v>0</v>
      </c>
      <c r="BJ375" s="17">
        <f t="shared" si="31"/>
        <v>0</v>
      </c>
      <c r="BK375" s="17">
        <f t="shared" si="31"/>
        <v>0</v>
      </c>
      <c r="BL375" s="17">
        <f t="shared" si="31"/>
        <v>0</v>
      </c>
      <c r="BM375" s="17">
        <f t="shared" si="31"/>
        <v>0</v>
      </c>
      <c r="BN375" s="17">
        <f t="shared" si="31"/>
        <v>0</v>
      </c>
      <c r="BO375" s="17">
        <f t="shared" si="32"/>
        <v>0</v>
      </c>
      <c r="BP375" s="17">
        <f t="shared" si="32"/>
        <v>0</v>
      </c>
      <c r="BQ375" s="17">
        <f t="shared" si="32"/>
        <v>0</v>
      </c>
      <c r="BR375" s="17">
        <f t="shared" si="32"/>
        <v>0</v>
      </c>
      <c r="BS375" s="17">
        <f t="shared" si="32"/>
        <v>0</v>
      </c>
      <c r="BT375" s="17">
        <f t="shared" si="32"/>
        <v>0</v>
      </c>
      <c r="BU375" s="17">
        <f t="shared" si="32"/>
        <v>0</v>
      </c>
      <c r="BV375" s="17">
        <f t="shared" si="32"/>
        <v>0</v>
      </c>
      <c r="BW375" s="17">
        <f t="shared" si="32"/>
        <v>0</v>
      </c>
      <c r="BX375" s="17">
        <f t="shared" si="32"/>
        <v>0</v>
      </c>
      <c r="BY375" s="17">
        <f t="shared" si="33"/>
        <v>0</v>
      </c>
      <c r="BZ375" s="17">
        <f t="shared" si="33"/>
        <v>0</v>
      </c>
      <c r="CA375" s="17">
        <f t="shared" si="33"/>
        <v>0</v>
      </c>
      <c r="CB375" s="17">
        <f t="shared" si="33"/>
        <v>0</v>
      </c>
      <c r="CC375" s="17">
        <f t="shared" si="33"/>
        <v>0</v>
      </c>
      <c r="CD375" s="17">
        <f t="shared" si="33"/>
        <v>0</v>
      </c>
      <c r="CE375" s="17">
        <f t="shared" si="33"/>
        <v>0</v>
      </c>
      <c r="CF375" s="17">
        <f t="shared" si="33"/>
        <v>0</v>
      </c>
      <c r="CG375" s="17">
        <f t="shared" si="33"/>
        <v>0</v>
      </c>
      <c r="CH375" s="17">
        <f t="shared" si="33"/>
        <v>0</v>
      </c>
      <c r="CI375" s="17">
        <f t="shared" si="34"/>
        <v>0</v>
      </c>
      <c r="CJ375" s="17">
        <f t="shared" si="34"/>
        <v>0</v>
      </c>
      <c r="CK375" s="17">
        <f t="shared" si="34"/>
        <v>0</v>
      </c>
      <c r="CL375" s="17">
        <f t="shared" si="34"/>
        <v>0</v>
      </c>
      <c r="CM375" s="17">
        <f t="shared" si="34"/>
        <v>0</v>
      </c>
      <c r="CN375" s="17">
        <f t="shared" si="34"/>
        <v>0</v>
      </c>
      <c r="CO375" s="17">
        <f t="shared" si="34"/>
        <v>0</v>
      </c>
      <c r="CP375" s="17">
        <f t="shared" si="34"/>
        <v>0</v>
      </c>
      <c r="CQ375" s="17">
        <f t="shared" si="34"/>
        <v>0</v>
      </c>
      <c r="CR375" s="17">
        <f t="shared" si="34"/>
        <v>0</v>
      </c>
      <c r="CS375" s="17">
        <f t="shared" si="35"/>
        <v>0</v>
      </c>
      <c r="CT375" s="17">
        <f t="shared" si="35"/>
        <v>0</v>
      </c>
      <c r="CU375" s="17">
        <f t="shared" si="35"/>
        <v>0</v>
      </c>
      <c r="CV375" s="17">
        <f t="shared" si="35"/>
        <v>0</v>
      </c>
      <c r="CW375" s="17">
        <f t="shared" si="35"/>
        <v>0</v>
      </c>
      <c r="CX375" s="17">
        <f t="shared" si="35"/>
        <v>0</v>
      </c>
      <c r="CY375" s="17">
        <f t="shared" si="35"/>
        <v>0</v>
      </c>
      <c r="CZ375" s="17">
        <f t="shared" si="35"/>
        <v>0</v>
      </c>
      <c r="DA375" s="17">
        <f t="shared" si="35"/>
        <v>0</v>
      </c>
      <c r="DB375" s="17">
        <f t="shared" si="35"/>
        <v>0</v>
      </c>
      <c r="DD375" s="14">
        <f t="shared" si="22"/>
        <v>-16</v>
      </c>
      <c r="DF375" s="17">
        <f t="shared" ca="1" si="23"/>
        <v>6</v>
      </c>
      <c r="DG375" s="17">
        <f t="shared" ca="1" si="24"/>
        <v>0</v>
      </c>
      <c r="DH375" s="17">
        <f ca="1">SUM($DF$360:DF375)/$DG$359</f>
        <v>1</v>
      </c>
      <c r="DI375" s="17">
        <f t="shared" ca="1" si="25"/>
        <v>1</v>
      </c>
      <c r="DK375" s="17">
        <v>16</v>
      </c>
      <c r="DP375" s="21"/>
      <c r="DQ375" s="21"/>
      <c r="DR375" s="21"/>
      <c r="DS375" s="21"/>
      <c r="DT375" s="21"/>
      <c r="DU375" s="21"/>
      <c r="DV375" s="21"/>
      <c r="DW375" s="21"/>
      <c r="DX375" s="21"/>
      <c r="DY375" s="21"/>
      <c r="DZ375" s="21"/>
      <c r="EA375" s="21"/>
    </row>
    <row r="376" spans="7:131" s="17" customFormat="1" x14ac:dyDescent="0.25">
      <c r="G376" s="17">
        <f t="shared" ca="1" si="26"/>
        <v>0</v>
      </c>
      <c r="H376" s="17">
        <f t="shared" ca="1" si="26"/>
        <v>0</v>
      </c>
      <c r="I376" s="17">
        <f t="shared" ca="1" si="26"/>
        <v>0</v>
      </c>
      <c r="J376" s="17">
        <f t="shared" ca="1" si="26"/>
        <v>0</v>
      </c>
      <c r="K376" s="17">
        <f t="shared" ca="1" si="26"/>
        <v>0</v>
      </c>
      <c r="L376" s="17">
        <f t="shared" ca="1" si="26"/>
        <v>0</v>
      </c>
      <c r="M376" s="17">
        <f t="shared" ca="1" si="26"/>
        <v>0</v>
      </c>
      <c r="N376" s="17">
        <f t="shared" ca="1" si="26"/>
        <v>0</v>
      </c>
      <c r="O376" s="17">
        <f t="shared" ca="1" si="26"/>
        <v>0</v>
      </c>
      <c r="P376" s="17">
        <f t="shared" ca="1" si="26"/>
        <v>0</v>
      </c>
      <c r="Q376" s="17">
        <f t="shared" ca="1" si="27"/>
        <v>0</v>
      </c>
      <c r="R376" s="17">
        <f t="shared" ca="1" si="27"/>
        <v>0</v>
      </c>
      <c r="S376" s="17">
        <f t="shared" ca="1" si="27"/>
        <v>0</v>
      </c>
      <c r="T376" s="17">
        <f t="shared" ca="1" si="27"/>
        <v>0</v>
      </c>
      <c r="U376" s="17">
        <f t="shared" ca="1" si="27"/>
        <v>0</v>
      </c>
      <c r="V376" s="17">
        <f t="shared" ca="1" si="27"/>
        <v>0</v>
      </c>
      <c r="W376" s="17">
        <f t="shared" ca="1" si="27"/>
        <v>0</v>
      </c>
      <c r="X376" s="17">
        <f t="shared" ca="1" si="27"/>
        <v>0</v>
      </c>
      <c r="Y376" s="17">
        <f t="shared" ca="1" si="27"/>
        <v>0</v>
      </c>
      <c r="Z376" s="17">
        <f t="shared" ca="1" si="27"/>
        <v>0</v>
      </c>
      <c r="AA376" s="17">
        <f t="shared" ca="1" si="28"/>
        <v>0</v>
      </c>
      <c r="AB376" s="17">
        <f t="shared" ca="1" si="28"/>
        <v>0</v>
      </c>
      <c r="AC376" s="17">
        <f t="shared" ca="1" si="28"/>
        <v>0</v>
      </c>
      <c r="AD376" s="17">
        <f t="shared" ca="1" si="28"/>
        <v>0</v>
      </c>
      <c r="AE376" s="17">
        <f t="shared" ca="1" si="28"/>
        <v>0</v>
      </c>
      <c r="AF376" s="17">
        <f t="shared" ca="1" si="28"/>
        <v>0</v>
      </c>
      <c r="AG376" s="17">
        <f t="shared" ca="1" si="28"/>
        <v>0</v>
      </c>
      <c r="AH376" s="17">
        <f t="shared" ca="1" si="28"/>
        <v>0</v>
      </c>
      <c r="AI376" s="17">
        <f t="shared" ca="1" si="28"/>
        <v>0</v>
      </c>
      <c r="AJ376" s="17">
        <f t="shared" ca="1" si="28"/>
        <v>0</v>
      </c>
      <c r="AK376" s="17">
        <f t="shared" ca="1" si="29"/>
        <v>0</v>
      </c>
      <c r="AL376" s="17">
        <f t="shared" ca="1" si="29"/>
        <v>0</v>
      </c>
      <c r="AM376" s="17">
        <f t="shared" ca="1" si="29"/>
        <v>0</v>
      </c>
      <c r="AN376" s="17">
        <f t="shared" si="29"/>
        <v>0</v>
      </c>
      <c r="AO376" s="17">
        <f t="shared" si="29"/>
        <v>0</v>
      </c>
      <c r="AP376" s="17">
        <f t="shared" si="29"/>
        <v>0</v>
      </c>
      <c r="AQ376" s="17">
        <f t="shared" si="29"/>
        <v>0</v>
      </c>
      <c r="AR376" s="17">
        <f t="shared" si="29"/>
        <v>0</v>
      </c>
      <c r="AS376" s="17">
        <f t="shared" si="29"/>
        <v>0</v>
      </c>
      <c r="AT376" s="17">
        <f t="shared" si="29"/>
        <v>0</v>
      </c>
      <c r="AU376" s="17">
        <f t="shared" si="30"/>
        <v>0</v>
      </c>
      <c r="AV376" s="17">
        <f t="shared" si="30"/>
        <v>0</v>
      </c>
      <c r="AW376" s="17">
        <f t="shared" si="30"/>
        <v>0</v>
      </c>
      <c r="AX376" s="17">
        <f t="shared" si="30"/>
        <v>0</v>
      </c>
      <c r="AY376" s="17">
        <f t="shared" si="30"/>
        <v>0</v>
      </c>
      <c r="AZ376" s="17">
        <f t="shared" si="30"/>
        <v>0</v>
      </c>
      <c r="BA376" s="17">
        <f t="shared" si="30"/>
        <v>0</v>
      </c>
      <c r="BB376" s="17">
        <f t="shared" si="30"/>
        <v>0</v>
      </c>
      <c r="BC376" s="17">
        <f t="shared" si="30"/>
        <v>0</v>
      </c>
      <c r="BD376" s="17">
        <f t="shared" si="30"/>
        <v>0</v>
      </c>
      <c r="BE376" s="17">
        <f t="shared" si="31"/>
        <v>0</v>
      </c>
      <c r="BF376" s="17">
        <f t="shared" si="31"/>
        <v>0</v>
      </c>
      <c r="BG376" s="17">
        <f t="shared" si="31"/>
        <v>0</v>
      </c>
      <c r="BH376" s="17">
        <f t="shared" si="31"/>
        <v>0</v>
      </c>
      <c r="BI376" s="17">
        <f t="shared" si="31"/>
        <v>0</v>
      </c>
      <c r="BJ376" s="17">
        <f t="shared" si="31"/>
        <v>0</v>
      </c>
      <c r="BK376" s="17">
        <f t="shared" si="31"/>
        <v>0</v>
      </c>
      <c r="BL376" s="17">
        <f t="shared" si="31"/>
        <v>0</v>
      </c>
      <c r="BM376" s="17">
        <f t="shared" si="31"/>
        <v>0</v>
      </c>
      <c r="BN376" s="17">
        <f t="shared" si="31"/>
        <v>0</v>
      </c>
      <c r="BO376" s="17">
        <f t="shared" si="32"/>
        <v>0</v>
      </c>
      <c r="BP376" s="17">
        <f t="shared" si="32"/>
        <v>0</v>
      </c>
      <c r="BQ376" s="17">
        <f t="shared" si="32"/>
        <v>0</v>
      </c>
      <c r="BR376" s="17">
        <f t="shared" si="32"/>
        <v>0</v>
      </c>
      <c r="BS376" s="17">
        <f t="shared" si="32"/>
        <v>0</v>
      </c>
      <c r="BT376" s="17">
        <f t="shared" si="32"/>
        <v>0</v>
      </c>
      <c r="BU376" s="17">
        <f t="shared" si="32"/>
        <v>0</v>
      </c>
      <c r="BV376" s="17">
        <f t="shared" si="32"/>
        <v>0</v>
      </c>
      <c r="BW376" s="17">
        <f t="shared" si="32"/>
        <v>0</v>
      </c>
      <c r="BX376" s="17">
        <f t="shared" si="32"/>
        <v>0</v>
      </c>
      <c r="BY376" s="17">
        <f t="shared" si="33"/>
        <v>0</v>
      </c>
      <c r="BZ376" s="17">
        <f t="shared" si="33"/>
        <v>0</v>
      </c>
      <c r="CA376" s="17">
        <f t="shared" si="33"/>
        <v>0</v>
      </c>
      <c r="CB376" s="17">
        <f t="shared" si="33"/>
        <v>0</v>
      </c>
      <c r="CC376" s="17">
        <f t="shared" si="33"/>
        <v>0</v>
      </c>
      <c r="CD376" s="17">
        <f t="shared" si="33"/>
        <v>0</v>
      </c>
      <c r="CE376" s="17">
        <f t="shared" si="33"/>
        <v>0</v>
      </c>
      <c r="CF376" s="17">
        <f t="shared" si="33"/>
        <v>0</v>
      </c>
      <c r="CG376" s="17">
        <f t="shared" si="33"/>
        <v>0</v>
      </c>
      <c r="CH376" s="17">
        <f t="shared" si="33"/>
        <v>0</v>
      </c>
      <c r="CI376" s="17">
        <f t="shared" si="34"/>
        <v>0</v>
      </c>
      <c r="CJ376" s="17">
        <f t="shared" si="34"/>
        <v>0</v>
      </c>
      <c r="CK376" s="17">
        <f t="shared" si="34"/>
        <v>0</v>
      </c>
      <c r="CL376" s="17">
        <f t="shared" si="34"/>
        <v>0</v>
      </c>
      <c r="CM376" s="17">
        <f t="shared" si="34"/>
        <v>0</v>
      </c>
      <c r="CN376" s="17">
        <f t="shared" si="34"/>
        <v>0</v>
      </c>
      <c r="CO376" s="17">
        <f t="shared" si="34"/>
        <v>0</v>
      </c>
      <c r="CP376" s="17">
        <f t="shared" si="34"/>
        <v>0</v>
      </c>
      <c r="CQ376" s="17">
        <f t="shared" si="34"/>
        <v>0</v>
      </c>
      <c r="CR376" s="17">
        <f t="shared" si="34"/>
        <v>0</v>
      </c>
      <c r="CS376" s="17">
        <f t="shared" si="35"/>
        <v>0</v>
      </c>
      <c r="CT376" s="17">
        <f t="shared" si="35"/>
        <v>0</v>
      </c>
      <c r="CU376" s="17">
        <f t="shared" si="35"/>
        <v>0</v>
      </c>
      <c r="CV376" s="17">
        <f t="shared" si="35"/>
        <v>0</v>
      </c>
      <c r="CW376" s="17">
        <f t="shared" si="35"/>
        <v>0</v>
      </c>
      <c r="CX376" s="17">
        <f t="shared" si="35"/>
        <v>0</v>
      </c>
      <c r="CY376" s="17">
        <f t="shared" si="35"/>
        <v>0</v>
      </c>
      <c r="CZ376" s="17">
        <f t="shared" si="35"/>
        <v>0</v>
      </c>
      <c r="DA376" s="17">
        <f t="shared" si="35"/>
        <v>0</v>
      </c>
      <c r="DB376" s="17">
        <f t="shared" si="35"/>
        <v>0</v>
      </c>
      <c r="DD376" s="14">
        <f t="shared" si="22"/>
        <v>-17</v>
      </c>
      <c r="DF376" s="17">
        <f t="shared" ca="1" si="23"/>
        <v>0</v>
      </c>
      <c r="DG376" s="17">
        <f t="shared" ca="1" si="24"/>
        <v>0</v>
      </c>
      <c r="DH376" s="17">
        <f ca="1">SUM($DF$360:DF376)/$DG$359</f>
        <v>1</v>
      </c>
      <c r="DI376" s="17">
        <f t="shared" ca="1" si="25"/>
        <v>1</v>
      </c>
      <c r="DK376" s="17">
        <v>17</v>
      </c>
      <c r="DP376" s="21"/>
      <c r="DQ376" s="21"/>
      <c r="DR376" s="21"/>
      <c r="DS376" s="21"/>
      <c r="DT376" s="21"/>
      <c r="DU376" s="21"/>
      <c r="DV376" s="21"/>
      <c r="DW376" s="21"/>
      <c r="DX376" s="21"/>
      <c r="DY376" s="21"/>
      <c r="DZ376" s="21"/>
      <c r="EA376" s="21"/>
    </row>
    <row r="377" spans="7:131" s="17" customFormat="1" x14ac:dyDescent="0.25">
      <c r="G377" s="17">
        <f t="shared" ca="1" si="26"/>
        <v>0</v>
      </c>
      <c r="H377" s="17">
        <f t="shared" ca="1" si="26"/>
        <v>0</v>
      </c>
      <c r="I377" s="17">
        <f t="shared" ca="1" si="26"/>
        <v>0</v>
      </c>
      <c r="J377" s="17">
        <f t="shared" ca="1" si="26"/>
        <v>0</v>
      </c>
      <c r="K377" s="17">
        <f t="shared" ca="1" si="26"/>
        <v>0</v>
      </c>
      <c r="L377" s="17">
        <f t="shared" ca="1" si="26"/>
        <v>0</v>
      </c>
      <c r="M377" s="17">
        <f t="shared" ca="1" si="26"/>
        <v>0</v>
      </c>
      <c r="N377" s="17">
        <f t="shared" ca="1" si="26"/>
        <v>0</v>
      </c>
      <c r="O377" s="17">
        <f t="shared" ca="1" si="26"/>
        <v>0</v>
      </c>
      <c r="P377" s="17">
        <f t="shared" ca="1" si="26"/>
        <v>0</v>
      </c>
      <c r="Q377" s="17">
        <f t="shared" ca="1" si="27"/>
        <v>0</v>
      </c>
      <c r="R377" s="17">
        <f t="shared" ca="1" si="27"/>
        <v>0</v>
      </c>
      <c r="S377" s="17">
        <f t="shared" ca="1" si="27"/>
        <v>0</v>
      </c>
      <c r="T377" s="17">
        <f t="shared" ca="1" si="27"/>
        <v>0</v>
      </c>
      <c r="U377" s="17">
        <f t="shared" ca="1" si="27"/>
        <v>0</v>
      </c>
      <c r="V377" s="17">
        <f t="shared" ca="1" si="27"/>
        <v>0</v>
      </c>
      <c r="W377" s="17">
        <f t="shared" ca="1" si="27"/>
        <v>0</v>
      </c>
      <c r="X377" s="17">
        <f t="shared" ca="1" si="27"/>
        <v>0</v>
      </c>
      <c r="Y377" s="17">
        <f t="shared" ca="1" si="27"/>
        <v>0</v>
      </c>
      <c r="Z377" s="17">
        <f t="shared" ca="1" si="27"/>
        <v>0</v>
      </c>
      <c r="AA377" s="17">
        <f t="shared" ca="1" si="28"/>
        <v>0</v>
      </c>
      <c r="AB377" s="17">
        <f t="shared" ca="1" si="28"/>
        <v>0</v>
      </c>
      <c r="AC377" s="17">
        <f t="shared" ca="1" si="28"/>
        <v>0</v>
      </c>
      <c r="AD377" s="17">
        <f t="shared" ca="1" si="28"/>
        <v>0</v>
      </c>
      <c r="AE377" s="17">
        <f t="shared" ca="1" si="28"/>
        <v>0</v>
      </c>
      <c r="AF377" s="17">
        <f t="shared" ca="1" si="28"/>
        <v>0</v>
      </c>
      <c r="AG377" s="17">
        <f t="shared" ca="1" si="28"/>
        <v>0</v>
      </c>
      <c r="AH377" s="17">
        <f t="shared" ca="1" si="28"/>
        <v>0</v>
      </c>
      <c r="AI377" s="17">
        <f t="shared" ca="1" si="28"/>
        <v>0</v>
      </c>
      <c r="AJ377" s="17">
        <f t="shared" ca="1" si="28"/>
        <v>0</v>
      </c>
      <c r="AK377" s="17">
        <f t="shared" ca="1" si="29"/>
        <v>0</v>
      </c>
      <c r="AL377" s="17">
        <f t="shared" ca="1" si="29"/>
        <v>0</v>
      </c>
      <c r="AM377" s="17">
        <f t="shared" si="29"/>
        <v>0</v>
      </c>
      <c r="AN377" s="17">
        <f t="shared" si="29"/>
        <v>0</v>
      </c>
      <c r="AO377" s="17">
        <f t="shared" si="29"/>
        <v>0</v>
      </c>
      <c r="AP377" s="17">
        <f t="shared" si="29"/>
        <v>0</v>
      </c>
      <c r="AQ377" s="17">
        <f t="shared" si="29"/>
        <v>0</v>
      </c>
      <c r="AR377" s="17">
        <f t="shared" si="29"/>
        <v>0</v>
      </c>
      <c r="AS377" s="17">
        <f t="shared" si="29"/>
        <v>0</v>
      </c>
      <c r="AT377" s="17">
        <f t="shared" si="29"/>
        <v>0</v>
      </c>
      <c r="AU377" s="17">
        <f t="shared" si="30"/>
        <v>0</v>
      </c>
      <c r="AV377" s="17">
        <f t="shared" si="30"/>
        <v>0</v>
      </c>
      <c r="AW377" s="17">
        <f t="shared" si="30"/>
        <v>0</v>
      </c>
      <c r="AX377" s="17">
        <f t="shared" si="30"/>
        <v>0</v>
      </c>
      <c r="AY377" s="17">
        <f t="shared" si="30"/>
        <v>0</v>
      </c>
      <c r="AZ377" s="17">
        <f t="shared" si="30"/>
        <v>0</v>
      </c>
      <c r="BA377" s="17">
        <f t="shared" si="30"/>
        <v>0</v>
      </c>
      <c r="BB377" s="17">
        <f t="shared" si="30"/>
        <v>0</v>
      </c>
      <c r="BC377" s="17">
        <f t="shared" si="30"/>
        <v>0</v>
      </c>
      <c r="BD377" s="17">
        <f t="shared" si="30"/>
        <v>0</v>
      </c>
      <c r="BE377" s="17">
        <f t="shared" si="31"/>
        <v>0</v>
      </c>
      <c r="BF377" s="17">
        <f t="shared" si="31"/>
        <v>0</v>
      </c>
      <c r="BG377" s="17">
        <f t="shared" si="31"/>
        <v>0</v>
      </c>
      <c r="BH377" s="17">
        <f t="shared" si="31"/>
        <v>0</v>
      </c>
      <c r="BI377" s="17">
        <f t="shared" si="31"/>
        <v>0</v>
      </c>
      <c r="BJ377" s="17">
        <f t="shared" si="31"/>
        <v>0</v>
      </c>
      <c r="BK377" s="17">
        <f t="shared" si="31"/>
        <v>0</v>
      </c>
      <c r="BL377" s="17">
        <f t="shared" si="31"/>
        <v>0</v>
      </c>
      <c r="BM377" s="17">
        <f t="shared" si="31"/>
        <v>0</v>
      </c>
      <c r="BN377" s="17">
        <f t="shared" si="31"/>
        <v>0</v>
      </c>
      <c r="BO377" s="17">
        <f t="shared" si="32"/>
        <v>0</v>
      </c>
      <c r="BP377" s="17">
        <f t="shared" si="32"/>
        <v>0</v>
      </c>
      <c r="BQ377" s="17">
        <f t="shared" si="32"/>
        <v>0</v>
      </c>
      <c r="BR377" s="17">
        <f t="shared" si="32"/>
        <v>0</v>
      </c>
      <c r="BS377" s="17">
        <f t="shared" si="32"/>
        <v>0</v>
      </c>
      <c r="BT377" s="17">
        <f t="shared" si="32"/>
        <v>0</v>
      </c>
      <c r="BU377" s="17">
        <f t="shared" si="32"/>
        <v>0</v>
      </c>
      <c r="BV377" s="17">
        <f t="shared" si="32"/>
        <v>0</v>
      </c>
      <c r="BW377" s="17">
        <f t="shared" si="32"/>
        <v>0</v>
      </c>
      <c r="BX377" s="17">
        <f t="shared" si="32"/>
        <v>0</v>
      </c>
      <c r="BY377" s="17">
        <f t="shared" si="33"/>
        <v>0</v>
      </c>
      <c r="BZ377" s="17">
        <f t="shared" si="33"/>
        <v>0</v>
      </c>
      <c r="CA377" s="17">
        <f t="shared" si="33"/>
        <v>0</v>
      </c>
      <c r="CB377" s="17">
        <f t="shared" si="33"/>
        <v>0</v>
      </c>
      <c r="CC377" s="17">
        <f t="shared" si="33"/>
        <v>0</v>
      </c>
      <c r="CD377" s="17">
        <f t="shared" si="33"/>
        <v>0</v>
      </c>
      <c r="CE377" s="17">
        <f t="shared" si="33"/>
        <v>0</v>
      </c>
      <c r="CF377" s="17">
        <f t="shared" si="33"/>
        <v>0</v>
      </c>
      <c r="CG377" s="17">
        <f t="shared" si="33"/>
        <v>0</v>
      </c>
      <c r="CH377" s="17">
        <f t="shared" si="33"/>
        <v>0</v>
      </c>
      <c r="CI377" s="17">
        <f t="shared" si="34"/>
        <v>0</v>
      </c>
      <c r="CJ377" s="17">
        <f t="shared" si="34"/>
        <v>0</v>
      </c>
      <c r="CK377" s="17">
        <f t="shared" si="34"/>
        <v>0</v>
      </c>
      <c r="CL377" s="17">
        <f t="shared" si="34"/>
        <v>0</v>
      </c>
      <c r="CM377" s="17">
        <f t="shared" si="34"/>
        <v>0</v>
      </c>
      <c r="CN377" s="17">
        <f t="shared" si="34"/>
        <v>0</v>
      </c>
      <c r="CO377" s="17">
        <f t="shared" si="34"/>
        <v>0</v>
      </c>
      <c r="CP377" s="17">
        <f t="shared" si="34"/>
        <v>0</v>
      </c>
      <c r="CQ377" s="17">
        <f t="shared" si="34"/>
        <v>0</v>
      </c>
      <c r="CR377" s="17">
        <f t="shared" si="34"/>
        <v>0</v>
      </c>
      <c r="CS377" s="17">
        <f t="shared" si="35"/>
        <v>0</v>
      </c>
      <c r="CT377" s="17">
        <f t="shared" si="35"/>
        <v>0</v>
      </c>
      <c r="CU377" s="17">
        <f t="shared" si="35"/>
        <v>0</v>
      </c>
      <c r="CV377" s="17">
        <f t="shared" si="35"/>
        <v>0</v>
      </c>
      <c r="CW377" s="17">
        <f t="shared" si="35"/>
        <v>0</v>
      </c>
      <c r="CX377" s="17">
        <f t="shared" si="35"/>
        <v>0</v>
      </c>
      <c r="CY377" s="17">
        <f t="shared" si="35"/>
        <v>0</v>
      </c>
      <c r="CZ377" s="17">
        <f t="shared" si="35"/>
        <v>0</v>
      </c>
      <c r="DA377" s="17">
        <f t="shared" si="35"/>
        <v>0</v>
      </c>
      <c r="DB377" s="17">
        <f t="shared" si="35"/>
        <v>0</v>
      </c>
      <c r="DD377" s="14">
        <f t="shared" si="22"/>
        <v>-18</v>
      </c>
      <c r="DF377" s="17">
        <f t="shared" ca="1" si="23"/>
        <v>0</v>
      </c>
      <c r="DG377" s="17">
        <f t="shared" ca="1" si="24"/>
        <v>0</v>
      </c>
      <c r="DH377" s="17">
        <f ca="1">SUM($DF$360:DF377)/$DG$359</f>
        <v>1</v>
      </c>
      <c r="DI377" s="17">
        <f t="shared" ca="1" si="25"/>
        <v>1</v>
      </c>
      <c r="DK377" s="17">
        <v>18</v>
      </c>
      <c r="DP377" s="21"/>
      <c r="DQ377" s="21"/>
      <c r="DR377" s="21"/>
      <c r="DS377" s="21"/>
      <c r="DT377" s="21"/>
      <c r="DU377" s="21"/>
      <c r="DV377" s="21"/>
      <c r="DW377" s="21"/>
      <c r="DX377" s="21"/>
      <c r="DY377" s="21"/>
      <c r="DZ377" s="21"/>
      <c r="EA377" s="21"/>
    </row>
    <row r="378" spans="7:131" s="17" customFormat="1" x14ac:dyDescent="0.25">
      <c r="G378" s="17">
        <f t="shared" ca="1" si="26"/>
        <v>0</v>
      </c>
      <c r="H378" s="17">
        <f t="shared" ca="1" si="26"/>
        <v>0</v>
      </c>
      <c r="I378" s="17">
        <f t="shared" ca="1" si="26"/>
        <v>0</v>
      </c>
      <c r="J378" s="17">
        <f t="shared" ca="1" si="26"/>
        <v>0</v>
      </c>
      <c r="K378" s="17">
        <f t="shared" ca="1" si="26"/>
        <v>0</v>
      </c>
      <c r="L378" s="17">
        <f t="shared" ca="1" si="26"/>
        <v>0</v>
      </c>
      <c r="M378" s="17">
        <f t="shared" ca="1" si="26"/>
        <v>0</v>
      </c>
      <c r="N378" s="17">
        <f t="shared" ca="1" si="26"/>
        <v>0</v>
      </c>
      <c r="O378" s="17">
        <f t="shared" ca="1" si="26"/>
        <v>0</v>
      </c>
      <c r="P378" s="17">
        <f t="shared" ca="1" si="26"/>
        <v>0</v>
      </c>
      <c r="Q378" s="17">
        <f t="shared" ca="1" si="27"/>
        <v>0</v>
      </c>
      <c r="R378" s="17">
        <f t="shared" ca="1" si="27"/>
        <v>0</v>
      </c>
      <c r="S378" s="17">
        <f t="shared" ca="1" si="27"/>
        <v>0</v>
      </c>
      <c r="T378" s="17">
        <f t="shared" ca="1" si="27"/>
        <v>0</v>
      </c>
      <c r="U378" s="17">
        <f t="shared" ca="1" si="27"/>
        <v>0</v>
      </c>
      <c r="V378" s="17">
        <f t="shared" ca="1" si="27"/>
        <v>0</v>
      </c>
      <c r="W378" s="17">
        <f t="shared" ca="1" si="27"/>
        <v>0</v>
      </c>
      <c r="X378" s="17">
        <f t="shared" ca="1" si="27"/>
        <v>0</v>
      </c>
      <c r="Y378" s="17">
        <f t="shared" ca="1" si="27"/>
        <v>0</v>
      </c>
      <c r="Z378" s="17">
        <f t="shared" ca="1" si="27"/>
        <v>0</v>
      </c>
      <c r="AA378" s="17">
        <f t="shared" ca="1" si="28"/>
        <v>0</v>
      </c>
      <c r="AB378" s="17">
        <f t="shared" ca="1" si="28"/>
        <v>0</v>
      </c>
      <c r="AC378" s="17">
        <f t="shared" ca="1" si="28"/>
        <v>0</v>
      </c>
      <c r="AD378" s="17">
        <f t="shared" ca="1" si="28"/>
        <v>0</v>
      </c>
      <c r="AE378" s="17">
        <f t="shared" ca="1" si="28"/>
        <v>0</v>
      </c>
      <c r="AF378" s="17">
        <f t="shared" ca="1" si="28"/>
        <v>0</v>
      </c>
      <c r="AG378" s="17">
        <f t="shared" ca="1" si="28"/>
        <v>0</v>
      </c>
      <c r="AH378" s="17">
        <f t="shared" ca="1" si="28"/>
        <v>0</v>
      </c>
      <c r="AI378" s="17">
        <f t="shared" ca="1" si="28"/>
        <v>0</v>
      </c>
      <c r="AJ378" s="17">
        <f t="shared" ca="1" si="28"/>
        <v>0</v>
      </c>
      <c r="AK378" s="17">
        <f t="shared" ca="1" si="29"/>
        <v>0</v>
      </c>
      <c r="AL378" s="17">
        <f t="shared" si="29"/>
        <v>0</v>
      </c>
      <c r="AM378" s="17">
        <f t="shared" si="29"/>
        <v>0</v>
      </c>
      <c r="AN378" s="17">
        <f t="shared" si="29"/>
        <v>0</v>
      </c>
      <c r="AO378" s="17">
        <f t="shared" si="29"/>
        <v>0</v>
      </c>
      <c r="AP378" s="17">
        <f t="shared" si="29"/>
        <v>0</v>
      </c>
      <c r="AQ378" s="17">
        <f t="shared" si="29"/>
        <v>0</v>
      </c>
      <c r="AR378" s="17">
        <f t="shared" si="29"/>
        <v>0</v>
      </c>
      <c r="AS378" s="17">
        <f t="shared" si="29"/>
        <v>0</v>
      </c>
      <c r="AT378" s="17">
        <f t="shared" si="29"/>
        <v>0</v>
      </c>
      <c r="AU378" s="17">
        <f t="shared" si="30"/>
        <v>0</v>
      </c>
      <c r="AV378" s="17">
        <f t="shared" si="30"/>
        <v>0</v>
      </c>
      <c r="AW378" s="17">
        <f t="shared" si="30"/>
        <v>0</v>
      </c>
      <c r="AX378" s="17">
        <f t="shared" si="30"/>
        <v>0</v>
      </c>
      <c r="AY378" s="17">
        <f t="shared" si="30"/>
        <v>0</v>
      </c>
      <c r="AZ378" s="17">
        <f t="shared" si="30"/>
        <v>0</v>
      </c>
      <c r="BA378" s="17">
        <f t="shared" si="30"/>
        <v>0</v>
      </c>
      <c r="BB378" s="17">
        <f t="shared" si="30"/>
        <v>0</v>
      </c>
      <c r="BC378" s="17">
        <f t="shared" si="30"/>
        <v>0</v>
      </c>
      <c r="BD378" s="17">
        <f t="shared" si="30"/>
        <v>0</v>
      </c>
      <c r="BE378" s="17">
        <f t="shared" si="31"/>
        <v>0</v>
      </c>
      <c r="BF378" s="17">
        <f t="shared" si="31"/>
        <v>0</v>
      </c>
      <c r="BG378" s="17">
        <f t="shared" si="31"/>
        <v>0</v>
      </c>
      <c r="BH378" s="17">
        <f t="shared" si="31"/>
        <v>0</v>
      </c>
      <c r="BI378" s="17">
        <f t="shared" si="31"/>
        <v>0</v>
      </c>
      <c r="BJ378" s="17">
        <f t="shared" si="31"/>
        <v>0</v>
      </c>
      <c r="BK378" s="17">
        <f t="shared" si="31"/>
        <v>0</v>
      </c>
      <c r="BL378" s="17">
        <f t="shared" si="31"/>
        <v>0</v>
      </c>
      <c r="BM378" s="17">
        <f t="shared" si="31"/>
        <v>0</v>
      </c>
      <c r="BN378" s="17">
        <f t="shared" si="31"/>
        <v>0</v>
      </c>
      <c r="BO378" s="17">
        <f t="shared" si="32"/>
        <v>0</v>
      </c>
      <c r="BP378" s="17">
        <f t="shared" si="32"/>
        <v>0</v>
      </c>
      <c r="BQ378" s="17">
        <f t="shared" si="32"/>
        <v>0</v>
      </c>
      <c r="BR378" s="17">
        <f t="shared" si="32"/>
        <v>0</v>
      </c>
      <c r="BS378" s="17">
        <f t="shared" si="32"/>
        <v>0</v>
      </c>
      <c r="BT378" s="17">
        <f t="shared" si="32"/>
        <v>0</v>
      </c>
      <c r="BU378" s="17">
        <f t="shared" si="32"/>
        <v>0</v>
      </c>
      <c r="BV378" s="17">
        <f t="shared" si="32"/>
        <v>0</v>
      </c>
      <c r="BW378" s="17">
        <f t="shared" si="32"/>
        <v>0</v>
      </c>
      <c r="BX378" s="17">
        <f t="shared" si="32"/>
        <v>0</v>
      </c>
      <c r="BY378" s="17">
        <f t="shared" si="33"/>
        <v>0</v>
      </c>
      <c r="BZ378" s="17">
        <f t="shared" si="33"/>
        <v>0</v>
      </c>
      <c r="CA378" s="17">
        <f t="shared" si="33"/>
        <v>0</v>
      </c>
      <c r="CB378" s="17">
        <f t="shared" si="33"/>
        <v>0</v>
      </c>
      <c r="CC378" s="17">
        <f t="shared" si="33"/>
        <v>0</v>
      </c>
      <c r="CD378" s="17">
        <f t="shared" si="33"/>
        <v>0</v>
      </c>
      <c r="CE378" s="17">
        <f t="shared" si="33"/>
        <v>0</v>
      </c>
      <c r="CF378" s="17">
        <f t="shared" si="33"/>
        <v>0</v>
      </c>
      <c r="CG378" s="17">
        <f t="shared" si="33"/>
        <v>0</v>
      </c>
      <c r="CH378" s="17">
        <f t="shared" si="33"/>
        <v>0</v>
      </c>
      <c r="CI378" s="17">
        <f t="shared" si="34"/>
        <v>0</v>
      </c>
      <c r="CJ378" s="17">
        <f t="shared" si="34"/>
        <v>0</v>
      </c>
      <c r="CK378" s="17">
        <f t="shared" si="34"/>
        <v>0</v>
      </c>
      <c r="CL378" s="17">
        <f t="shared" si="34"/>
        <v>0</v>
      </c>
      <c r="CM378" s="17">
        <f t="shared" si="34"/>
        <v>0</v>
      </c>
      <c r="CN378" s="17">
        <f t="shared" si="34"/>
        <v>0</v>
      </c>
      <c r="CO378" s="17">
        <f t="shared" si="34"/>
        <v>0</v>
      </c>
      <c r="CP378" s="17">
        <f t="shared" si="34"/>
        <v>0</v>
      </c>
      <c r="CQ378" s="17">
        <f t="shared" si="34"/>
        <v>0</v>
      </c>
      <c r="CR378" s="17">
        <f t="shared" si="34"/>
        <v>0</v>
      </c>
      <c r="CS378" s="17">
        <f t="shared" si="35"/>
        <v>0</v>
      </c>
      <c r="CT378" s="17">
        <f t="shared" si="35"/>
        <v>0</v>
      </c>
      <c r="CU378" s="17">
        <f t="shared" si="35"/>
        <v>0</v>
      </c>
      <c r="CV378" s="17">
        <f t="shared" si="35"/>
        <v>0</v>
      </c>
      <c r="CW378" s="17">
        <f t="shared" si="35"/>
        <v>0</v>
      </c>
      <c r="CX378" s="17">
        <f t="shared" si="35"/>
        <v>0</v>
      </c>
      <c r="CY378" s="17">
        <f t="shared" si="35"/>
        <v>0</v>
      </c>
      <c r="CZ378" s="17">
        <f t="shared" si="35"/>
        <v>0</v>
      </c>
      <c r="DA378" s="17">
        <f t="shared" si="35"/>
        <v>0</v>
      </c>
      <c r="DB378" s="17">
        <f t="shared" si="35"/>
        <v>0</v>
      </c>
      <c r="DD378" s="14">
        <f t="shared" si="22"/>
        <v>-19</v>
      </c>
      <c r="DF378" s="17">
        <f t="shared" ca="1" si="23"/>
        <v>0</v>
      </c>
      <c r="DG378" s="17">
        <f t="shared" ca="1" si="24"/>
        <v>0</v>
      </c>
      <c r="DH378" s="17">
        <f ca="1">SUM($DF$360:DF378)/$DG$359</f>
        <v>1</v>
      </c>
      <c r="DI378" s="17">
        <f t="shared" ca="1" si="25"/>
        <v>1</v>
      </c>
      <c r="DK378" s="17">
        <v>19</v>
      </c>
      <c r="DP378" s="21"/>
      <c r="DQ378" s="21"/>
      <c r="DR378" s="21"/>
      <c r="DS378" s="21"/>
      <c r="DT378" s="21"/>
      <c r="DU378" s="21"/>
      <c r="DV378" s="21"/>
      <c r="DW378" s="21"/>
      <c r="DX378" s="21"/>
      <c r="DY378" s="21"/>
      <c r="DZ378" s="21"/>
      <c r="EA378" s="21"/>
    </row>
    <row r="379" spans="7:131" s="17" customFormat="1" x14ac:dyDescent="0.25">
      <c r="G379" s="17">
        <f t="shared" ref="G379:P388" ca="1" si="36">IF(G$1&lt;$DD379,G$358,0)</f>
        <v>0</v>
      </c>
      <c r="H379" s="17">
        <f t="shared" ca="1" si="36"/>
        <v>0</v>
      </c>
      <c r="I379" s="17">
        <f t="shared" ca="1" si="36"/>
        <v>0</v>
      </c>
      <c r="J379" s="17">
        <f t="shared" ca="1" si="36"/>
        <v>0</v>
      </c>
      <c r="K379" s="17">
        <f t="shared" ca="1" si="36"/>
        <v>0</v>
      </c>
      <c r="L379" s="17">
        <f t="shared" ca="1" si="36"/>
        <v>0</v>
      </c>
      <c r="M379" s="17">
        <f t="shared" ca="1" si="36"/>
        <v>0</v>
      </c>
      <c r="N379" s="17">
        <f t="shared" ca="1" si="36"/>
        <v>0</v>
      </c>
      <c r="O379" s="17">
        <f t="shared" ca="1" si="36"/>
        <v>0</v>
      </c>
      <c r="P379" s="17">
        <f t="shared" ca="1" si="36"/>
        <v>0</v>
      </c>
      <c r="Q379" s="17">
        <f t="shared" ref="Q379:Z388" ca="1" si="37">IF(Q$1&lt;$DD379,Q$358,0)</f>
        <v>0</v>
      </c>
      <c r="R379" s="17">
        <f t="shared" ca="1" si="37"/>
        <v>0</v>
      </c>
      <c r="S379" s="17">
        <f t="shared" ca="1" si="37"/>
        <v>0</v>
      </c>
      <c r="T379" s="17">
        <f t="shared" ca="1" si="37"/>
        <v>0</v>
      </c>
      <c r="U379" s="17">
        <f t="shared" ca="1" si="37"/>
        <v>0</v>
      </c>
      <c r="V379" s="17">
        <f t="shared" ca="1" si="37"/>
        <v>0</v>
      </c>
      <c r="W379" s="17">
        <f t="shared" ca="1" si="37"/>
        <v>0</v>
      </c>
      <c r="X379" s="17">
        <f t="shared" ca="1" si="37"/>
        <v>0</v>
      </c>
      <c r="Y379" s="17">
        <f t="shared" ca="1" si="37"/>
        <v>0</v>
      </c>
      <c r="Z379" s="17">
        <f t="shared" ca="1" si="37"/>
        <v>0</v>
      </c>
      <c r="AA379" s="17">
        <f t="shared" ref="AA379:AJ388" ca="1" si="38">IF(AA$1&lt;$DD379,AA$358,0)</f>
        <v>0</v>
      </c>
      <c r="AB379" s="17">
        <f t="shared" ca="1" si="38"/>
        <v>0</v>
      </c>
      <c r="AC379" s="17">
        <f t="shared" ca="1" si="38"/>
        <v>0</v>
      </c>
      <c r="AD379" s="17">
        <f t="shared" ca="1" si="38"/>
        <v>0</v>
      </c>
      <c r="AE379" s="17">
        <f t="shared" ca="1" si="38"/>
        <v>0</v>
      </c>
      <c r="AF379" s="17">
        <f t="shared" ca="1" si="38"/>
        <v>0</v>
      </c>
      <c r="AG379" s="17">
        <f t="shared" ca="1" si="38"/>
        <v>0</v>
      </c>
      <c r="AH379" s="17">
        <f t="shared" ca="1" si="38"/>
        <v>0</v>
      </c>
      <c r="AI379" s="17">
        <f t="shared" ca="1" si="38"/>
        <v>0</v>
      </c>
      <c r="AJ379" s="17">
        <f t="shared" ca="1" si="38"/>
        <v>0</v>
      </c>
      <c r="AK379" s="17">
        <f t="shared" ref="AK379:AT388" si="39">IF(AK$1&lt;$DD379,AK$358,0)</f>
        <v>0</v>
      </c>
      <c r="AL379" s="17">
        <f t="shared" si="39"/>
        <v>0</v>
      </c>
      <c r="AM379" s="17">
        <f t="shared" si="39"/>
        <v>0</v>
      </c>
      <c r="AN379" s="17">
        <f t="shared" si="39"/>
        <v>0</v>
      </c>
      <c r="AO379" s="17">
        <f t="shared" si="39"/>
        <v>0</v>
      </c>
      <c r="AP379" s="17">
        <f t="shared" si="39"/>
        <v>0</v>
      </c>
      <c r="AQ379" s="17">
        <f t="shared" si="39"/>
        <v>0</v>
      </c>
      <c r="AR379" s="17">
        <f t="shared" si="39"/>
        <v>0</v>
      </c>
      <c r="AS379" s="17">
        <f t="shared" si="39"/>
        <v>0</v>
      </c>
      <c r="AT379" s="17">
        <f t="shared" si="39"/>
        <v>0</v>
      </c>
      <c r="AU379" s="17">
        <f t="shared" ref="AU379:BD388" si="40">IF(AU$1&lt;$DD379,AU$358,0)</f>
        <v>0</v>
      </c>
      <c r="AV379" s="17">
        <f t="shared" si="40"/>
        <v>0</v>
      </c>
      <c r="AW379" s="17">
        <f t="shared" si="40"/>
        <v>0</v>
      </c>
      <c r="AX379" s="17">
        <f t="shared" si="40"/>
        <v>0</v>
      </c>
      <c r="AY379" s="17">
        <f t="shared" si="40"/>
        <v>0</v>
      </c>
      <c r="AZ379" s="17">
        <f t="shared" si="40"/>
        <v>0</v>
      </c>
      <c r="BA379" s="17">
        <f t="shared" si="40"/>
        <v>0</v>
      </c>
      <c r="BB379" s="17">
        <f t="shared" si="40"/>
        <v>0</v>
      </c>
      <c r="BC379" s="17">
        <f t="shared" si="40"/>
        <v>0</v>
      </c>
      <c r="BD379" s="17">
        <f t="shared" si="40"/>
        <v>0</v>
      </c>
      <c r="BE379" s="17">
        <f t="shared" ref="BE379:BN388" si="41">IF(BE$1&lt;$DD379,BE$358,0)</f>
        <v>0</v>
      </c>
      <c r="BF379" s="17">
        <f t="shared" si="41"/>
        <v>0</v>
      </c>
      <c r="BG379" s="17">
        <f t="shared" si="41"/>
        <v>0</v>
      </c>
      <c r="BH379" s="17">
        <f t="shared" si="41"/>
        <v>0</v>
      </c>
      <c r="BI379" s="17">
        <f t="shared" si="41"/>
        <v>0</v>
      </c>
      <c r="BJ379" s="17">
        <f t="shared" si="41"/>
        <v>0</v>
      </c>
      <c r="BK379" s="17">
        <f t="shared" si="41"/>
        <v>0</v>
      </c>
      <c r="BL379" s="17">
        <f t="shared" si="41"/>
        <v>0</v>
      </c>
      <c r="BM379" s="17">
        <f t="shared" si="41"/>
        <v>0</v>
      </c>
      <c r="BN379" s="17">
        <f t="shared" si="41"/>
        <v>0</v>
      </c>
      <c r="BO379" s="17">
        <f t="shared" ref="BO379:BX388" si="42">IF(BO$1&lt;$DD379,BO$358,0)</f>
        <v>0</v>
      </c>
      <c r="BP379" s="17">
        <f t="shared" si="42"/>
        <v>0</v>
      </c>
      <c r="BQ379" s="17">
        <f t="shared" si="42"/>
        <v>0</v>
      </c>
      <c r="BR379" s="17">
        <f t="shared" si="42"/>
        <v>0</v>
      </c>
      <c r="BS379" s="17">
        <f t="shared" si="42"/>
        <v>0</v>
      </c>
      <c r="BT379" s="17">
        <f t="shared" si="42"/>
        <v>0</v>
      </c>
      <c r="BU379" s="17">
        <f t="shared" si="42"/>
        <v>0</v>
      </c>
      <c r="BV379" s="17">
        <f t="shared" si="42"/>
        <v>0</v>
      </c>
      <c r="BW379" s="17">
        <f t="shared" si="42"/>
        <v>0</v>
      </c>
      <c r="BX379" s="17">
        <f t="shared" si="42"/>
        <v>0</v>
      </c>
      <c r="BY379" s="17">
        <f t="shared" ref="BY379:CH388" si="43">IF(BY$1&lt;$DD379,BY$358,0)</f>
        <v>0</v>
      </c>
      <c r="BZ379" s="17">
        <f t="shared" si="43"/>
        <v>0</v>
      </c>
      <c r="CA379" s="17">
        <f t="shared" si="43"/>
        <v>0</v>
      </c>
      <c r="CB379" s="17">
        <f t="shared" si="43"/>
        <v>0</v>
      </c>
      <c r="CC379" s="17">
        <f t="shared" si="43"/>
        <v>0</v>
      </c>
      <c r="CD379" s="17">
        <f t="shared" si="43"/>
        <v>0</v>
      </c>
      <c r="CE379" s="17">
        <f t="shared" si="43"/>
        <v>0</v>
      </c>
      <c r="CF379" s="17">
        <f t="shared" si="43"/>
        <v>0</v>
      </c>
      <c r="CG379" s="17">
        <f t="shared" si="43"/>
        <v>0</v>
      </c>
      <c r="CH379" s="17">
        <f t="shared" si="43"/>
        <v>0</v>
      </c>
      <c r="CI379" s="17">
        <f t="shared" ref="CI379:CR388" si="44">IF(CI$1&lt;$DD379,CI$358,0)</f>
        <v>0</v>
      </c>
      <c r="CJ379" s="17">
        <f t="shared" si="44"/>
        <v>0</v>
      </c>
      <c r="CK379" s="17">
        <f t="shared" si="44"/>
        <v>0</v>
      </c>
      <c r="CL379" s="17">
        <f t="shared" si="44"/>
        <v>0</v>
      </c>
      <c r="CM379" s="17">
        <f t="shared" si="44"/>
        <v>0</v>
      </c>
      <c r="CN379" s="17">
        <f t="shared" si="44"/>
        <v>0</v>
      </c>
      <c r="CO379" s="17">
        <f t="shared" si="44"/>
        <v>0</v>
      </c>
      <c r="CP379" s="17">
        <f t="shared" si="44"/>
        <v>0</v>
      </c>
      <c r="CQ379" s="17">
        <f t="shared" si="44"/>
        <v>0</v>
      </c>
      <c r="CR379" s="17">
        <f t="shared" si="44"/>
        <v>0</v>
      </c>
      <c r="CS379" s="17">
        <f t="shared" ref="CS379:DB388" si="45">IF(CS$1&lt;$DD379,CS$358,0)</f>
        <v>0</v>
      </c>
      <c r="CT379" s="17">
        <f t="shared" si="45"/>
        <v>0</v>
      </c>
      <c r="CU379" s="17">
        <f t="shared" si="45"/>
        <v>0</v>
      </c>
      <c r="CV379" s="17">
        <f t="shared" si="45"/>
        <v>0</v>
      </c>
      <c r="CW379" s="17">
        <f t="shared" si="45"/>
        <v>0</v>
      </c>
      <c r="CX379" s="17">
        <f t="shared" si="45"/>
        <v>0</v>
      </c>
      <c r="CY379" s="17">
        <f t="shared" si="45"/>
        <v>0</v>
      </c>
      <c r="CZ379" s="17">
        <f t="shared" si="45"/>
        <v>0</v>
      </c>
      <c r="DA379" s="17">
        <f t="shared" si="45"/>
        <v>0</v>
      </c>
      <c r="DB379" s="17">
        <f t="shared" si="45"/>
        <v>0</v>
      </c>
      <c r="DD379" s="14">
        <f t="shared" si="22"/>
        <v>-20</v>
      </c>
      <c r="DF379" s="17">
        <f t="shared" ca="1" si="23"/>
        <v>0</v>
      </c>
      <c r="DG379" s="17">
        <f t="shared" ca="1" si="24"/>
        <v>0</v>
      </c>
      <c r="DH379" s="17">
        <f ca="1">SUM($DF$360:DF379)/$DG$359</f>
        <v>1</v>
      </c>
      <c r="DI379" s="17">
        <f t="shared" ca="1" si="25"/>
        <v>1</v>
      </c>
      <c r="DK379" s="17">
        <v>20</v>
      </c>
      <c r="DP379" s="21"/>
      <c r="DQ379" s="21"/>
      <c r="DR379" s="21"/>
      <c r="DS379" s="21"/>
      <c r="DT379" s="21"/>
      <c r="DU379" s="21"/>
      <c r="DV379" s="21"/>
      <c r="DW379" s="21"/>
      <c r="DX379" s="21"/>
      <c r="DY379" s="21"/>
      <c r="DZ379" s="21"/>
      <c r="EA379" s="21"/>
    </row>
    <row r="380" spans="7:131" s="17" customFormat="1" x14ac:dyDescent="0.25">
      <c r="G380" s="17">
        <f t="shared" ca="1" si="36"/>
        <v>0</v>
      </c>
      <c r="H380" s="17">
        <f t="shared" ca="1" si="36"/>
        <v>0</v>
      </c>
      <c r="I380" s="17">
        <f t="shared" ca="1" si="36"/>
        <v>0</v>
      </c>
      <c r="J380" s="17">
        <f t="shared" ca="1" si="36"/>
        <v>0</v>
      </c>
      <c r="K380" s="17">
        <f t="shared" ca="1" si="36"/>
        <v>0</v>
      </c>
      <c r="L380" s="17">
        <f t="shared" ca="1" si="36"/>
        <v>0</v>
      </c>
      <c r="M380" s="17">
        <f t="shared" ca="1" si="36"/>
        <v>0</v>
      </c>
      <c r="N380" s="17">
        <f t="shared" ca="1" si="36"/>
        <v>0</v>
      </c>
      <c r="O380" s="17">
        <f t="shared" ca="1" si="36"/>
        <v>0</v>
      </c>
      <c r="P380" s="17">
        <f t="shared" ca="1" si="36"/>
        <v>0</v>
      </c>
      <c r="Q380" s="17">
        <f t="shared" ca="1" si="37"/>
        <v>0</v>
      </c>
      <c r="R380" s="17">
        <f t="shared" ca="1" si="37"/>
        <v>0</v>
      </c>
      <c r="S380" s="17">
        <f t="shared" ca="1" si="37"/>
        <v>0</v>
      </c>
      <c r="T380" s="17">
        <f t="shared" ca="1" si="37"/>
        <v>0</v>
      </c>
      <c r="U380" s="17">
        <f t="shared" ca="1" si="37"/>
        <v>0</v>
      </c>
      <c r="V380" s="17">
        <f t="shared" ca="1" si="37"/>
        <v>0</v>
      </c>
      <c r="W380" s="17">
        <f t="shared" ca="1" si="37"/>
        <v>0</v>
      </c>
      <c r="X380" s="17">
        <f t="shared" ca="1" si="37"/>
        <v>0</v>
      </c>
      <c r="Y380" s="17">
        <f t="shared" ca="1" si="37"/>
        <v>0</v>
      </c>
      <c r="Z380" s="17">
        <f t="shared" ca="1" si="37"/>
        <v>0</v>
      </c>
      <c r="AA380" s="17">
        <f t="shared" ca="1" si="38"/>
        <v>0</v>
      </c>
      <c r="AB380" s="17">
        <f t="shared" ca="1" si="38"/>
        <v>0</v>
      </c>
      <c r="AC380" s="17">
        <f t="shared" ca="1" si="38"/>
        <v>0</v>
      </c>
      <c r="AD380" s="17">
        <f t="shared" ca="1" si="38"/>
        <v>0</v>
      </c>
      <c r="AE380" s="17">
        <f t="shared" ca="1" si="38"/>
        <v>0</v>
      </c>
      <c r="AF380" s="17">
        <f t="shared" ca="1" si="38"/>
        <v>0</v>
      </c>
      <c r="AG380" s="17">
        <f t="shared" ca="1" si="38"/>
        <v>0</v>
      </c>
      <c r="AH380" s="17">
        <f t="shared" ca="1" si="38"/>
        <v>0</v>
      </c>
      <c r="AI380" s="17">
        <f t="shared" ca="1" si="38"/>
        <v>0</v>
      </c>
      <c r="AJ380" s="17">
        <f t="shared" si="38"/>
        <v>0</v>
      </c>
      <c r="AK380" s="17">
        <f t="shared" si="39"/>
        <v>0</v>
      </c>
      <c r="AL380" s="17">
        <f t="shared" si="39"/>
        <v>0</v>
      </c>
      <c r="AM380" s="17">
        <f t="shared" si="39"/>
        <v>0</v>
      </c>
      <c r="AN380" s="17">
        <f t="shared" si="39"/>
        <v>0</v>
      </c>
      <c r="AO380" s="17">
        <f t="shared" si="39"/>
        <v>0</v>
      </c>
      <c r="AP380" s="17">
        <f t="shared" si="39"/>
        <v>0</v>
      </c>
      <c r="AQ380" s="17">
        <f t="shared" si="39"/>
        <v>0</v>
      </c>
      <c r="AR380" s="17">
        <f t="shared" si="39"/>
        <v>0</v>
      </c>
      <c r="AS380" s="17">
        <f t="shared" si="39"/>
        <v>0</v>
      </c>
      <c r="AT380" s="17">
        <f t="shared" si="39"/>
        <v>0</v>
      </c>
      <c r="AU380" s="17">
        <f t="shared" si="40"/>
        <v>0</v>
      </c>
      <c r="AV380" s="17">
        <f t="shared" si="40"/>
        <v>0</v>
      </c>
      <c r="AW380" s="17">
        <f t="shared" si="40"/>
        <v>0</v>
      </c>
      <c r="AX380" s="17">
        <f t="shared" si="40"/>
        <v>0</v>
      </c>
      <c r="AY380" s="17">
        <f t="shared" si="40"/>
        <v>0</v>
      </c>
      <c r="AZ380" s="17">
        <f t="shared" si="40"/>
        <v>0</v>
      </c>
      <c r="BA380" s="17">
        <f t="shared" si="40"/>
        <v>0</v>
      </c>
      <c r="BB380" s="17">
        <f t="shared" si="40"/>
        <v>0</v>
      </c>
      <c r="BC380" s="17">
        <f t="shared" si="40"/>
        <v>0</v>
      </c>
      <c r="BD380" s="17">
        <f t="shared" si="40"/>
        <v>0</v>
      </c>
      <c r="BE380" s="17">
        <f t="shared" si="41"/>
        <v>0</v>
      </c>
      <c r="BF380" s="17">
        <f t="shared" si="41"/>
        <v>0</v>
      </c>
      <c r="BG380" s="17">
        <f t="shared" si="41"/>
        <v>0</v>
      </c>
      <c r="BH380" s="17">
        <f t="shared" si="41"/>
        <v>0</v>
      </c>
      <c r="BI380" s="17">
        <f t="shared" si="41"/>
        <v>0</v>
      </c>
      <c r="BJ380" s="17">
        <f t="shared" si="41"/>
        <v>0</v>
      </c>
      <c r="BK380" s="17">
        <f t="shared" si="41"/>
        <v>0</v>
      </c>
      <c r="BL380" s="17">
        <f t="shared" si="41"/>
        <v>0</v>
      </c>
      <c r="BM380" s="17">
        <f t="shared" si="41"/>
        <v>0</v>
      </c>
      <c r="BN380" s="17">
        <f t="shared" si="41"/>
        <v>0</v>
      </c>
      <c r="BO380" s="17">
        <f t="shared" si="42"/>
        <v>0</v>
      </c>
      <c r="BP380" s="17">
        <f t="shared" si="42"/>
        <v>0</v>
      </c>
      <c r="BQ380" s="17">
        <f t="shared" si="42"/>
        <v>0</v>
      </c>
      <c r="BR380" s="17">
        <f t="shared" si="42"/>
        <v>0</v>
      </c>
      <c r="BS380" s="17">
        <f t="shared" si="42"/>
        <v>0</v>
      </c>
      <c r="BT380" s="17">
        <f t="shared" si="42"/>
        <v>0</v>
      </c>
      <c r="BU380" s="17">
        <f t="shared" si="42"/>
        <v>0</v>
      </c>
      <c r="BV380" s="17">
        <f t="shared" si="42"/>
        <v>0</v>
      </c>
      <c r="BW380" s="17">
        <f t="shared" si="42"/>
        <v>0</v>
      </c>
      <c r="BX380" s="17">
        <f t="shared" si="42"/>
        <v>0</v>
      </c>
      <c r="BY380" s="17">
        <f t="shared" si="43"/>
        <v>0</v>
      </c>
      <c r="BZ380" s="17">
        <f t="shared" si="43"/>
        <v>0</v>
      </c>
      <c r="CA380" s="17">
        <f t="shared" si="43"/>
        <v>0</v>
      </c>
      <c r="CB380" s="17">
        <f t="shared" si="43"/>
        <v>0</v>
      </c>
      <c r="CC380" s="17">
        <f t="shared" si="43"/>
        <v>0</v>
      </c>
      <c r="CD380" s="17">
        <f t="shared" si="43"/>
        <v>0</v>
      </c>
      <c r="CE380" s="17">
        <f t="shared" si="43"/>
        <v>0</v>
      </c>
      <c r="CF380" s="17">
        <f t="shared" si="43"/>
        <v>0</v>
      </c>
      <c r="CG380" s="17">
        <f t="shared" si="43"/>
        <v>0</v>
      </c>
      <c r="CH380" s="17">
        <f t="shared" si="43"/>
        <v>0</v>
      </c>
      <c r="CI380" s="17">
        <f t="shared" si="44"/>
        <v>0</v>
      </c>
      <c r="CJ380" s="17">
        <f t="shared" si="44"/>
        <v>0</v>
      </c>
      <c r="CK380" s="17">
        <f t="shared" si="44"/>
        <v>0</v>
      </c>
      <c r="CL380" s="17">
        <f t="shared" si="44"/>
        <v>0</v>
      </c>
      <c r="CM380" s="17">
        <f t="shared" si="44"/>
        <v>0</v>
      </c>
      <c r="CN380" s="17">
        <f t="shared" si="44"/>
        <v>0</v>
      </c>
      <c r="CO380" s="17">
        <f t="shared" si="44"/>
        <v>0</v>
      </c>
      <c r="CP380" s="17">
        <f t="shared" si="44"/>
        <v>0</v>
      </c>
      <c r="CQ380" s="17">
        <f t="shared" si="44"/>
        <v>0</v>
      </c>
      <c r="CR380" s="17">
        <f t="shared" si="44"/>
        <v>0</v>
      </c>
      <c r="CS380" s="17">
        <f t="shared" si="45"/>
        <v>0</v>
      </c>
      <c r="CT380" s="17">
        <f t="shared" si="45"/>
        <v>0</v>
      </c>
      <c r="CU380" s="17">
        <f t="shared" si="45"/>
        <v>0</v>
      </c>
      <c r="CV380" s="17">
        <f t="shared" si="45"/>
        <v>0</v>
      </c>
      <c r="CW380" s="17">
        <f t="shared" si="45"/>
        <v>0</v>
      </c>
      <c r="CX380" s="17">
        <f t="shared" si="45"/>
        <v>0</v>
      </c>
      <c r="CY380" s="17">
        <f t="shared" si="45"/>
        <v>0</v>
      </c>
      <c r="CZ380" s="17">
        <f t="shared" si="45"/>
        <v>0</v>
      </c>
      <c r="DA380" s="17">
        <f t="shared" si="45"/>
        <v>0</v>
      </c>
      <c r="DB380" s="17">
        <f t="shared" si="45"/>
        <v>0</v>
      </c>
      <c r="DD380" s="14">
        <f t="shared" si="22"/>
        <v>-21</v>
      </c>
      <c r="DF380" s="17">
        <f t="shared" ca="1" si="23"/>
        <v>0</v>
      </c>
      <c r="DG380" s="17">
        <f t="shared" ca="1" si="24"/>
        <v>0</v>
      </c>
      <c r="DH380" s="17">
        <f ca="1">SUM($DF$360:DF380)/$DG$359</f>
        <v>1</v>
      </c>
      <c r="DI380" s="17">
        <f t="shared" ca="1" si="25"/>
        <v>1</v>
      </c>
      <c r="DK380" s="17">
        <v>21</v>
      </c>
      <c r="DP380" s="21"/>
      <c r="DQ380" s="21"/>
      <c r="DR380" s="21"/>
      <c r="DS380" s="21"/>
      <c r="DT380" s="21"/>
      <c r="DU380" s="21"/>
      <c r="DV380" s="21"/>
      <c r="DW380" s="21"/>
      <c r="DX380" s="21"/>
      <c r="DY380" s="21"/>
      <c r="DZ380" s="21"/>
      <c r="EA380" s="21"/>
    </row>
    <row r="381" spans="7:131" s="17" customFormat="1" x14ac:dyDescent="0.25">
      <c r="G381" s="17">
        <f t="shared" ca="1" si="36"/>
        <v>0</v>
      </c>
      <c r="H381" s="17">
        <f t="shared" ca="1" si="36"/>
        <v>0</v>
      </c>
      <c r="I381" s="17">
        <f t="shared" ca="1" si="36"/>
        <v>0</v>
      </c>
      <c r="J381" s="17">
        <f t="shared" ca="1" si="36"/>
        <v>0</v>
      </c>
      <c r="K381" s="17">
        <f t="shared" ca="1" si="36"/>
        <v>0</v>
      </c>
      <c r="L381" s="17">
        <f t="shared" ca="1" si="36"/>
        <v>0</v>
      </c>
      <c r="M381" s="17">
        <f t="shared" ca="1" si="36"/>
        <v>0</v>
      </c>
      <c r="N381" s="17">
        <f t="shared" ca="1" si="36"/>
        <v>0</v>
      </c>
      <c r="O381" s="17">
        <f t="shared" ca="1" si="36"/>
        <v>0</v>
      </c>
      <c r="P381" s="17">
        <f t="shared" ca="1" si="36"/>
        <v>0</v>
      </c>
      <c r="Q381" s="17">
        <f t="shared" ca="1" si="37"/>
        <v>0</v>
      </c>
      <c r="R381" s="17">
        <f t="shared" ca="1" si="37"/>
        <v>0</v>
      </c>
      <c r="S381" s="17">
        <f t="shared" ca="1" si="37"/>
        <v>0</v>
      </c>
      <c r="T381" s="17">
        <f t="shared" ca="1" si="37"/>
        <v>0</v>
      </c>
      <c r="U381" s="17">
        <f t="shared" ca="1" si="37"/>
        <v>0</v>
      </c>
      <c r="V381" s="17">
        <f t="shared" ca="1" si="37"/>
        <v>0</v>
      </c>
      <c r="W381" s="17">
        <f t="shared" ca="1" si="37"/>
        <v>0</v>
      </c>
      <c r="X381" s="17">
        <f t="shared" ca="1" si="37"/>
        <v>0</v>
      </c>
      <c r="Y381" s="17">
        <f t="shared" ca="1" si="37"/>
        <v>0</v>
      </c>
      <c r="Z381" s="17">
        <f t="shared" ca="1" si="37"/>
        <v>0</v>
      </c>
      <c r="AA381" s="17">
        <f t="shared" ca="1" si="38"/>
        <v>0</v>
      </c>
      <c r="AB381" s="17">
        <f t="shared" ca="1" si="38"/>
        <v>0</v>
      </c>
      <c r="AC381" s="17">
        <f t="shared" ca="1" si="38"/>
        <v>0</v>
      </c>
      <c r="AD381" s="17">
        <f t="shared" ca="1" si="38"/>
        <v>0</v>
      </c>
      <c r="AE381" s="17">
        <f t="shared" ca="1" si="38"/>
        <v>0</v>
      </c>
      <c r="AF381" s="17">
        <f t="shared" ca="1" si="38"/>
        <v>0</v>
      </c>
      <c r="AG381" s="17">
        <f t="shared" ca="1" si="38"/>
        <v>0</v>
      </c>
      <c r="AH381" s="17">
        <f t="shared" ca="1" si="38"/>
        <v>0</v>
      </c>
      <c r="AI381" s="17">
        <f t="shared" si="38"/>
        <v>0</v>
      </c>
      <c r="AJ381" s="17">
        <f t="shared" si="38"/>
        <v>0</v>
      </c>
      <c r="AK381" s="17">
        <f t="shared" si="39"/>
        <v>0</v>
      </c>
      <c r="AL381" s="17">
        <f t="shared" si="39"/>
        <v>0</v>
      </c>
      <c r="AM381" s="17">
        <f t="shared" si="39"/>
        <v>0</v>
      </c>
      <c r="AN381" s="17">
        <f t="shared" si="39"/>
        <v>0</v>
      </c>
      <c r="AO381" s="17">
        <f t="shared" si="39"/>
        <v>0</v>
      </c>
      <c r="AP381" s="17">
        <f t="shared" si="39"/>
        <v>0</v>
      </c>
      <c r="AQ381" s="17">
        <f t="shared" si="39"/>
        <v>0</v>
      </c>
      <c r="AR381" s="17">
        <f t="shared" si="39"/>
        <v>0</v>
      </c>
      <c r="AS381" s="17">
        <f t="shared" si="39"/>
        <v>0</v>
      </c>
      <c r="AT381" s="17">
        <f t="shared" si="39"/>
        <v>0</v>
      </c>
      <c r="AU381" s="17">
        <f t="shared" si="40"/>
        <v>0</v>
      </c>
      <c r="AV381" s="17">
        <f t="shared" si="40"/>
        <v>0</v>
      </c>
      <c r="AW381" s="17">
        <f t="shared" si="40"/>
        <v>0</v>
      </c>
      <c r="AX381" s="17">
        <f t="shared" si="40"/>
        <v>0</v>
      </c>
      <c r="AY381" s="17">
        <f t="shared" si="40"/>
        <v>0</v>
      </c>
      <c r="AZ381" s="17">
        <f t="shared" si="40"/>
        <v>0</v>
      </c>
      <c r="BA381" s="17">
        <f t="shared" si="40"/>
        <v>0</v>
      </c>
      <c r="BB381" s="17">
        <f t="shared" si="40"/>
        <v>0</v>
      </c>
      <c r="BC381" s="17">
        <f t="shared" si="40"/>
        <v>0</v>
      </c>
      <c r="BD381" s="17">
        <f t="shared" si="40"/>
        <v>0</v>
      </c>
      <c r="BE381" s="17">
        <f t="shared" si="41"/>
        <v>0</v>
      </c>
      <c r="BF381" s="17">
        <f t="shared" si="41"/>
        <v>0</v>
      </c>
      <c r="BG381" s="17">
        <f t="shared" si="41"/>
        <v>0</v>
      </c>
      <c r="BH381" s="17">
        <f t="shared" si="41"/>
        <v>0</v>
      </c>
      <c r="BI381" s="17">
        <f t="shared" si="41"/>
        <v>0</v>
      </c>
      <c r="BJ381" s="17">
        <f t="shared" si="41"/>
        <v>0</v>
      </c>
      <c r="BK381" s="17">
        <f t="shared" si="41"/>
        <v>0</v>
      </c>
      <c r="BL381" s="17">
        <f t="shared" si="41"/>
        <v>0</v>
      </c>
      <c r="BM381" s="17">
        <f t="shared" si="41"/>
        <v>0</v>
      </c>
      <c r="BN381" s="17">
        <f t="shared" si="41"/>
        <v>0</v>
      </c>
      <c r="BO381" s="17">
        <f t="shared" si="42"/>
        <v>0</v>
      </c>
      <c r="BP381" s="17">
        <f t="shared" si="42"/>
        <v>0</v>
      </c>
      <c r="BQ381" s="17">
        <f t="shared" si="42"/>
        <v>0</v>
      </c>
      <c r="BR381" s="17">
        <f t="shared" si="42"/>
        <v>0</v>
      </c>
      <c r="BS381" s="17">
        <f t="shared" si="42"/>
        <v>0</v>
      </c>
      <c r="BT381" s="17">
        <f t="shared" si="42"/>
        <v>0</v>
      </c>
      <c r="BU381" s="17">
        <f t="shared" si="42"/>
        <v>0</v>
      </c>
      <c r="BV381" s="17">
        <f t="shared" si="42"/>
        <v>0</v>
      </c>
      <c r="BW381" s="17">
        <f t="shared" si="42"/>
        <v>0</v>
      </c>
      <c r="BX381" s="17">
        <f t="shared" si="42"/>
        <v>0</v>
      </c>
      <c r="BY381" s="17">
        <f t="shared" si="43"/>
        <v>0</v>
      </c>
      <c r="BZ381" s="17">
        <f t="shared" si="43"/>
        <v>0</v>
      </c>
      <c r="CA381" s="17">
        <f t="shared" si="43"/>
        <v>0</v>
      </c>
      <c r="CB381" s="17">
        <f t="shared" si="43"/>
        <v>0</v>
      </c>
      <c r="CC381" s="17">
        <f t="shared" si="43"/>
        <v>0</v>
      </c>
      <c r="CD381" s="17">
        <f t="shared" si="43"/>
        <v>0</v>
      </c>
      <c r="CE381" s="17">
        <f t="shared" si="43"/>
        <v>0</v>
      </c>
      <c r="CF381" s="17">
        <f t="shared" si="43"/>
        <v>0</v>
      </c>
      <c r="CG381" s="17">
        <f t="shared" si="43"/>
        <v>0</v>
      </c>
      <c r="CH381" s="17">
        <f t="shared" si="43"/>
        <v>0</v>
      </c>
      <c r="CI381" s="17">
        <f t="shared" si="44"/>
        <v>0</v>
      </c>
      <c r="CJ381" s="17">
        <f t="shared" si="44"/>
        <v>0</v>
      </c>
      <c r="CK381" s="17">
        <f t="shared" si="44"/>
        <v>0</v>
      </c>
      <c r="CL381" s="17">
        <f t="shared" si="44"/>
        <v>0</v>
      </c>
      <c r="CM381" s="17">
        <f t="shared" si="44"/>
        <v>0</v>
      </c>
      <c r="CN381" s="17">
        <f t="shared" si="44"/>
        <v>0</v>
      </c>
      <c r="CO381" s="17">
        <f t="shared" si="44"/>
        <v>0</v>
      </c>
      <c r="CP381" s="17">
        <f t="shared" si="44"/>
        <v>0</v>
      </c>
      <c r="CQ381" s="17">
        <f t="shared" si="44"/>
        <v>0</v>
      </c>
      <c r="CR381" s="17">
        <f t="shared" si="44"/>
        <v>0</v>
      </c>
      <c r="CS381" s="17">
        <f t="shared" si="45"/>
        <v>0</v>
      </c>
      <c r="CT381" s="17">
        <f t="shared" si="45"/>
        <v>0</v>
      </c>
      <c r="CU381" s="17">
        <f t="shared" si="45"/>
        <v>0</v>
      </c>
      <c r="CV381" s="17">
        <f t="shared" si="45"/>
        <v>0</v>
      </c>
      <c r="CW381" s="17">
        <f t="shared" si="45"/>
        <v>0</v>
      </c>
      <c r="CX381" s="17">
        <f t="shared" si="45"/>
        <v>0</v>
      </c>
      <c r="CY381" s="17">
        <f t="shared" si="45"/>
        <v>0</v>
      </c>
      <c r="CZ381" s="17">
        <f t="shared" si="45"/>
        <v>0</v>
      </c>
      <c r="DA381" s="17">
        <f t="shared" si="45"/>
        <v>0</v>
      </c>
      <c r="DB381" s="17">
        <f t="shared" si="45"/>
        <v>0</v>
      </c>
      <c r="DD381" s="14">
        <f t="shared" si="22"/>
        <v>-22</v>
      </c>
      <c r="DF381" s="17">
        <f t="shared" ca="1" si="23"/>
        <v>0</v>
      </c>
      <c r="DG381" s="17">
        <f t="shared" ca="1" si="24"/>
        <v>0</v>
      </c>
      <c r="DH381" s="17">
        <f ca="1">SUM($DF$360:DF381)/$DG$359</f>
        <v>1</v>
      </c>
      <c r="DI381" s="17">
        <f t="shared" ca="1" si="25"/>
        <v>1</v>
      </c>
      <c r="DK381" s="17">
        <v>22</v>
      </c>
      <c r="DP381" s="21"/>
      <c r="DQ381" s="21"/>
      <c r="DR381" s="21"/>
      <c r="DS381" s="21"/>
      <c r="DT381" s="21"/>
      <c r="DU381" s="21"/>
      <c r="DV381" s="21"/>
      <c r="DW381" s="21"/>
      <c r="DX381" s="21"/>
      <c r="DY381" s="21"/>
      <c r="DZ381" s="21"/>
      <c r="EA381" s="21"/>
    </row>
    <row r="382" spans="7:131" s="17" customFormat="1" x14ac:dyDescent="0.25">
      <c r="G382" s="17">
        <f t="shared" ca="1" si="36"/>
        <v>0</v>
      </c>
      <c r="H382" s="17">
        <f t="shared" ca="1" si="36"/>
        <v>0</v>
      </c>
      <c r="I382" s="17">
        <f t="shared" ca="1" si="36"/>
        <v>0</v>
      </c>
      <c r="J382" s="17">
        <f t="shared" ca="1" si="36"/>
        <v>0</v>
      </c>
      <c r="K382" s="17">
        <f t="shared" ca="1" si="36"/>
        <v>0</v>
      </c>
      <c r="L382" s="17">
        <f t="shared" ca="1" si="36"/>
        <v>0</v>
      </c>
      <c r="M382" s="17">
        <f t="shared" ca="1" si="36"/>
        <v>0</v>
      </c>
      <c r="N382" s="17">
        <f t="shared" ca="1" si="36"/>
        <v>0</v>
      </c>
      <c r="O382" s="17">
        <f t="shared" ca="1" si="36"/>
        <v>0</v>
      </c>
      <c r="P382" s="17">
        <f t="shared" ca="1" si="36"/>
        <v>0</v>
      </c>
      <c r="Q382" s="17">
        <f t="shared" ca="1" si="37"/>
        <v>0</v>
      </c>
      <c r="R382" s="17">
        <f t="shared" ca="1" si="37"/>
        <v>0</v>
      </c>
      <c r="S382" s="17">
        <f t="shared" ca="1" si="37"/>
        <v>0</v>
      </c>
      <c r="T382" s="17">
        <f t="shared" ca="1" si="37"/>
        <v>0</v>
      </c>
      <c r="U382" s="17">
        <f t="shared" ca="1" si="37"/>
        <v>0</v>
      </c>
      <c r="V382" s="17">
        <f t="shared" ca="1" si="37"/>
        <v>0</v>
      </c>
      <c r="W382" s="17">
        <f t="shared" ca="1" si="37"/>
        <v>0</v>
      </c>
      <c r="X382" s="17">
        <f t="shared" ca="1" si="37"/>
        <v>0</v>
      </c>
      <c r="Y382" s="17">
        <f t="shared" ca="1" si="37"/>
        <v>0</v>
      </c>
      <c r="Z382" s="17">
        <f t="shared" ca="1" si="37"/>
        <v>0</v>
      </c>
      <c r="AA382" s="17">
        <f t="shared" ca="1" si="38"/>
        <v>0</v>
      </c>
      <c r="AB382" s="17">
        <f t="shared" ca="1" si="38"/>
        <v>0</v>
      </c>
      <c r="AC382" s="17">
        <f t="shared" ca="1" si="38"/>
        <v>0</v>
      </c>
      <c r="AD382" s="17">
        <f t="shared" ca="1" si="38"/>
        <v>0</v>
      </c>
      <c r="AE382" s="17">
        <f t="shared" ca="1" si="38"/>
        <v>0</v>
      </c>
      <c r="AF382" s="17">
        <f t="shared" ca="1" si="38"/>
        <v>0</v>
      </c>
      <c r="AG382" s="17">
        <f t="shared" ca="1" si="38"/>
        <v>0</v>
      </c>
      <c r="AH382" s="17">
        <f t="shared" si="38"/>
        <v>0</v>
      </c>
      <c r="AI382" s="17">
        <f t="shared" si="38"/>
        <v>0</v>
      </c>
      <c r="AJ382" s="17">
        <f t="shared" si="38"/>
        <v>0</v>
      </c>
      <c r="AK382" s="17">
        <f t="shared" si="39"/>
        <v>0</v>
      </c>
      <c r="AL382" s="17">
        <f t="shared" si="39"/>
        <v>0</v>
      </c>
      <c r="AM382" s="17">
        <f t="shared" si="39"/>
        <v>0</v>
      </c>
      <c r="AN382" s="17">
        <f t="shared" si="39"/>
        <v>0</v>
      </c>
      <c r="AO382" s="17">
        <f t="shared" si="39"/>
        <v>0</v>
      </c>
      <c r="AP382" s="17">
        <f t="shared" si="39"/>
        <v>0</v>
      </c>
      <c r="AQ382" s="17">
        <f t="shared" si="39"/>
        <v>0</v>
      </c>
      <c r="AR382" s="17">
        <f t="shared" si="39"/>
        <v>0</v>
      </c>
      <c r="AS382" s="17">
        <f t="shared" si="39"/>
        <v>0</v>
      </c>
      <c r="AT382" s="17">
        <f t="shared" si="39"/>
        <v>0</v>
      </c>
      <c r="AU382" s="17">
        <f t="shared" si="40"/>
        <v>0</v>
      </c>
      <c r="AV382" s="17">
        <f t="shared" si="40"/>
        <v>0</v>
      </c>
      <c r="AW382" s="17">
        <f t="shared" si="40"/>
        <v>0</v>
      </c>
      <c r="AX382" s="17">
        <f t="shared" si="40"/>
        <v>0</v>
      </c>
      <c r="AY382" s="17">
        <f t="shared" si="40"/>
        <v>0</v>
      </c>
      <c r="AZ382" s="17">
        <f t="shared" si="40"/>
        <v>0</v>
      </c>
      <c r="BA382" s="17">
        <f t="shared" si="40"/>
        <v>0</v>
      </c>
      <c r="BB382" s="17">
        <f t="shared" si="40"/>
        <v>0</v>
      </c>
      <c r="BC382" s="17">
        <f t="shared" si="40"/>
        <v>0</v>
      </c>
      <c r="BD382" s="17">
        <f t="shared" si="40"/>
        <v>0</v>
      </c>
      <c r="BE382" s="17">
        <f t="shared" si="41"/>
        <v>0</v>
      </c>
      <c r="BF382" s="17">
        <f t="shared" si="41"/>
        <v>0</v>
      </c>
      <c r="BG382" s="17">
        <f t="shared" si="41"/>
        <v>0</v>
      </c>
      <c r="BH382" s="17">
        <f t="shared" si="41"/>
        <v>0</v>
      </c>
      <c r="BI382" s="17">
        <f t="shared" si="41"/>
        <v>0</v>
      </c>
      <c r="BJ382" s="17">
        <f t="shared" si="41"/>
        <v>0</v>
      </c>
      <c r="BK382" s="17">
        <f t="shared" si="41"/>
        <v>0</v>
      </c>
      <c r="BL382" s="17">
        <f t="shared" si="41"/>
        <v>0</v>
      </c>
      <c r="BM382" s="17">
        <f t="shared" si="41"/>
        <v>0</v>
      </c>
      <c r="BN382" s="17">
        <f t="shared" si="41"/>
        <v>0</v>
      </c>
      <c r="BO382" s="17">
        <f t="shared" si="42"/>
        <v>0</v>
      </c>
      <c r="BP382" s="17">
        <f t="shared" si="42"/>
        <v>0</v>
      </c>
      <c r="BQ382" s="17">
        <f t="shared" si="42"/>
        <v>0</v>
      </c>
      <c r="BR382" s="17">
        <f t="shared" si="42"/>
        <v>0</v>
      </c>
      <c r="BS382" s="17">
        <f t="shared" si="42"/>
        <v>0</v>
      </c>
      <c r="BT382" s="17">
        <f t="shared" si="42"/>
        <v>0</v>
      </c>
      <c r="BU382" s="17">
        <f t="shared" si="42"/>
        <v>0</v>
      </c>
      <c r="BV382" s="17">
        <f t="shared" si="42"/>
        <v>0</v>
      </c>
      <c r="BW382" s="17">
        <f t="shared" si="42"/>
        <v>0</v>
      </c>
      <c r="BX382" s="17">
        <f t="shared" si="42"/>
        <v>0</v>
      </c>
      <c r="BY382" s="17">
        <f t="shared" si="43"/>
        <v>0</v>
      </c>
      <c r="BZ382" s="17">
        <f t="shared" si="43"/>
        <v>0</v>
      </c>
      <c r="CA382" s="17">
        <f t="shared" si="43"/>
        <v>0</v>
      </c>
      <c r="CB382" s="17">
        <f t="shared" si="43"/>
        <v>0</v>
      </c>
      <c r="CC382" s="17">
        <f t="shared" si="43"/>
        <v>0</v>
      </c>
      <c r="CD382" s="17">
        <f t="shared" si="43"/>
        <v>0</v>
      </c>
      <c r="CE382" s="17">
        <f t="shared" si="43"/>
        <v>0</v>
      </c>
      <c r="CF382" s="17">
        <f t="shared" si="43"/>
        <v>0</v>
      </c>
      <c r="CG382" s="17">
        <f t="shared" si="43"/>
        <v>0</v>
      </c>
      <c r="CH382" s="17">
        <f t="shared" si="43"/>
        <v>0</v>
      </c>
      <c r="CI382" s="17">
        <f t="shared" si="44"/>
        <v>0</v>
      </c>
      <c r="CJ382" s="17">
        <f t="shared" si="44"/>
        <v>0</v>
      </c>
      <c r="CK382" s="17">
        <f t="shared" si="44"/>
        <v>0</v>
      </c>
      <c r="CL382" s="17">
        <f t="shared" si="44"/>
        <v>0</v>
      </c>
      <c r="CM382" s="17">
        <f t="shared" si="44"/>
        <v>0</v>
      </c>
      <c r="CN382" s="17">
        <f t="shared" si="44"/>
        <v>0</v>
      </c>
      <c r="CO382" s="17">
        <f t="shared" si="44"/>
        <v>0</v>
      </c>
      <c r="CP382" s="17">
        <f t="shared" si="44"/>
        <v>0</v>
      </c>
      <c r="CQ382" s="17">
        <f t="shared" si="44"/>
        <v>0</v>
      </c>
      <c r="CR382" s="17">
        <f t="shared" si="44"/>
        <v>0</v>
      </c>
      <c r="CS382" s="17">
        <f t="shared" si="45"/>
        <v>0</v>
      </c>
      <c r="CT382" s="17">
        <f t="shared" si="45"/>
        <v>0</v>
      </c>
      <c r="CU382" s="17">
        <f t="shared" si="45"/>
        <v>0</v>
      </c>
      <c r="CV382" s="17">
        <f t="shared" si="45"/>
        <v>0</v>
      </c>
      <c r="CW382" s="17">
        <f t="shared" si="45"/>
        <v>0</v>
      </c>
      <c r="CX382" s="17">
        <f t="shared" si="45"/>
        <v>0</v>
      </c>
      <c r="CY382" s="17">
        <f t="shared" si="45"/>
        <v>0</v>
      </c>
      <c r="CZ382" s="17">
        <f t="shared" si="45"/>
        <v>0</v>
      </c>
      <c r="DA382" s="17">
        <f t="shared" si="45"/>
        <v>0</v>
      </c>
      <c r="DB382" s="17">
        <f t="shared" si="45"/>
        <v>0</v>
      </c>
      <c r="DD382" s="14">
        <f t="shared" si="22"/>
        <v>-23</v>
      </c>
      <c r="DF382" s="17">
        <f t="shared" ca="1" si="23"/>
        <v>0</v>
      </c>
      <c r="DG382" s="17">
        <f t="shared" ca="1" si="24"/>
        <v>0</v>
      </c>
      <c r="DH382" s="17">
        <f ca="1">SUM($DF$360:DF382)/$DG$359</f>
        <v>1</v>
      </c>
      <c r="DI382" s="17">
        <f t="shared" ca="1" si="25"/>
        <v>1</v>
      </c>
      <c r="DK382" s="17">
        <v>23</v>
      </c>
      <c r="DP382" s="21"/>
      <c r="DQ382" s="21"/>
      <c r="DR382" s="21"/>
      <c r="DS382" s="21"/>
      <c r="DT382" s="21"/>
      <c r="DU382" s="21"/>
      <c r="DV382" s="21"/>
      <c r="DW382" s="21"/>
      <c r="DX382" s="21"/>
      <c r="DY382" s="21"/>
      <c r="DZ382" s="21"/>
      <c r="EA382" s="21"/>
    </row>
    <row r="383" spans="7:131" s="17" customFormat="1" x14ac:dyDescent="0.25">
      <c r="G383" s="17">
        <f t="shared" ca="1" si="36"/>
        <v>0</v>
      </c>
      <c r="H383" s="17">
        <f t="shared" ca="1" si="36"/>
        <v>0</v>
      </c>
      <c r="I383" s="17">
        <f t="shared" ca="1" si="36"/>
        <v>0</v>
      </c>
      <c r="J383" s="17">
        <f t="shared" ca="1" si="36"/>
        <v>0</v>
      </c>
      <c r="K383" s="17">
        <f t="shared" ca="1" si="36"/>
        <v>0</v>
      </c>
      <c r="L383" s="17">
        <f t="shared" ca="1" si="36"/>
        <v>0</v>
      </c>
      <c r="M383" s="17">
        <f t="shared" ca="1" si="36"/>
        <v>0</v>
      </c>
      <c r="N383" s="17">
        <f t="shared" ca="1" si="36"/>
        <v>0</v>
      </c>
      <c r="O383" s="17">
        <f t="shared" ca="1" si="36"/>
        <v>0</v>
      </c>
      <c r="P383" s="17">
        <f t="shared" ca="1" si="36"/>
        <v>0</v>
      </c>
      <c r="Q383" s="17">
        <f t="shared" ca="1" si="37"/>
        <v>0</v>
      </c>
      <c r="R383" s="17">
        <f t="shared" ca="1" si="37"/>
        <v>0</v>
      </c>
      <c r="S383" s="17">
        <f t="shared" ca="1" si="37"/>
        <v>0</v>
      </c>
      <c r="T383" s="17">
        <f t="shared" ca="1" si="37"/>
        <v>0</v>
      </c>
      <c r="U383" s="17">
        <f t="shared" ca="1" si="37"/>
        <v>0</v>
      </c>
      <c r="V383" s="17">
        <f t="shared" ca="1" si="37"/>
        <v>0</v>
      </c>
      <c r="W383" s="17">
        <f t="shared" ca="1" si="37"/>
        <v>0</v>
      </c>
      <c r="X383" s="17">
        <f t="shared" ca="1" si="37"/>
        <v>0</v>
      </c>
      <c r="Y383" s="17">
        <f t="shared" ca="1" si="37"/>
        <v>0</v>
      </c>
      <c r="Z383" s="17">
        <f t="shared" ca="1" si="37"/>
        <v>0</v>
      </c>
      <c r="AA383" s="17">
        <f t="shared" ca="1" si="38"/>
        <v>0</v>
      </c>
      <c r="AB383" s="17">
        <f t="shared" ca="1" si="38"/>
        <v>0</v>
      </c>
      <c r="AC383" s="17">
        <f t="shared" ca="1" si="38"/>
        <v>0</v>
      </c>
      <c r="AD383" s="17">
        <f t="shared" ca="1" si="38"/>
        <v>0</v>
      </c>
      <c r="AE383" s="17">
        <f t="shared" ca="1" si="38"/>
        <v>0</v>
      </c>
      <c r="AF383" s="17">
        <f t="shared" ca="1" si="38"/>
        <v>0</v>
      </c>
      <c r="AG383" s="17">
        <f t="shared" si="38"/>
        <v>0</v>
      </c>
      <c r="AH383" s="17">
        <f t="shared" si="38"/>
        <v>0</v>
      </c>
      <c r="AI383" s="17">
        <f t="shared" si="38"/>
        <v>0</v>
      </c>
      <c r="AJ383" s="17">
        <f t="shared" si="38"/>
        <v>0</v>
      </c>
      <c r="AK383" s="17">
        <f t="shared" si="39"/>
        <v>0</v>
      </c>
      <c r="AL383" s="17">
        <f t="shared" si="39"/>
        <v>0</v>
      </c>
      <c r="AM383" s="17">
        <f t="shared" si="39"/>
        <v>0</v>
      </c>
      <c r="AN383" s="17">
        <f t="shared" si="39"/>
        <v>0</v>
      </c>
      <c r="AO383" s="17">
        <f t="shared" si="39"/>
        <v>0</v>
      </c>
      <c r="AP383" s="17">
        <f t="shared" si="39"/>
        <v>0</v>
      </c>
      <c r="AQ383" s="17">
        <f t="shared" si="39"/>
        <v>0</v>
      </c>
      <c r="AR383" s="17">
        <f t="shared" si="39"/>
        <v>0</v>
      </c>
      <c r="AS383" s="17">
        <f t="shared" si="39"/>
        <v>0</v>
      </c>
      <c r="AT383" s="17">
        <f t="shared" si="39"/>
        <v>0</v>
      </c>
      <c r="AU383" s="17">
        <f t="shared" si="40"/>
        <v>0</v>
      </c>
      <c r="AV383" s="17">
        <f t="shared" si="40"/>
        <v>0</v>
      </c>
      <c r="AW383" s="17">
        <f t="shared" si="40"/>
        <v>0</v>
      </c>
      <c r="AX383" s="17">
        <f t="shared" si="40"/>
        <v>0</v>
      </c>
      <c r="AY383" s="17">
        <f t="shared" si="40"/>
        <v>0</v>
      </c>
      <c r="AZ383" s="17">
        <f t="shared" si="40"/>
        <v>0</v>
      </c>
      <c r="BA383" s="17">
        <f t="shared" si="40"/>
        <v>0</v>
      </c>
      <c r="BB383" s="17">
        <f t="shared" si="40"/>
        <v>0</v>
      </c>
      <c r="BC383" s="17">
        <f t="shared" si="40"/>
        <v>0</v>
      </c>
      <c r="BD383" s="17">
        <f t="shared" si="40"/>
        <v>0</v>
      </c>
      <c r="BE383" s="17">
        <f t="shared" si="41"/>
        <v>0</v>
      </c>
      <c r="BF383" s="17">
        <f t="shared" si="41"/>
        <v>0</v>
      </c>
      <c r="BG383" s="17">
        <f t="shared" si="41"/>
        <v>0</v>
      </c>
      <c r="BH383" s="17">
        <f t="shared" si="41"/>
        <v>0</v>
      </c>
      <c r="BI383" s="17">
        <f t="shared" si="41"/>
        <v>0</v>
      </c>
      <c r="BJ383" s="17">
        <f t="shared" si="41"/>
        <v>0</v>
      </c>
      <c r="BK383" s="17">
        <f t="shared" si="41"/>
        <v>0</v>
      </c>
      <c r="BL383" s="17">
        <f t="shared" si="41"/>
        <v>0</v>
      </c>
      <c r="BM383" s="17">
        <f t="shared" si="41"/>
        <v>0</v>
      </c>
      <c r="BN383" s="17">
        <f t="shared" si="41"/>
        <v>0</v>
      </c>
      <c r="BO383" s="17">
        <f t="shared" si="42"/>
        <v>0</v>
      </c>
      <c r="BP383" s="17">
        <f t="shared" si="42"/>
        <v>0</v>
      </c>
      <c r="BQ383" s="17">
        <f t="shared" si="42"/>
        <v>0</v>
      </c>
      <c r="BR383" s="17">
        <f t="shared" si="42"/>
        <v>0</v>
      </c>
      <c r="BS383" s="17">
        <f t="shared" si="42"/>
        <v>0</v>
      </c>
      <c r="BT383" s="17">
        <f t="shared" si="42"/>
        <v>0</v>
      </c>
      <c r="BU383" s="17">
        <f t="shared" si="42"/>
        <v>0</v>
      </c>
      <c r="BV383" s="17">
        <f t="shared" si="42"/>
        <v>0</v>
      </c>
      <c r="BW383" s="17">
        <f t="shared" si="42"/>
        <v>0</v>
      </c>
      <c r="BX383" s="17">
        <f t="shared" si="42"/>
        <v>0</v>
      </c>
      <c r="BY383" s="17">
        <f t="shared" si="43"/>
        <v>0</v>
      </c>
      <c r="BZ383" s="17">
        <f t="shared" si="43"/>
        <v>0</v>
      </c>
      <c r="CA383" s="17">
        <f t="shared" si="43"/>
        <v>0</v>
      </c>
      <c r="CB383" s="17">
        <f t="shared" si="43"/>
        <v>0</v>
      </c>
      <c r="CC383" s="17">
        <f t="shared" si="43"/>
        <v>0</v>
      </c>
      <c r="CD383" s="17">
        <f t="shared" si="43"/>
        <v>0</v>
      </c>
      <c r="CE383" s="17">
        <f t="shared" si="43"/>
        <v>0</v>
      </c>
      <c r="CF383" s="17">
        <f t="shared" si="43"/>
        <v>0</v>
      </c>
      <c r="CG383" s="17">
        <f t="shared" si="43"/>
        <v>0</v>
      </c>
      <c r="CH383" s="17">
        <f t="shared" si="43"/>
        <v>0</v>
      </c>
      <c r="CI383" s="17">
        <f t="shared" si="44"/>
        <v>0</v>
      </c>
      <c r="CJ383" s="17">
        <f t="shared" si="44"/>
        <v>0</v>
      </c>
      <c r="CK383" s="17">
        <f t="shared" si="44"/>
        <v>0</v>
      </c>
      <c r="CL383" s="17">
        <f t="shared" si="44"/>
        <v>0</v>
      </c>
      <c r="CM383" s="17">
        <f t="shared" si="44"/>
        <v>0</v>
      </c>
      <c r="CN383" s="17">
        <f t="shared" si="44"/>
        <v>0</v>
      </c>
      <c r="CO383" s="17">
        <f t="shared" si="44"/>
        <v>0</v>
      </c>
      <c r="CP383" s="17">
        <f t="shared" si="44"/>
        <v>0</v>
      </c>
      <c r="CQ383" s="17">
        <f t="shared" si="44"/>
        <v>0</v>
      </c>
      <c r="CR383" s="17">
        <f t="shared" si="44"/>
        <v>0</v>
      </c>
      <c r="CS383" s="17">
        <f t="shared" si="45"/>
        <v>0</v>
      </c>
      <c r="CT383" s="17">
        <f t="shared" si="45"/>
        <v>0</v>
      </c>
      <c r="CU383" s="17">
        <f t="shared" si="45"/>
        <v>0</v>
      </c>
      <c r="CV383" s="17">
        <f t="shared" si="45"/>
        <v>0</v>
      </c>
      <c r="CW383" s="17">
        <f t="shared" si="45"/>
        <v>0</v>
      </c>
      <c r="CX383" s="17">
        <f t="shared" si="45"/>
        <v>0</v>
      </c>
      <c r="CY383" s="17">
        <f t="shared" si="45"/>
        <v>0</v>
      </c>
      <c r="CZ383" s="17">
        <f t="shared" si="45"/>
        <v>0</v>
      </c>
      <c r="DA383" s="17">
        <f t="shared" si="45"/>
        <v>0</v>
      </c>
      <c r="DB383" s="17">
        <f t="shared" si="45"/>
        <v>0</v>
      </c>
      <c r="DD383" s="14">
        <f t="shared" si="22"/>
        <v>-24</v>
      </c>
      <c r="DF383" s="17">
        <f t="shared" ca="1" si="23"/>
        <v>0</v>
      </c>
      <c r="DG383" s="17">
        <f t="shared" ca="1" si="24"/>
        <v>0</v>
      </c>
      <c r="DH383" s="17">
        <f ca="1">SUM($DF$360:DF383)/$DG$359</f>
        <v>1</v>
      </c>
      <c r="DI383" s="17">
        <f t="shared" ca="1" si="25"/>
        <v>1</v>
      </c>
      <c r="DK383" s="17">
        <v>24</v>
      </c>
      <c r="DP383" s="21"/>
      <c r="DQ383" s="21"/>
      <c r="DR383" s="21"/>
      <c r="DS383" s="21"/>
      <c r="DT383" s="21"/>
      <c r="DU383" s="21"/>
      <c r="DV383" s="21"/>
      <c r="DW383" s="21"/>
      <c r="DX383" s="21"/>
      <c r="DY383" s="21"/>
      <c r="DZ383" s="21"/>
      <c r="EA383" s="21"/>
    </row>
    <row r="384" spans="7:131" s="17" customFormat="1" x14ac:dyDescent="0.25">
      <c r="G384" s="17">
        <f t="shared" ca="1" si="36"/>
        <v>0</v>
      </c>
      <c r="H384" s="17">
        <f t="shared" ca="1" si="36"/>
        <v>0</v>
      </c>
      <c r="I384" s="17">
        <f t="shared" ca="1" si="36"/>
        <v>0</v>
      </c>
      <c r="J384" s="17">
        <f t="shared" ca="1" si="36"/>
        <v>0</v>
      </c>
      <c r="K384" s="17">
        <f t="shared" ca="1" si="36"/>
        <v>0</v>
      </c>
      <c r="L384" s="17">
        <f t="shared" ca="1" si="36"/>
        <v>0</v>
      </c>
      <c r="M384" s="17">
        <f t="shared" ca="1" si="36"/>
        <v>0</v>
      </c>
      <c r="N384" s="17">
        <f t="shared" ca="1" si="36"/>
        <v>0</v>
      </c>
      <c r="O384" s="17">
        <f t="shared" ca="1" si="36"/>
        <v>0</v>
      </c>
      <c r="P384" s="17">
        <f t="shared" ca="1" si="36"/>
        <v>0</v>
      </c>
      <c r="Q384" s="17">
        <f t="shared" ca="1" si="37"/>
        <v>0</v>
      </c>
      <c r="R384" s="17">
        <f t="shared" ca="1" si="37"/>
        <v>0</v>
      </c>
      <c r="S384" s="17">
        <f t="shared" ca="1" si="37"/>
        <v>0</v>
      </c>
      <c r="T384" s="17">
        <f t="shared" ca="1" si="37"/>
        <v>0</v>
      </c>
      <c r="U384" s="17">
        <f t="shared" ca="1" si="37"/>
        <v>0</v>
      </c>
      <c r="V384" s="17">
        <f t="shared" ca="1" si="37"/>
        <v>0</v>
      </c>
      <c r="W384" s="17">
        <f t="shared" ca="1" si="37"/>
        <v>0</v>
      </c>
      <c r="X384" s="17">
        <f t="shared" ca="1" si="37"/>
        <v>0</v>
      </c>
      <c r="Y384" s="17">
        <f t="shared" ca="1" si="37"/>
        <v>0</v>
      </c>
      <c r="Z384" s="17">
        <f t="shared" ca="1" si="37"/>
        <v>0</v>
      </c>
      <c r="AA384" s="17">
        <f t="shared" ca="1" si="38"/>
        <v>0</v>
      </c>
      <c r="AB384" s="17">
        <f t="shared" ca="1" si="38"/>
        <v>0</v>
      </c>
      <c r="AC384" s="17">
        <f t="shared" ca="1" si="38"/>
        <v>0</v>
      </c>
      <c r="AD384" s="17">
        <f t="shared" ca="1" si="38"/>
        <v>0</v>
      </c>
      <c r="AE384" s="17">
        <f t="shared" ca="1" si="38"/>
        <v>0</v>
      </c>
      <c r="AF384" s="17">
        <f t="shared" si="38"/>
        <v>0</v>
      </c>
      <c r="AG384" s="17">
        <f t="shared" si="38"/>
        <v>0</v>
      </c>
      <c r="AH384" s="17">
        <f t="shared" si="38"/>
        <v>0</v>
      </c>
      <c r="AI384" s="17">
        <f t="shared" si="38"/>
        <v>0</v>
      </c>
      <c r="AJ384" s="17">
        <f t="shared" si="38"/>
        <v>0</v>
      </c>
      <c r="AK384" s="17">
        <f t="shared" si="39"/>
        <v>0</v>
      </c>
      <c r="AL384" s="17">
        <f t="shared" si="39"/>
        <v>0</v>
      </c>
      <c r="AM384" s="17">
        <f t="shared" si="39"/>
        <v>0</v>
      </c>
      <c r="AN384" s="17">
        <f t="shared" si="39"/>
        <v>0</v>
      </c>
      <c r="AO384" s="17">
        <f t="shared" si="39"/>
        <v>0</v>
      </c>
      <c r="AP384" s="17">
        <f t="shared" si="39"/>
        <v>0</v>
      </c>
      <c r="AQ384" s="17">
        <f t="shared" si="39"/>
        <v>0</v>
      </c>
      <c r="AR384" s="17">
        <f t="shared" si="39"/>
        <v>0</v>
      </c>
      <c r="AS384" s="17">
        <f t="shared" si="39"/>
        <v>0</v>
      </c>
      <c r="AT384" s="17">
        <f t="shared" si="39"/>
        <v>0</v>
      </c>
      <c r="AU384" s="17">
        <f t="shared" si="40"/>
        <v>0</v>
      </c>
      <c r="AV384" s="17">
        <f t="shared" si="40"/>
        <v>0</v>
      </c>
      <c r="AW384" s="17">
        <f t="shared" si="40"/>
        <v>0</v>
      </c>
      <c r="AX384" s="17">
        <f t="shared" si="40"/>
        <v>0</v>
      </c>
      <c r="AY384" s="17">
        <f t="shared" si="40"/>
        <v>0</v>
      </c>
      <c r="AZ384" s="17">
        <f t="shared" si="40"/>
        <v>0</v>
      </c>
      <c r="BA384" s="17">
        <f t="shared" si="40"/>
        <v>0</v>
      </c>
      <c r="BB384" s="17">
        <f t="shared" si="40"/>
        <v>0</v>
      </c>
      <c r="BC384" s="17">
        <f t="shared" si="40"/>
        <v>0</v>
      </c>
      <c r="BD384" s="17">
        <f t="shared" si="40"/>
        <v>0</v>
      </c>
      <c r="BE384" s="17">
        <f t="shared" si="41"/>
        <v>0</v>
      </c>
      <c r="BF384" s="17">
        <f t="shared" si="41"/>
        <v>0</v>
      </c>
      <c r="BG384" s="17">
        <f t="shared" si="41"/>
        <v>0</v>
      </c>
      <c r="BH384" s="17">
        <f t="shared" si="41"/>
        <v>0</v>
      </c>
      <c r="BI384" s="17">
        <f t="shared" si="41"/>
        <v>0</v>
      </c>
      <c r="BJ384" s="17">
        <f t="shared" si="41"/>
        <v>0</v>
      </c>
      <c r="BK384" s="17">
        <f t="shared" si="41"/>
        <v>0</v>
      </c>
      <c r="BL384" s="17">
        <f t="shared" si="41"/>
        <v>0</v>
      </c>
      <c r="BM384" s="17">
        <f t="shared" si="41"/>
        <v>0</v>
      </c>
      <c r="BN384" s="17">
        <f t="shared" si="41"/>
        <v>0</v>
      </c>
      <c r="BO384" s="17">
        <f t="shared" si="42"/>
        <v>0</v>
      </c>
      <c r="BP384" s="17">
        <f t="shared" si="42"/>
        <v>0</v>
      </c>
      <c r="BQ384" s="17">
        <f t="shared" si="42"/>
        <v>0</v>
      </c>
      <c r="BR384" s="17">
        <f t="shared" si="42"/>
        <v>0</v>
      </c>
      <c r="BS384" s="17">
        <f t="shared" si="42"/>
        <v>0</v>
      </c>
      <c r="BT384" s="17">
        <f t="shared" si="42"/>
        <v>0</v>
      </c>
      <c r="BU384" s="17">
        <f t="shared" si="42"/>
        <v>0</v>
      </c>
      <c r="BV384" s="17">
        <f t="shared" si="42"/>
        <v>0</v>
      </c>
      <c r="BW384" s="17">
        <f t="shared" si="42"/>
        <v>0</v>
      </c>
      <c r="BX384" s="17">
        <f t="shared" si="42"/>
        <v>0</v>
      </c>
      <c r="BY384" s="17">
        <f t="shared" si="43"/>
        <v>0</v>
      </c>
      <c r="BZ384" s="17">
        <f t="shared" si="43"/>
        <v>0</v>
      </c>
      <c r="CA384" s="17">
        <f t="shared" si="43"/>
        <v>0</v>
      </c>
      <c r="CB384" s="17">
        <f t="shared" si="43"/>
        <v>0</v>
      </c>
      <c r="CC384" s="17">
        <f t="shared" si="43"/>
        <v>0</v>
      </c>
      <c r="CD384" s="17">
        <f t="shared" si="43"/>
        <v>0</v>
      </c>
      <c r="CE384" s="17">
        <f t="shared" si="43"/>
        <v>0</v>
      </c>
      <c r="CF384" s="17">
        <f t="shared" si="43"/>
        <v>0</v>
      </c>
      <c r="CG384" s="17">
        <f t="shared" si="43"/>
        <v>0</v>
      </c>
      <c r="CH384" s="17">
        <f t="shared" si="43"/>
        <v>0</v>
      </c>
      <c r="CI384" s="17">
        <f t="shared" si="44"/>
        <v>0</v>
      </c>
      <c r="CJ384" s="17">
        <f t="shared" si="44"/>
        <v>0</v>
      </c>
      <c r="CK384" s="17">
        <f t="shared" si="44"/>
        <v>0</v>
      </c>
      <c r="CL384" s="17">
        <f t="shared" si="44"/>
        <v>0</v>
      </c>
      <c r="CM384" s="17">
        <f t="shared" si="44"/>
        <v>0</v>
      </c>
      <c r="CN384" s="17">
        <f t="shared" si="44"/>
        <v>0</v>
      </c>
      <c r="CO384" s="17">
        <f t="shared" si="44"/>
        <v>0</v>
      </c>
      <c r="CP384" s="17">
        <f t="shared" si="44"/>
        <v>0</v>
      </c>
      <c r="CQ384" s="17">
        <f t="shared" si="44"/>
        <v>0</v>
      </c>
      <c r="CR384" s="17">
        <f t="shared" si="44"/>
        <v>0</v>
      </c>
      <c r="CS384" s="17">
        <f t="shared" si="45"/>
        <v>0</v>
      </c>
      <c r="CT384" s="17">
        <f t="shared" si="45"/>
        <v>0</v>
      </c>
      <c r="CU384" s="17">
        <f t="shared" si="45"/>
        <v>0</v>
      </c>
      <c r="CV384" s="17">
        <f t="shared" si="45"/>
        <v>0</v>
      </c>
      <c r="CW384" s="17">
        <f t="shared" si="45"/>
        <v>0</v>
      </c>
      <c r="CX384" s="17">
        <f t="shared" si="45"/>
        <v>0</v>
      </c>
      <c r="CY384" s="17">
        <f t="shared" si="45"/>
        <v>0</v>
      </c>
      <c r="CZ384" s="17">
        <f t="shared" si="45"/>
        <v>0</v>
      </c>
      <c r="DA384" s="17">
        <f t="shared" si="45"/>
        <v>0</v>
      </c>
      <c r="DB384" s="17">
        <f t="shared" si="45"/>
        <v>0</v>
      </c>
      <c r="DD384" s="14">
        <f t="shared" si="22"/>
        <v>-25</v>
      </c>
      <c r="DF384" s="17">
        <f t="shared" ca="1" si="23"/>
        <v>0</v>
      </c>
      <c r="DG384" s="17">
        <f t="shared" ca="1" si="24"/>
        <v>0</v>
      </c>
      <c r="DH384" s="17">
        <f ca="1">SUM($DF$360:DF384)/$DG$359</f>
        <v>1</v>
      </c>
      <c r="DI384" s="17">
        <f t="shared" ca="1" si="25"/>
        <v>1</v>
      </c>
      <c r="DK384" s="17">
        <v>25</v>
      </c>
      <c r="DP384" s="21"/>
      <c r="DQ384" s="21"/>
      <c r="DR384" s="21"/>
      <c r="DS384" s="21"/>
      <c r="DT384" s="21"/>
      <c r="DU384" s="21"/>
      <c r="DV384" s="21"/>
      <c r="DW384" s="21"/>
      <c r="DX384" s="21"/>
      <c r="DY384" s="21"/>
      <c r="DZ384" s="21"/>
      <c r="EA384" s="21"/>
    </row>
    <row r="385" spans="7:131" s="17" customFormat="1" x14ac:dyDescent="0.25">
      <c r="G385" s="17">
        <f t="shared" ca="1" si="36"/>
        <v>0</v>
      </c>
      <c r="H385" s="17">
        <f t="shared" ca="1" si="36"/>
        <v>0</v>
      </c>
      <c r="I385" s="17">
        <f t="shared" ca="1" si="36"/>
        <v>0</v>
      </c>
      <c r="J385" s="17">
        <f t="shared" ca="1" si="36"/>
        <v>0</v>
      </c>
      <c r="K385" s="17">
        <f t="shared" ca="1" si="36"/>
        <v>0</v>
      </c>
      <c r="L385" s="17">
        <f t="shared" ca="1" si="36"/>
        <v>0</v>
      </c>
      <c r="M385" s="17">
        <f t="shared" ca="1" si="36"/>
        <v>0</v>
      </c>
      <c r="N385" s="17">
        <f t="shared" ca="1" si="36"/>
        <v>0</v>
      </c>
      <c r="O385" s="17">
        <f t="shared" ca="1" si="36"/>
        <v>0</v>
      </c>
      <c r="P385" s="17">
        <f t="shared" ca="1" si="36"/>
        <v>0</v>
      </c>
      <c r="Q385" s="17">
        <f t="shared" ca="1" si="37"/>
        <v>0</v>
      </c>
      <c r="R385" s="17">
        <f t="shared" ca="1" si="37"/>
        <v>0</v>
      </c>
      <c r="S385" s="17">
        <f t="shared" ca="1" si="37"/>
        <v>0</v>
      </c>
      <c r="T385" s="17">
        <f t="shared" ca="1" si="37"/>
        <v>0</v>
      </c>
      <c r="U385" s="17">
        <f t="shared" ca="1" si="37"/>
        <v>0</v>
      </c>
      <c r="V385" s="17">
        <f t="shared" ca="1" si="37"/>
        <v>0</v>
      </c>
      <c r="W385" s="17">
        <f t="shared" ca="1" si="37"/>
        <v>0</v>
      </c>
      <c r="X385" s="17">
        <f t="shared" ca="1" si="37"/>
        <v>0</v>
      </c>
      <c r="Y385" s="17">
        <f t="shared" ca="1" si="37"/>
        <v>0</v>
      </c>
      <c r="Z385" s="17">
        <f t="shared" ca="1" si="37"/>
        <v>0</v>
      </c>
      <c r="AA385" s="17">
        <f t="shared" ca="1" si="38"/>
        <v>0</v>
      </c>
      <c r="AB385" s="17">
        <f t="shared" ca="1" si="38"/>
        <v>0</v>
      </c>
      <c r="AC385" s="17">
        <f t="shared" ca="1" si="38"/>
        <v>0</v>
      </c>
      <c r="AD385" s="17">
        <f t="shared" ca="1" si="38"/>
        <v>0</v>
      </c>
      <c r="AE385" s="17">
        <f t="shared" si="38"/>
        <v>0</v>
      </c>
      <c r="AF385" s="17">
        <f t="shared" si="38"/>
        <v>0</v>
      </c>
      <c r="AG385" s="17">
        <f t="shared" si="38"/>
        <v>0</v>
      </c>
      <c r="AH385" s="17">
        <f t="shared" si="38"/>
        <v>0</v>
      </c>
      <c r="AI385" s="17">
        <f t="shared" si="38"/>
        <v>0</v>
      </c>
      <c r="AJ385" s="17">
        <f t="shared" si="38"/>
        <v>0</v>
      </c>
      <c r="AK385" s="17">
        <f t="shared" si="39"/>
        <v>0</v>
      </c>
      <c r="AL385" s="17">
        <f t="shared" si="39"/>
        <v>0</v>
      </c>
      <c r="AM385" s="17">
        <f t="shared" si="39"/>
        <v>0</v>
      </c>
      <c r="AN385" s="17">
        <f t="shared" si="39"/>
        <v>0</v>
      </c>
      <c r="AO385" s="17">
        <f t="shared" si="39"/>
        <v>0</v>
      </c>
      <c r="AP385" s="17">
        <f t="shared" si="39"/>
        <v>0</v>
      </c>
      <c r="AQ385" s="17">
        <f t="shared" si="39"/>
        <v>0</v>
      </c>
      <c r="AR385" s="17">
        <f t="shared" si="39"/>
        <v>0</v>
      </c>
      <c r="AS385" s="17">
        <f t="shared" si="39"/>
        <v>0</v>
      </c>
      <c r="AT385" s="17">
        <f t="shared" si="39"/>
        <v>0</v>
      </c>
      <c r="AU385" s="17">
        <f t="shared" si="40"/>
        <v>0</v>
      </c>
      <c r="AV385" s="17">
        <f t="shared" si="40"/>
        <v>0</v>
      </c>
      <c r="AW385" s="17">
        <f t="shared" si="40"/>
        <v>0</v>
      </c>
      <c r="AX385" s="17">
        <f t="shared" si="40"/>
        <v>0</v>
      </c>
      <c r="AY385" s="17">
        <f t="shared" si="40"/>
        <v>0</v>
      </c>
      <c r="AZ385" s="17">
        <f t="shared" si="40"/>
        <v>0</v>
      </c>
      <c r="BA385" s="17">
        <f t="shared" si="40"/>
        <v>0</v>
      </c>
      <c r="BB385" s="17">
        <f t="shared" si="40"/>
        <v>0</v>
      </c>
      <c r="BC385" s="17">
        <f t="shared" si="40"/>
        <v>0</v>
      </c>
      <c r="BD385" s="17">
        <f t="shared" si="40"/>
        <v>0</v>
      </c>
      <c r="BE385" s="17">
        <f t="shared" si="41"/>
        <v>0</v>
      </c>
      <c r="BF385" s="17">
        <f t="shared" si="41"/>
        <v>0</v>
      </c>
      <c r="BG385" s="17">
        <f t="shared" si="41"/>
        <v>0</v>
      </c>
      <c r="BH385" s="17">
        <f t="shared" si="41"/>
        <v>0</v>
      </c>
      <c r="BI385" s="17">
        <f t="shared" si="41"/>
        <v>0</v>
      </c>
      <c r="BJ385" s="17">
        <f t="shared" si="41"/>
        <v>0</v>
      </c>
      <c r="BK385" s="17">
        <f t="shared" si="41"/>
        <v>0</v>
      </c>
      <c r="BL385" s="17">
        <f t="shared" si="41"/>
        <v>0</v>
      </c>
      <c r="BM385" s="17">
        <f t="shared" si="41"/>
        <v>0</v>
      </c>
      <c r="BN385" s="17">
        <f t="shared" si="41"/>
        <v>0</v>
      </c>
      <c r="BO385" s="17">
        <f t="shared" si="42"/>
        <v>0</v>
      </c>
      <c r="BP385" s="17">
        <f t="shared" si="42"/>
        <v>0</v>
      </c>
      <c r="BQ385" s="17">
        <f t="shared" si="42"/>
        <v>0</v>
      </c>
      <c r="BR385" s="17">
        <f t="shared" si="42"/>
        <v>0</v>
      </c>
      <c r="BS385" s="17">
        <f t="shared" si="42"/>
        <v>0</v>
      </c>
      <c r="BT385" s="17">
        <f t="shared" si="42"/>
        <v>0</v>
      </c>
      <c r="BU385" s="17">
        <f t="shared" si="42"/>
        <v>0</v>
      </c>
      <c r="BV385" s="17">
        <f t="shared" si="42"/>
        <v>0</v>
      </c>
      <c r="BW385" s="17">
        <f t="shared" si="42"/>
        <v>0</v>
      </c>
      <c r="BX385" s="17">
        <f t="shared" si="42"/>
        <v>0</v>
      </c>
      <c r="BY385" s="17">
        <f t="shared" si="43"/>
        <v>0</v>
      </c>
      <c r="BZ385" s="17">
        <f t="shared" si="43"/>
        <v>0</v>
      </c>
      <c r="CA385" s="17">
        <f t="shared" si="43"/>
        <v>0</v>
      </c>
      <c r="CB385" s="17">
        <f t="shared" si="43"/>
        <v>0</v>
      </c>
      <c r="CC385" s="17">
        <f t="shared" si="43"/>
        <v>0</v>
      </c>
      <c r="CD385" s="17">
        <f t="shared" si="43"/>
        <v>0</v>
      </c>
      <c r="CE385" s="17">
        <f t="shared" si="43"/>
        <v>0</v>
      </c>
      <c r="CF385" s="17">
        <f t="shared" si="43"/>
        <v>0</v>
      </c>
      <c r="CG385" s="17">
        <f t="shared" si="43"/>
        <v>0</v>
      </c>
      <c r="CH385" s="17">
        <f t="shared" si="43"/>
        <v>0</v>
      </c>
      <c r="CI385" s="17">
        <f t="shared" si="44"/>
        <v>0</v>
      </c>
      <c r="CJ385" s="17">
        <f t="shared" si="44"/>
        <v>0</v>
      </c>
      <c r="CK385" s="17">
        <f t="shared" si="44"/>
        <v>0</v>
      </c>
      <c r="CL385" s="17">
        <f t="shared" si="44"/>
        <v>0</v>
      </c>
      <c r="CM385" s="17">
        <f t="shared" si="44"/>
        <v>0</v>
      </c>
      <c r="CN385" s="17">
        <f t="shared" si="44"/>
        <v>0</v>
      </c>
      <c r="CO385" s="17">
        <f t="shared" si="44"/>
        <v>0</v>
      </c>
      <c r="CP385" s="17">
        <f t="shared" si="44"/>
        <v>0</v>
      </c>
      <c r="CQ385" s="17">
        <f t="shared" si="44"/>
        <v>0</v>
      </c>
      <c r="CR385" s="17">
        <f t="shared" si="44"/>
        <v>0</v>
      </c>
      <c r="CS385" s="17">
        <f t="shared" si="45"/>
        <v>0</v>
      </c>
      <c r="CT385" s="17">
        <f t="shared" si="45"/>
        <v>0</v>
      </c>
      <c r="CU385" s="17">
        <f t="shared" si="45"/>
        <v>0</v>
      </c>
      <c r="CV385" s="17">
        <f t="shared" si="45"/>
        <v>0</v>
      </c>
      <c r="CW385" s="17">
        <f t="shared" si="45"/>
        <v>0</v>
      </c>
      <c r="CX385" s="17">
        <f t="shared" si="45"/>
        <v>0</v>
      </c>
      <c r="CY385" s="17">
        <f t="shared" si="45"/>
        <v>0</v>
      </c>
      <c r="CZ385" s="17">
        <f t="shared" si="45"/>
        <v>0</v>
      </c>
      <c r="DA385" s="17">
        <f t="shared" si="45"/>
        <v>0</v>
      </c>
      <c r="DB385" s="17">
        <f t="shared" si="45"/>
        <v>0</v>
      </c>
      <c r="DD385" s="14">
        <f t="shared" si="22"/>
        <v>-26</v>
      </c>
      <c r="DF385" s="17">
        <f t="shared" ca="1" si="23"/>
        <v>0</v>
      </c>
      <c r="DG385" s="17">
        <f t="shared" ca="1" si="24"/>
        <v>0</v>
      </c>
      <c r="DH385" s="17">
        <f ca="1">SUM($DF$360:DF385)/$DG$359</f>
        <v>1</v>
      </c>
      <c r="DI385" s="17">
        <f t="shared" ca="1" si="25"/>
        <v>1</v>
      </c>
      <c r="DK385" s="17">
        <v>26</v>
      </c>
      <c r="DP385" s="21"/>
      <c r="DQ385" s="21"/>
      <c r="DR385" s="21"/>
      <c r="DS385" s="21"/>
      <c r="DT385" s="21"/>
      <c r="DU385" s="21"/>
      <c r="DV385" s="21"/>
      <c r="DW385" s="21"/>
      <c r="DX385" s="21"/>
      <c r="DY385" s="21"/>
      <c r="DZ385" s="21"/>
      <c r="EA385" s="21"/>
    </row>
    <row r="386" spans="7:131" s="17" customFormat="1" x14ac:dyDescent="0.25">
      <c r="G386" s="17">
        <f t="shared" ca="1" si="36"/>
        <v>0</v>
      </c>
      <c r="H386" s="17">
        <f t="shared" ca="1" si="36"/>
        <v>0</v>
      </c>
      <c r="I386" s="17">
        <f t="shared" ca="1" si="36"/>
        <v>0</v>
      </c>
      <c r="J386" s="17">
        <f t="shared" ca="1" si="36"/>
        <v>0</v>
      </c>
      <c r="K386" s="17">
        <f t="shared" ca="1" si="36"/>
        <v>0</v>
      </c>
      <c r="L386" s="17">
        <f t="shared" ca="1" si="36"/>
        <v>0</v>
      </c>
      <c r="M386" s="17">
        <f t="shared" ca="1" si="36"/>
        <v>0</v>
      </c>
      <c r="N386" s="17">
        <f t="shared" ca="1" si="36"/>
        <v>0</v>
      </c>
      <c r="O386" s="17">
        <f t="shared" ca="1" si="36"/>
        <v>0</v>
      </c>
      <c r="P386" s="17">
        <f t="shared" ca="1" si="36"/>
        <v>0</v>
      </c>
      <c r="Q386" s="17">
        <f t="shared" ca="1" si="37"/>
        <v>0</v>
      </c>
      <c r="R386" s="17">
        <f t="shared" ca="1" si="37"/>
        <v>0</v>
      </c>
      <c r="S386" s="17">
        <f t="shared" ca="1" si="37"/>
        <v>0</v>
      </c>
      <c r="T386" s="17">
        <f t="shared" ca="1" si="37"/>
        <v>0</v>
      </c>
      <c r="U386" s="17">
        <f t="shared" ca="1" si="37"/>
        <v>0</v>
      </c>
      <c r="V386" s="17">
        <f t="shared" ca="1" si="37"/>
        <v>0</v>
      </c>
      <c r="W386" s="17">
        <f t="shared" ca="1" si="37"/>
        <v>0</v>
      </c>
      <c r="X386" s="17">
        <f t="shared" ca="1" si="37"/>
        <v>0</v>
      </c>
      <c r="Y386" s="17">
        <f t="shared" ca="1" si="37"/>
        <v>0</v>
      </c>
      <c r="Z386" s="17">
        <f t="shared" ca="1" si="37"/>
        <v>0</v>
      </c>
      <c r="AA386" s="17">
        <f t="shared" ca="1" si="38"/>
        <v>0</v>
      </c>
      <c r="AB386" s="17">
        <f t="shared" ca="1" si="38"/>
        <v>0</v>
      </c>
      <c r="AC386" s="17">
        <f t="shared" ca="1" si="38"/>
        <v>0</v>
      </c>
      <c r="AD386" s="17">
        <f t="shared" si="38"/>
        <v>0</v>
      </c>
      <c r="AE386" s="17">
        <f t="shared" si="38"/>
        <v>0</v>
      </c>
      <c r="AF386" s="17">
        <f t="shared" si="38"/>
        <v>0</v>
      </c>
      <c r="AG386" s="17">
        <f t="shared" si="38"/>
        <v>0</v>
      </c>
      <c r="AH386" s="17">
        <f t="shared" si="38"/>
        <v>0</v>
      </c>
      <c r="AI386" s="17">
        <f t="shared" si="38"/>
        <v>0</v>
      </c>
      <c r="AJ386" s="17">
        <f t="shared" si="38"/>
        <v>0</v>
      </c>
      <c r="AK386" s="17">
        <f t="shared" si="39"/>
        <v>0</v>
      </c>
      <c r="AL386" s="17">
        <f t="shared" si="39"/>
        <v>0</v>
      </c>
      <c r="AM386" s="17">
        <f t="shared" si="39"/>
        <v>0</v>
      </c>
      <c r="AN386" s="17">
        <f t="shared" si="39"/>
        <v>0</v>
      </c>
      <c r="AO386" s="17">
        <f t="shared" si="39"/>
        <v>0</v>
      </c>
      <c r="AP386" s="17">
        <f t="shared" si="39"/>
        <v>0</v>
      </c>
      <c r="AQ386" s="17">
        <f t="shared" si="39"/>
        <v>0</v>
      </c>
      <c r="AR386" s="17">
        <f t="shared" si="39"/>
        <v>0</v>
      </c>
      <c r="AS386" s="17">
        <f t="shared" si="39"/>
        <v>0</v>
      </c>
      <c r="AT386" s="17">
        <f t="shared" si="39"/>
        <v>0</v>
      </c>
      <c r="AU386" s="17">
        <f t="shared" si="40"/>
        <v>0</v>
      </c>
      <c r="AV386" s="17">
        <f t="shared" si="40"/>
        <v>0</v>
      </c>
      <c r="AW386" s="17">
        <f t="shared" si="40"/>
        <v>0</v>
      </c>
      <c r="AX386" s="17">
        <f t="shared" si="40"/>
        <v>0</v>
      </c>
      <c r="AY386" s="17">
        <f t="shared" si="40"/>
        <v>0</v>
      </c>
      <c r="AZ386" s="17">
        <f t="shared" si="40"/>
        <v>0</v>
      </c>
      <c r="BA386" s="17">
        <f t="shared" si="40"/>
        <v>0</v>
      </c>
      <c r="BB386" s="17">
        <f t="shared" si="40"/>
        <v>0</v>
      </c>
      <c r="BC386" s="17">
        <f t="shared" si="40"/>
        <v>0</v>
      </c>
      <c r="BD386" s="17">
        <f t="shared" si="40"/>
        <v>0</v>
      </c>
      <c r="BE386" s="17">
        <f t="shared" si="41"/>
        <v>0</v>
      </c>
      <c r="BF386" s="17">
        <f t="shared" si="41"/>
        <v>0</v>
      </c>
      <c r="BG386" s="17">
        <f t="shared" si="41"/>
        <v>0</v>
      </c>
      <c r="BH386" s="17">
        <f t="shared" si="41"/>
        <v>0</v>
      </c>
      <c r="BI386" s="17">
        <f t="shared" si="41"/>
        <v>0</v>
      </c>
      <c r="BJ386" s="17">
        <f t="shared" si="41"/>
        <v>0</v>
      </c>
      <c r="BK386" s="17">
        <f t="shared" si="41"/>
        <v>0</v>
      </c>
      <c r="BL386" s="17">
        <f t="shared" si="41"/>
        <v>0</v>
      </c>
      <c r="BM386" s="17">
        <f t="shared" si="41"/>
        <v>0</v>
      </c>
      <c r="BN386" s="17">
        <f t="shared" si="41"/>
        <v>0</v>
      </c>
      <c r="BO386" s="17">
        <f t="shared" si="42"/>
        <v>0</v>
      </c>
      <c r="BP386" s="17">
        <f t="shared" si="42"/>
        <v>0</v>
      </c>
      <c r="BQ386" s="17">
        <f t="shared" si="42"/>
        <v>0</v>
      </c>
      <c r="BR386" s="17">
        <f t="shared" si="42"/>
        <v>0</v>
      </c>
      <c r="BS386" s="17">
        <f t="shared" si="42"/>
        <v>0</v>
      </c>
      <c r="BT386" s="17">
        <f t="shared" si="42"/>
        <v>0</v>
      </c>
      <c r="BU386" s="17">
        <f t="shared" si="42"/>
        <v>0</v>
      </c>
      <c r="BV386" s="17">
        <f t="shared" si="42"/>
        <v>0</v>
      </c>
      <c r="BW386" s="17">
        <f t="shared" si="42"/>
        <v>0</v>
      </c>
      <c r="BX386" s="17">
        <f t="shared" si="42"/>
        <v>0</v>
      </c>
      <c r="BY386" s="17">
        <f t="shared" si="43"/>
        <v>0</v>
      </c>
      <c r="BZ386" s="17">
        <f t="shared" si="43"/>
        <v>0</v>
      </c>
      <c r="CA386" s="17">
        <f t="shared" si="43"/>
        <v>0</v>
      </c>
      <c r="CB386" s="17">
        <f t="shared" si="43"/>
        <v>0</v>
      </c>
      <c r="CC386" s="17">
        <f t="shared" si="43"/>
        <v>0</v>
      </c>
      <c r="CD386" s="17">
        <f t="shared" si="43"/>
        <v>0</v>
      </c>
      <c r="CE386" s="17">
        <f t="shared" si="43"/>
        <v>0</v>
      </c>
      <c r="CF386" s="17">
        <f t="shared" si="43"/>
        <v>0</v>
      </c>
      <c r="CG386" s="17">
        <f t="shared" si="43"/>
        <v>0</v>
      </c>
      <c r="CH386" s="17">
        <f t="shared" si="43"/>
        <v>0</v>
      </c>
      <c r="CI386" s="17">
        <f t="shared" si="44"/>
        <v>0</v>
      </c>
      <c r="CJ386" s="17">
        <f t="shared" si="44"/>
        <v>0</v>
      </c>
      <c r="CK386" s="17">
        <f t="shared" si="44"/>
        <v>0</v>
      </c>
      <c r="CL386" s="17">
        <f t="shared" si="44"/>
        <v>0</v>
      </c>
      <c r="CM386" s="17">
        <f t="shared" si="44"/>
        <v>0</v>
      </c>
      <c r="CN386" s="17">
        <f t="shared" si="44"/>
        <v>0</v>
      </c>
      <c r="CO386" s="17">
        <f t="shared" si="44"/>
        <v>0</v>
      </c>
      <c r="CP386" s="17">
        <f t="shared" si="44"/>
        <v>0</v>
      </c>
      <c r="CQ386" s="17">
        <f t="shared" si="44"/>
        <v>0</v>
      </c>
      <c r="CR386" s="17">
        <f t="shared" si="44"/>
        <v>0</v>
      </c>
      <c r="CS386" s="17">
        <f t="shared" si="45"/>
        <v>0</v>
      </c>
      <c r="CT386" s="17">
        <f t="shared" si="45"/>
        <v>0</v>
      </c>
      <c r="CU386" s="17">
        <f t="shared" si="45"/>
        <v>0</v>
      </c>
      <c r="CV386" s="17">
        <f t="shared" si="45"/>
        <v>0</v>
      </c>
      <c r="CW386" s="17">
        <f t="shared" si="45"/>
        <v>0</v>
      </c>
      <c r="CX386" s="17">
        <f t="shared" si="45"/>
        <v>0</v>
      </c>
      <c r="CY386" s="17">
        <f t="shared" si="45"/>
        <v>0</v>
      </c>
      <c r="CZ386" s="17">
        <f t="shared" si="45"/>
        <v>0</v>
      </c>
      <c r="DA386" s="17">
        <f t="shared" si="45"/>
        <v>0</v>
      </c>
      <c r="DB386" s="17">
        <f t="shared" si="45"/>
        <v>0</v>
      </c>
      <c r="DD386" s="14">
        <f t="shared" si="22"/>
        <v>-27</v>
      </c>
      <c r="DF386" s="17">
        <f t="shared" ca="1" si="23"/>
        <v>0</v>
      </c>
      <c r="DG386" s="17">
        <f t="shared" ca="1" si="24"/>
        <v>0</v>
      </c>
      <c r="DH386" s="17">
        <f ca="1">SUM($DF$360:DF386)/$DG$359</f>
        <v>1</v>
      </c>
      <c r="DI386" s="17">
        <f t="shared" ca="1" si="25"/>
        <v>1</v>
      </c>
      <c r="DK386" s="17">
        <v>27</v>
      </c>
      <c r="DP386" s="21"/>
      <c r="DQ386" s="21"/>
      <c r="DR386" s="21"/>
      <c r="DS386" s="21"/>
      <c r="DT386" s="21"/>
      <c r="DU386" s="21"/>
      <c r="DV386" s="21"/>
      <c r="DW386" s="21"/>
      <c r="DX386" s="21"/>
      <c r="DY386" s="21"/>
      <c r="DZ386" s="21"/>
      <c r="EA386" s="21"/>
    </row>
    <row r="387" spans="7:131" s="17" customFormat="1" x14ac:dyDescent="0.25">
      <c r="G387" s="17">
        <f t="shared" ca="1" si="36"/>
        <v>0</v>
      </c>
      <c r="H387" s="17">
        <f t="shared" ca="1" si="36"/>
        <v>0</v>
      </c>
      <c r="I387" s="17">
        <f t="shared" ca="1" si="36"/>
        <v>0</v>
      </c>
      <c r="J387" s="17">
        <f t="shared" ca="1" si="36"/>
        <v>0</v>
      </c>
      <c r="K387" s="17">
        <f t="shared" ca="1" si="36"/>
        <v>0</v>
      </c>
      <c r="L387" s="17">
        <f t="shared" ca="1" si="36"/>
        <v>0</v>
      </c>
      <c r="M387" s="17">
        <f t="shared" ca="1" si="36"/>
        <v>0</v>
      </c>
      <c r="N387" s="17">
        <f t="shared" ca="1" si="36"/>
        <v>0</v>
      </c>
      <c r="O387" s="17">
        <f t="shared" ca="1" si="36"/>
        <v>0</v>
      </c>
      <c r="P387" s="17">
        <f t="shared" ca="1" si="36"/>
        <v>0</v>
      </c>
      <c r="Q387" s="17">
        <f t="shared" ca="1" si="37"/>
        <v>0</v>
      </c>
      <c r="R387" s="17">
        <f t="shared" ca="1" si="37"/>
        <v>0</v>
      </c>
      <c r="S387" s="17">
        <f t="shared" ca="1" si="37"/>
        <v>0</v>
      </c>
      <c r="T387" s="17">
        <f t="shared" ca="1" si="37"/>
        <v>0</v>
      </c>
      <c r="U387" s="17">
        <f t="shared" ca="1" si="37"/>
        <v>0</v>
      </c>
      <c r="V387" s="17">
        <f t="shared" ca="1" si="37"/>
        <v>0</v>
      </c>
      <c r="W387" s="17">
        <f t="shared" ca="1" si="37"/>
        <v>0</v>
      </c>
      <c r="X387" s="17">
        <f t="shared" ca="1" si="37"/>
        <v>0</v>
      </c>
      <c r="Y387" s="17">
        <f t="shared" ca="1" si="37"/>
        <v>0</v>
      </c>
      <c r="Z387" s="17">
        <f t="shared" ca="1" si="37"/>
        <v>0</v>
      </c>
      <c r="AA387" s="17">
        <f t="shared" ca="1" si="38"/>
        <v>0</v>
      </c>
      <c r="AB387" s="17">
        <f t="shared" ca="1" si="38"/>
        <v>0</v>
      </c>
      <c r="AC387" s="17">
        <f t="shared" si="38"/>
        <v>0</v>
      </c>
      <c r="AD387" s="17">
        <f t="shared" si="38"/>
        <v>0</v>
      </c>
      <c r="AE387" s="17">
        <f t="shared" si="38"/>
        <v>0</v>
      </c>
      <c r="AF387" s="17">
        <f t="shared" si="38"/>
        <v>0</v>
      </c>
      <c r="AG387" s="17">
        <f t="shared" si="38"/>
        <v>0</v>
      </c>
      <c r="AH387" s="17">
        <f t="shared" si="38"/>
        <v>0</v>
      </c>
      <c r="AI387" s="17">
        <f t="shared" si="38"/>
        <v>0</v>
      </c>
      <c r="AJ387" s="17">
        <f t="shared" si="38"/>
        <v>0</v>
      </c>
      <c r="AK387" s="17">
        <f t="shared" si="39"/>
        <v>0</v>
      </c>
      <c r="AL387" s="17">
        <f t="shared" si="39"/>
        <v>0</v>
      </c>
      <c r="AM387" s="17">
        <f t="shared" si="39"/>
        <v>0</v>
      </c>
      <c r="AN387" s="17">
        <f t="shared" si="39"/>
        <v>0</v>
      </c>
      <c r="AO387" s="17">
        <f t="shared" si="39"/>
        <v>0</v>
      </c>
      <c r="AP387" s="17">
        <f t="shared" si="39"/>
        <v>0</v>
      </c>
      <c r="AQ387" s="17">
        <f t="shared" si="39"/>
        <v>0</v>
      </c>
      <c r="AR387" s="17">
        <f t="shared" si="39"/>
        <v>0</v>
      </c>
      <c r="AS387" s="17">
        <f t="shared" si="39"/>
        <v>0</v>
      </c>
      <c r="AT387" s="17">
        <f t="shared" si="39"/>
        <v>0</v>
      </c>
      <c r="AU387" s="17">
        <f t="shared" si="40"/>
        <v>0</v>
      </c>
      <c r="AV387" s="17">
        <f t="shared" si="40"/>
        <v>0</v>
      </c>
      <c r="AW387" s="17">
        <f t="shared" si="40"/>
        <v>0</v>
      </c>
      <c r="AX387" s="17">
        <f t="shared" si="40"/>
        <v>0</v>
      </c>
      <c r="AY387" s="17">
        <f t="shared" si="40"/>
        <v>0</v>
      </c>
      <c r="AZ387" s="17">
        <f t="shared" si="40"/>
        <v>0</v>
      </c>
      <c r="BA387" s="17">
        <f t="shared" si="40"/>
        <v>0</v>
      </c>
      <c r="BB387" s="17">
        <f t="shared" si="40"/>
        <v>0</v>
      </c>
      <c r="BC387" s="17">
        <f t="shared" si="40"/>
        <v>0</v>
      </c>
      <c r="BD387" s="17">
        <f t="shared" si="40"/>
        <v>0</v>
      </c>
      <c r="BE387" s="17">
        <f t="shared" si="41"/>
        <v>0</v>
      </c>
      <c r="BF387" s="17">
        <f t="shared" si="41"/>
        <v>0</v>
      </c>
      <c r="BG387" s="17">
        <f t="shared" si="41"/>
        <v>0</v>
      </c>
      <c r="BH387" s="17">
        <f t="shared" si="41"/>
        <v>0</v>
      </c>
      <c r="BI387" s="17">
        <f t="shared" si="41"/>
        <v>0</v>
      </c>
      <c r="BJ387" s="17">
        <f t="shared" si="41"/>
        <v>0</v>
      </c>
      <c r="BK387" s="17">
        <f t="shared" si="41"/>
        <v>0</v>
      </c>
      <c r="BL387" s="17">
        <f t="shared" si="41"/>
        <v>0</v>
      </c>
      <c r="BM387" s="17">
        <f t="shared" si="41"/>
        <v>0</v>
      </c>
      <c r="BN387" s="17">
        <f t="shared" si="41"/>
        <v>0</v>
      </c>
      <c r="BO387" s="17">
        <f t="shared" si="42"/>
        <v>0</v>
      </c>
      <c r="BP387" s="17">
        <f t="shared" si="42"/>
        <v>0</v>
      </c>
      <c r="BQ387" s="17">
        <f t="shared" si="42"/>
        <v>0</v>
      </c>
      <c r="BR387" s="17">
        <f t="shared" si="42"/>
        <v>0</v>
      </c>
      <c r="BS387" s="17">
        <f t="shared" si="42"/>
        <v>0</v>
      </c>
      <c r="BT387" s="17">
        <f t="shared" si="42"/>
        <v>0</v>
      </c>
      <c r="BU387" s="17">
        <f t="shared" si="42"/>
        <v>0</v>
      </c>
      <c r="BV387" s="17">
        <f t="shared" si="42"/>
        <v>0</v>
      </c>
      <c r="BW387" s="17">
        <f t="shared" si="42"/>
        <v>0</v>
      </c>
      <c r="BX387" s="17">
        <f t="shared" si="42"/>
        <v>0</v>
      </c>
      <c r="BY387" s="17">
        <f t="shared" si="43"/>
        <v>0</v>
      </c>
      <c r="BZ387" s="17">
        <f t="shared" si="43"/>
        <v>0</v>
      </c>
      <c r="CA387" s="17">
        <f t="shared" si="43"/>
        <v>0</v>
      </c>
      <c r="CB387" s="17">
        <f t="shared" si="43"/>
        <v>0</v>
      </c>
      <c r="CC387" s="17">
        <f t="shared" si="43"/>
        <v>0</v>
      </c>
      <c r="CD387" s="17">
        <f t="shared" si="43"/>
        <v>0</v>
      </c>
      <c r="CE387" s="17">
        <f t="shared" si="43"/>
        <v>0</v>
      </c>
      <c r="CF387" s="17">
        <f t="shared" si="43"/>
        <v>0</v>
      </c>
      <c r="CG387" s="17">
        <f t="shared" si="43"/>
        <v>0</v>
      </c>
      <c r="CH387" s="17">
        <f t="shared" si="43"/>
        <v>0</v>
      </c>
      <c r="CI387" s="17">
        <f t="shared" si="44"/>
        <v>0</v>
      </c>
      <c r="CJ387" s="17">
        <f t="shared" si="44"/>
        <v>0</v>
      </c>
      <c r="CK387" s="17">
        <f t="shared" si="44"/>
        <v>0</v>
      </c>
      <c r="CL387" s="17">
        <f t="shared" si="44"/>
        <v>0</v>
      </c>
      <c r="CM387" s="17">
        <f t="shared" si="44"/>
        <v>0</v>
      </c>
      <c r="CN387" s="17">
        <f t="shared" si="44"/>
        <v>0</v>
      </c>
      <c r="CO387" s="17">
        <f t="shared" si="44"/>
        <v>0</v>
      </c>
      <c r="CP387" s="17">
        <f t="shared" si="44"/>
        <v>0</v>
      </c>
      <c r="CQ387" s="17">
        <f t="shared" si="44"/>
        <v>0</v>
      </c>
      <c r="CR387" s="17">
        <f t="shared" si="44"/>
        <v>0</v>
      </c>
      <c r="CS387" s="17">
        <f t="shared" si="45"/>
        <v>0</v>
      </c>
      <c r="CT387" s="17">
        <f t="shared" si="45"/>
        <v>0</v>
      </c>
      <c r="CU387" s="17">
        <f t="shared" si="45"/>
        <v>0</v>
      </c>
      <c r="CV387" s="17">
        <f t="shared" si="45"/>
        <v>0</v>
      </c>
      <c r="CW387" s="17">
        <f t="shared" si="45"/>
        <v>0</v>
      </c>
      <c r="CX387" s="17">
        <f t="shared" si="45"/>
        <v>0</v>
      </c>
      <c r="CY387" s="17">
        <f t="shared" si="45"/>
        <v>0</v>
      </c>
      <c r="CZ387" s="17">
        <f t="shared" si="45"/>
        <v>0</v>
      </c>
      <c r="DA387" s="17">
        <f t="shared" si="45"/>
        <v>0</v>
      </c>
      <c r="DB387" s="17">
        <f t="shared" si="45"/>
        <v>0</v>
      </c>
      <c r="DD387" s="14">
        <f t="shared" si="22"/>
        <v>-28</v>
      </c>
      <c r="DF387" s="17">
        <f t="shared" ca="1" si="23"/>
        <v>0</v>
      </c>
      <c r="DG387" s="17">
        <f t="shared" ca="1" si="24"/>
        <v>0</v>
      </c>
      <c r="DH387" s="17">
        <f ca="1">SUM($DF$360:DF387)/$DG$359</f>
        <v>1</v>
      </c>
      <c r="DI387" s="17">
        <f t="shared" ca="1" si="25"/>
        <v>1</v>
      </c>
      <c r="DK387" s="17">
        <v>28</v>
      </c>
      <c r="DP387" s="21"/>
      <c r="DQ387" s="21"/>
      <c r="DR387" s="21"/>
      <c r="DS387" s="21"/>
      <c r="DT387" s="21"/>
      <c r="DU387" s="21"/>
      <c r="DV387" s="21"/>
      <c r="DW387" s="21"/>
      <c r="DX387" s="21"/>
      <c r="DY387" s="21"/>
      <c r="DZ387" s="21"/>
      <c r="EA387" s="21"/>
    </row>
    <row r="388" spans="7:131" s="17" customFormat="1" x14ac:dyDescent="0.25">
      <c r="G388" s="17">
        <f t="shared" ca="1" si="36"/>
        <v>0</v>
      </c>
      <c r="H388" s="17">
        <f t="shared" ca="1" si="36"/>
        <v>0</v>
      </c>
      <c r="I388" s="17">
        <f t="shared" ca="1" si="36"/>
        <v>0</v>
      </c>
      <c r="J388" s="17">
        <f t="shared" ca="1" si="36"/>
        <v>0</v>
      </c>
      <c r="K388" s="17">
        <f t="shared" ca="1" si="36"/>
        <v>0</v>
      </c>
      <c r="L388" s="17">
        <f t="shared" ca="1" si="36"/>
        <v>0</v>
      </c>
      <c r="M388" s="17">
        <f t="shared" ca="1" si="36"/>
        <v>0</v>
      </c>
      <c r="N388" s="17">
        <f t="shared" ca="1" si="36"/>
        <v>0</v>
      </c>
      <c r="O388" s="17">
        <f t="shared" ca="1" si="36"/>
        <v>0</v>
      </c>
      <c r="P388" s="17">
        <f t="shared" ca="1" si="36"/>
        <v>0</v>
      </c>
      <c r="Q388" s="17">
        <f t="shared" ca="1" si="37"/>
        <v>0</v>
      </c>
      <c r="R388" s="17">
        <f t="shared" ca="1" si="37"/>
        <v>0</v>
      </c>
      <c r="S388" s="17">
        <f t="shared" ca="1" si="37"/>
        <v>0</v>
      </c>
      <c r="T388" s="17">
        <f t="shared" ca="1" si="37"/>
        <v>0</v>
      </c>
      <c r="U388" s="17">
        <f t="shared" ca="1" si="37"/>
        <v>0</v>
      </c>
      <c r="V388" s="17">
        <f t="shared" ca="1" si="37"/>
        <v>0</v>
      </c>
      <c r="W388" s="17">
        <f t="shared" ca="1" si="37"/>
        <v>0</v>
      </c>
      <c r="X388" s="17">
        <f t="shared" ca="1" si="37"/>
        <v>0</v>
      </c>
      <c r="Y388" s="17">
        <f t="shared" ca="1" si="37"/>
        <v>0</v>
      </c>
      <c r="Z388" s="17">
        <f t="shared" ca="1" si="37"/>
        <v>0</v>
      </c>
      <c r="AA388" s="17">
        <f t="shared" ca="1" si="38"/>
        <v>0</v>
      </c>
      <c r="AB388" s="17">
        <f t="shared" si="38"/>
        <v>0</v>
      </c>
      <c r="AC388" s="17">
        <f t="shared" si="38"/>
        <v>0</v>
      </c>
      <c r="AD388" s="17">
        <f t="shared" si="38"/>
        <v>0</v>
      </c>
      <c r="AE388" s="17">
        <f t="shared" si="38"/>
        <v>0</v>
      </c>
      <c r="AF388" s="17">
        <f t="shared" si="38"/>
        <v>0</v>
      </c>
      <c r="AG388" s="17">
        <f t="shared" si="38"/>
        <v>0</v>
      </c>
      <c r="AH388" s="17">
        <f t="shared" si="38"/>
        <v>0</v>
      </c>
      <c r="AI388" s="17">
        <f t="shared" si="38"/>
        <v>0</v>
      </c>
      <c r="AJ388" s="17">
        <f t="shared" si="38"/>
        <v>0</v>
      </c>
      <c r="AK388" s="17">
        <f t="shared" si="39"/>
        <v>0</v>
      </c>
      <c r="AL388" s="17">
        <f t="shared" si="39"/>
        <v>0</v>
      </c>
      <c r="AM388" s="17">
        <f t="shared" si="39"/>
        <v>0</v>
      </c>
      <c r="AN388" s="17">
        <f t="shared" si="39"/>
        <v>0</v>
      </c>
      <c r="AO388" s="17">
        <f t="shared" si="39"/>
        <v>0</v>
      </c>
      <c r="AP388" s="17">
        <f t="shared" si="39"/>
        <v>0</v>
      </c>
      <c r="AQ388" s="17">
        <f t="shared" si="39"/>
        <v>0</v>
      </c>
      <c r="AR388" s="17">
        <f t="shared" si="39"/>
        <v>0</v>
      </c>
      <c r="AS388" s="17">
        <f t="shared" si="39"/>
        <v>0</v>
      </c>
      <c r="AT388" s="17">
        <f t="shared" si="39"/>
        <v>0</v>
      </c>
      <c r="AU388" s="17">
        <f t="shared" si="40"/>
        <v>0</v>
      </c>
      <c r="AV388" s="17">
        <f t="shared" si="40"/>
        <v>0</v>
      </c>
      <c r="AW388" s="17">
        <f t="shared" si="40"/>
        <v>0</v>
      </c>
      <c r="AX388" s="17">
        <f t="shared" si="40"/>
        <v>0</v>
      </c>
      <c r="AY388" s="17">
        <f t="shared" si="40"/>
        <v>0</v>
      </c>
      <c r="AZ388" s="17">
        <f t="shared" si="40"/>
        <v>0</v>
      </c>
      <c r="BA388" s="17">
        <f t="shared" si="40"/>
        <v>0</v>
      </c>
      <c r="BB388" s="17">
        <f t="shared" si="40"/>
        <v>0</v>
      </c>
      <c r="BC388" s="17">
        <f t="shared" si="40"/>
        <v>0</v>
      </c>
      <c r="BD388" s="17">
        <f t="shared" si="40"/>
        <v>0</v>
      </c>
      <c r="BE388" s="17">
        <f t="shared" si="41"/>
        <v>0</v>
      </c>
      <c r="BF388" s="17">
        <f t="shared" si="41"/>
        <v>0</v>
      </c>
      <c r="BG388" s="17">
        <f t="shared" si="41"/>
        <v>0</v>
      </c>
      <c r="BH388" s="17">
        <f t="shared" si="41"/>
        <v>0</v>
      </c>
      <c r="BI388" s="17">
        <f t="shared" si="41"/>
        <v>0</v>
      </c>
      <c r="BJ388" s="17">
        <f t="shared" si="41"/>
        <v>0</v>
      </c>
      <c r="BK388" s="17">
        <f t="shared" si="41"/>
        <v>0</v>
      </c>
      <c r="BL388" s="17">
        <f t="shared" si="41"/>
        <v>0</v>
      </c>
      <c r="BM388" s="17">
        <f t="shared" si="41"/>
        <v>0</v>
      </c>
      <c r="BN388" s="17">
        <f t="shared" si="41"/>
        <v>0</v>
      </c>
      <c r="BO388" s="17">
        <f t="shared" si="42"/>
        <v>0</v>
      </c>
      <c r="BP388" s="17">
        <f t="shared" si="42"/>
        <v>0</v>
      </c>
      <c r="BQ388" s="17">
        <f t="shared" si="42"/>
        <v>0</v>
      </c>
      <c r="BR388" s="17">
        <f t="shared" si="42"/>
        <v>0</v>
      </c>
      <c r="BS388" s="17">
        <f t="shared" si="42"/>
        <v>0</v>
      </c>
      <c r="BT388" s="17">
        <f t="shared" si="42"/>
        <v>0</v>
      </c>
      <c r="BU388" s="17">
        <f t="shared" si="42"/>
        <v>0</v>
      </c>
      <c r="BV388" s="17">
        <f t="shared" si="42"/>
        <v>0</v>
      </c>
      <c r="BW388" s="17">
        <f t="shared" si="42"/>
        <v>0</v>
      </c>
      <c r="BX388" s="17">
        <f t="shared" si="42"/>
        <v>0</v>
      </c>
      <c r="BY388" s="17">
        <f t="shared" si="43"/>
        <v>0</v>
      </c>
      <c r="BZ388" s="17">
        <f t="shared" si="43"/>
        <v>0</v>
      </c>
      <c r="CA388" s="17">
        <f t="shared" si="43"/>
        <v>0</v>
      </c>
      <c r="CB388" s="17">
        <f t="shared" si="43"/>
        <v>0</v>
      </c>
      <c r="CC388" s="17">
        <f t="shared" si="43"/>
        <v>0</v>
      </c>
      <c r="CD388" s="17">
        <f t="shared" si="43"/>
        <v>0</v>
      </c>
      <c r="CE388" s="17">
        <f t="shared" si="43"/>
        <v>0</v>
      </c>
      <c r="CF388" s="17">
        <f t="shared" si="43"/>
        <v>0</v>
      </c>
      <c r="CG388" s="17">
        <f t="shared" si="43"/>
        <v>0</v>
      </c>
      <c r="CH388" s="17">
        <f t="shared" si="43"/>
        <v>0</v>
      </c>
      <c r="CI388" s="17">
        <f t="shared" si="44"/>
        <v>0</v>
      </c>
      <c r="CJ388" s="17">
        <f t="shared" si="44"/>
        <v>0</v>
      </c>
      <c r="CK388" s="17">
        <f t="shared" si="44"/>
        <v>0</v>
      </c>
      <c r="CL388" s="17">
        <f t="shared" si="44"/>
        <v>0</v>
      </c>
      <c r="CM388" s="17">
        <f t="shared" si="44"/>
        <v>0</v>
      </c>
      <c r="CN388" s="17">
        <f t="shared" si="44"/>
        <v>0</v>
      </c>
      <c r="CO388" s="17">
        <f t="shared" si="44"/>
        <v>0</v>
      </c>
      <c r="CP388" s="17">
        <f t="shared" si="44"/>
        <v>0</v>
      </c>
      <c r="CQ388" s="17">
        <f t="shared" si="44"/>
        <v>0</v>
      </c>
      <c r="CR388" s="17">
        <f t="shared" si="44"/>
        <v>0</v>
      </c>
      <c r="CS388" s="17">
        <f t="shared" si="45"/>
        <v>0</v>
      </c>
      <c r="CT388" s="17">
        <f t="shared" si="45"/>
        <v>0</v>
      </c>
      <c r="CU388" s="17">
        <f t="shared" si="45"/>
        <v>0</v>
      </c>
      <c r="CV388" s="17">
        <f t="shared" si="45"/>
        <v>0</v>
      </c>
      <c r="CW388" s="17">
        <f t="shared" si="45"/>
        <v>0</v>
      </c>
      <c r="CX388" s="17">
        <f t="shared" si="45"/>
        <v>0</v>
      </c>
      <c r="CY388" s="17">
        <f t="shared" si="45"/>
        <v>0</v>
      </c>
      <c r="CZ388" s="17">
        <f t="shared" si="45"/>
        <v>0</v>
      </c>
      <c r="DA388" s="17">
        <f t="shared" si="45"/>
        <v>0</v>
      </c>
      <c r="DB388" s="17">
        <f t="shared" si="45"/>
        <v>0</v>
      </c>
      <c r="DD388" s="14">
        <f t="shared" si="22"/>
        <v>-29</v>
      </c>
      <c r="DF388" s="17">
        <f t="shared" ca="1" si="23"/>
        <v>0</v>
      </c>
      <c r="DG388" s="17">
        <f t="shared" ca="1" si="24"/>
        <v>0</v>
      </c>
      <c r="DH388" s="17">
        <f ca="1">SUM($DF$360:DF388)/$DG$359</f>
        <v>1</v>
      </c>
      <c r="DI388" s="17">
        <f t="shared" ca="1" si="25"/>
        <v>1</v>
      </c>
      <c r="DK388" s="17">
        <v>29</v>
      </c>
      <c r="DP388" s="21"/>
      <c r="DQ388" s="21"/>
      <c r="DR388" s="21"/>
      <c r="DS388" s="21"/>
      <c r="DT388" s="21"/>
      <c r="DU388" s="21"/>
      <c r="DV388" s="21"/>
      <c r="DW388" s="21"/>
      <c r="DX388" s="21"/>
      <c r="DY388" s="21"/>
      <c r="DZ388" s="21"/>
      <c r="EA388" s="21"/>
    </row>
    <row r="389" spans="7:131" s="17" customFormat="1" x14ac:dyDescent="0.25">
      <c r="G389" s="17">
        <f t="shared" ref="G389:P398" ca="1" si="46">IF(G$1&lt;$DD389,G$358,0)</f>
        <v>0</v>
      </c>
      <c r="H389" s="17">
        <f t="shared" ca="1" si="46"/>
        <v>0</v>
      </c>
      <c r="I389" s="17">
        <f t="shared" ca="1" si="46"/>
        <v>0</v>
      </c>
      <c r="J389" s="17">
        <f t="shared" ca="1" si="46"/>
        <v>0</v>
      </c>
      <c r="K389" s="17">
        <f t="shared" ca="1" si="46"/>
        <v>0</v>
      </c>
      <c r="L389" s="17">
        <f t="shared" ca="1" si="46"/>
        <v>0</v>
      </c>
      <c r="M389" s="17">
        <f t="shared" ca="1" si="46"/>
        <v>0</v>
      </c>
      <c r="N389" s="17">
        <f t="shared" ca="1" si="46"/>
        <v>0</v>
      </c>
      <c r="O389" s="17">
        <f t="shared" ca="1" si="46"/>
        <v>0</v>
      </c>
      <c r="P389" s="17">
        <f t="shared" ca="1" si="46"/>
        <v>0</v>
      </c>
      <c r="Q389" s="17">
        <f t="shared" ref="Q389:Z398" ca="1" si="47">IF(Q$1&lt;$DD389,Q$358,0)</f>
        <v>0</v>
      </c>
      <c r="R389" s="17">
        <f t="shared" ca="1" si="47"/>
        <v>0</v>
      </c>
      <c r="S389" s="17">
        <f t="shared" ca="1" si="47"/>
        <v>0</v>
      </c>
      <c r="T389" s="17">
        <f t="shared" ca="1" si="47"/>
        <v>0</v>
      </c>
      <c r="U389" s="17">
        <f t="shared" ca="1" si="47"/>
        <v>0</v>
      </c>
      <c r="V389" s="17">
        <f t="shared" ca="1" si="47"/>
        <v>0</v>
      </c>
      <c r="W389" s="17">
        <f t="shared" ca="1" si="47"/>
        <v>0</v>
      </c>
      <c r="X389" s="17">
        <f t="shared" ca="1" si="47"/>
        <v>0</v>
      </c>
      <c r="Y389" s="17">
        <f t="shared" ca="1" si="47"/>
        <v>0</v>
      </c>
      <c r="Z389" s="17">
        <f t="shared" ca="1" si="47"/>
        <v>0</v>
      </c>
      <c r="AA389" s="17">
        <f t="shared" ref="AA389:AJ398" si="48">IF(AA$1&lt;$DD389,AA$358,0)</f>
        <v>0</v>
      </c>
      <c r="AB389" s="17">
        <f t="shared" si="48"/>
        <v>0</v>
      </c>
      <c r="AC389" s="17">
        <f t="shared" si="48"/>
        <v>0</v>
      </c>
      <c r="AD389" s="17">
        <f t="shared" si="48"/>
        <v>0</v>
      </c>
      <c r="AE389" s="17">
        <f t="shared" si="48"/>
        <v>0</v>
      </c>
      <c r="AF389" s="17">
        <f t="shared" si="48"/>
        <v>0</v>
      </c>
      <c r="AG389" s="17">
        <f t="shared" si="48"/>
        <v>0</v>
      </c>
      <c r="AH389" s="17">
        <f t="shared" si="48"/>
        <v>0</v>
      </c>
      <c r="AI389" s="17">
        <f t="shared" si="48"/>
        <v>0</v>
      </c>
      <c r="AJ389" s="17">
        <f t="shared" si="48"/>
        <v>0</v>
      </c>
      <c r="AK389" s="17">
        <f t="shared" ref="AK389:AT398" si="49">IF(AK$1&lt;$DD389,AK$358,0)</f>
        <v>0</v>
      </c>
      <c r="AL389" s="17">
        <f t="shared" si="49"/>
        <v>0</v>
      </c>
      <c r="AM389" s="17">
        <f t="shared" si="49"/>
        <v>0</v>
      </c>
      <c r="AN389" s="17">
        <f t="shared" si="49"/>
        <v>0</v>
      </c>
      <c r="AO389" s="17">
        <f t="shared" si="49"/>
        <v>0</v>
      </c>
      <c r="AP389" s="17">
        <f t="shared" si="49"/>
        <v>0</v>
      </c>
      <c r="AQ389" s="17">
        <f t="shared" si="49"/>
        <v>0</v>
      </c>
      <c r="AR389" s="17">
        <f t="shared" si="49"/>
        <v>0</v>
      </c>
      <c r="AS389" s="17">
        <f t="shared" si="49"/>
        <v>0</v>
      </c>
      <c r="AT389" s="17">
        <f t="shared" si="49"/>
        <v>0</v>
      </c>
      <c r="AU389" s="17">
        <f t="shared" ref="AU389:BD398" si="50">IF(AU$1&lt;$DD389,AU$358,0)</f>
        <v>0</v>
      </c>
      <c r="AV389" s="17">
        <f t="shared" si="50"/>
        <v>0</v>
      </c>
      <c r="AW389" s="17">
        <f t="shared" si="50"/>
        <v>0</v>
      </c>
      <c r="AX389" s="17">
        <f t="shared" si="50"/>
        <v>0</v>
      </c>
      <c r="AY389" s="17">
        <f t="shared" si="50"/>
        <v>0</v>
      </c>
      <c r="AZ389" s="17">
        <f t="shared" si="50"/>
        <v>0</v>
      </c>
      <c r="BA389" s="17">
        <f t="shared" si="50"/>
        <v>0</v>
      </c>
      <c r="BB389" s="17">
        <f t="shared" si="50"/>
        <v>0</v>
      </c>
      <c r="BC389" s="17">
        <f t="shared" si="50"/>
        <v>0</v>
      </c>
      <c r="BD389" s="17">
        <f t="shared" si="50"/>
        <v>0</v>
      </c>
      <c r="BE389" s="17">
        <f t="shared" ref="BE389:BN398" si="51">IF(BE$1&lt;$DD389,BE$358,0)</f>
        <v>0</v>
      </c>
      <c r="BF389" s="17">
        <f t="shared" si="51"/>
        <v>0</v>
      </c>
      <c r="BG389" s="17">
        <f t="shared" si="51"/>
        <v>0</v>
      </c>
      <c r="BH389" s="17">
        <f t="shared" si="51"/>
        <v>0</v>
      </c>
      <c r="BI389" s="17">
        <f t="shared" si="51"/>
        <v>0</v>
      </c>
      <c r="BJ389" s="17">
        <f t="shared" si="51"/>
        <v>0</v>
      </c>
      <c r="BK389" s="17">
        <f t="shared" si="51"/>
        <v>0</v>
      </c>
      <c r="BL389" s="17">
        <f t="shared" si="51"/>
        <v>0</v>
      </c>
      <c r="BM389" s="17">
        <f t="shared" si="51"/>
        <v>0</v>
      </c>
      <c r="BN389" s="17">
        <f t="shared" si="51"/>
        <v>0</v>
      </c>
      <c r="BO389" s="17">
        <f t="shared" ref="BO389:BX398" si="52">IF(BO$1&lt;$DD389,BO$358,0)</f>
        <v>0</v>
      </c>
      <c r="BP389" s="17">
        <f t="shared" si="52"/>
        <v>0</v>
      </c>
      <c r="BQ389" s="17">
        <f t="shared" si="52"/>
        <v>0</v>
      </c>
      <c r="BR389" s="17">
        <f t="shared" si="52"/>
        <v>0</v>
      </c>
      <c r="BS389" s="17">
        <f t="shared" si="52"/>
        <v>0</v>
      </c>
      <c r="BT389" s="17">
        <f t="shared" si="52"/>
        <v>0</v>
      </c>
      <c r="BU389" s="17">
        <f t="shared" si="52"/>
        <v>0</v>
      </c>
      <c r="BV389" s="17">
        <f t="shared" si="52"/>
        <v>0</v>
      </c>
      <c r="BW389" s="17">
        <f t="shared" si="52"/>
        <v>0</v>
      </c>
      <c r="BX389" s="17">
        <f t="shared" si="52"/>
        <v>0</v>
      </c>
      <c r="BY389" s="17">
        <f t="shared" ref="BY389:CH398" si="53">IF(BY$1&lt;$DD389,BY$358,0)</f>
        <v>0</v>
      </c>
      <c r="BZ389" s="17">
        <f t="shared" si="53"/>
        <v>0</v>
      </c>
      <c r="CA389" s="17">
        <f t="shared" si="53"/>
        <v>0</v>
      </c>
      <c r="CB389" s="17">
        <f t="shared" si="53"/>
        <v>0</v>
      </c>
      <c r="CC389" s="17">
        <f t="shared" si="53"/>
        <v>0</v>
      </c>
      <c r="CD389" s="17">
        <f t="shared" si="53"/>
        <v>0</v>
      </c>
      <c r="CE389" s="17">
        <f t="shared" si="53"/>
        <v>0</v>
      </c>
      <c r="CF389" s="17">
        <f t="shared" si="53"/>
        <v>0</v>
      </c>
      <c r="CG389" s="17">
        <f t="shared" si="53"/>
        <v>0</v>
      </c>
      <c r="CH389" s="17">
        <f t="shared" si="53"/>
        <v>0</v>
      </c>
      <c r="CI389" s="17">
        <f t="shared" ref="CI389:CR398" si="54">IF(CI$1&lt;$DD389,CI$358,0)</f>
        <v>0</v>
      </c>
      <c r="CJ389" s="17">
        <f t="shared" si="54"/>
        <v>0</v>
      </c>
      <c r="CK389" s="17">
        <f t="shared" si="54"/>
        <v>0</v>
      </c>
      <c r="CL389" s="17">
        <f t="shared" si="54"/>
        <v>0</v>
      </c>
      <c r="CM389" s="17">
        <f t="shared" si="54"/>
        <v>0</v>
      </c>
      <c r="CN389" s="17">
        <f t="shared" si="54"/>
        <v>0</v>
      </c>
      <c r="CO389" s="17">
        <f t="shared" si="54"/>
        <v>0</v>
      </c>
      <c r="CP389" s="17">
        <f t="shared" si="54"/>
        <v>0</v>
      </c>
      <c r="CQ389" s="17">
        <f t="shared" si="54"/>
        <v>0</v>
      </c>
      <c r="CR389" s="17">
        <f t="shared" si="54"/>
        <v>0</v>
      </c>
      <c r="CS389" s="17">
        <f t="shared" ref="CS389:DB398" si="55">IF(CS$1&lt;$DD389,CS$358,0)</f>
        <v>0</v>
      </c>
      <c r="CT389" s="17">
        <f t="shared" si="55"/>
        <v>0</v>
      </c>
      <c r="CU389" s="17">
        <f t="shared" si="55"/>
        <v>0</v>
      </c>
      <c r="CV389" s="17">
        <f t="shared" si="55"/>
        <v>0</v>
      </c>
      <c r="CW389" s="17">
        <f t="shared" si="55"/>
        <v>0</v>
      </c>
      <c r="CX389" s="17">
        <f t="shared" si="55"/>
        <v>0</v>
      </c>
      <c r="CY389" s="17">
        <f t="shared" si="55"/>
        <v>0</v>
      </c>
      <c r="CZ389" s="17">
        <f t="shared" si="55"/>
        <v>0</v>
      </c>
      <c r="DA389" s="17">
        <f t="shared" si="55"/>
        <v>0</v>
      </c>
      <c r="DB389" s="17">
        <f t="shared" si="55"/>
        <v>0</v>
      </c>
      <c r="DD389" s="14">
        <f t="shared" si="22"/>
        <v>-30</v>
      </c>
      <c r="DF389" s="17">
        <f t="shared" ca="1" si="23"/>
        <v>0</v>
      </c>
      <c r="DG389" s="17">
        <f t="shared" ca="1" si="24"/>
        <v>0</v>
      </c>
      <c r="DH389" s="17">
        <f ca="1">SUM($DF$360:DF389)/$DG$359</f>
        <v>1</v>
      </c>
      <c r="DI389" s="17">
        <f t="shared" ca="1" si="25"/>
        <v>1</v>
      </c>
      <c r="DK389" s="17">
        <v>30</v>
      </c>
      <c r="DP389" s="21"/>
      <c r="DQ389" s="21"/>
      <c r="DR389" s="21"/>
      <c r="DS389" s="21"/>
      <c r="DT389" s="21"/>
      <c r="DU389" s="21"/>
      <c r="DV389" s="21"/>
      <c r="DW389" s="21"/>
      <c r="DX389" s="21"/>
      <c r="DY389" s="21"/>
      <c r="DZ389" s="21"/>
      <c r="EA389" s="21"/>
    </row>
    <row r="390" spans="7:131" s="17" customFormat="1" x14ac:dyDescent="0.25">
      <c r="G390" s="17">
        <f t="shared" ca="1" si="46"/>
        <v>0</v>
      </c>
      <c r="H390" s="17">
        <f t="shared" ca="1" si="46"/>
        <v>0</v>
      </c>
      <c r="I390" s="17">
        <f t="shared" ca="1" si="46"/>
        <v>0</v>
      </c>
      <c r="J390" s="17">
        <f t="shared" ca="1" si="46"/>
        <v>0</v>
      </c>
      <c r="K390" s="17">
        <f t="shared" ca="1" si="46"/>
        <v>0</v>
      </c>
      <c r="L390" s="17">
        <f t="shared" ca="1" si="46"/>
        <v>0</v>
      </c>
      <c r="M390" s="17">
        <f t="shared" ca="1" si="46"/>
        <v>0</v>
      </c>
      <c r="N390" s="17">
        <f t="shared" ca="1" si="46"/>
        <v>0</v>
      </c>
      <c r="O390" s="17">
        <f t="shared" ca="1" si="46"/>
        <v>0</v>
      </c>
      <c r="P390" s="17">
        <f t="shared" ca="1" si="46"/>
        <v>0</v>
      </c>
      <c r="Q390" s="17">
        <f t="shared" ca="1" si="47"/>
        <v>0</v>
      </c>
      <c r="R390" s="17">
        <f t="shared" ca="1" si="47"/>
        <v>0</v>
      </c>
      <c r="S390" s="17">
        <f t="shared" ca="1" si="47"/>
        <v>0</v>
      </c>
      <c r="T390" s="17">
        <f t="shared" ca="1" si="47"/>
        <v>0</v>
      </c>
      <c r="U390" s="17">
        <f t="shared" ca="1" si="47"/>
        <v>0</v>
      </c>
      <c r="V390" s="17">
        <f t="shared" ca="1" si="47"/>
        <v>0</v>
      </c>
      <c r="W390" s="17">
        <f t="shared" ca="1" si="47"/>
        <v>0</v>
      </c>
      <c r="X390" s="17">
        <f t="shared" ca="1" si="47"/>
        <v>0</v>
      </c>
      <c r="Y390" s="17">
        <f t="shared" ca="1" si="47"/>
        <v>0</v>
      </c>
      <c r="Z390" s="17">
        <f t="shared" si="47"/>
        <v>0</v>
      </c>
      <c r="AA390" s="17">
        <f t="shared" si="48"/>
        <v>0</v>
      </c>
      <c r="AB390" s="17">
        <f t="shared" si="48"/>
        <v>0</v>
      </c>
      <c r="AC390" s="17">
        <f t="shared" si="48"/>
        <v>0</v>
      </c>
      <c r="AD390" s="17">
        <f t="shared" si="48"/>
        <v>0</v>
      </c>
      <c r="AE390" s="17">
        <f t="shared" si="48"/>
        <v>0</v>
      </c>
      <c r="AF390" s="17">
        <f t="shared" si="48"/>
        <v>0</v>
      </c>
      <c r="AG390" s="17">
        <f t="shared" si="48"/>
        <v>0</v>
      </c>
      <c r="AH390" s="17">
        <f t="shared" si="48"/>
        <v>0</v>
      </c>
      <c r="AI390" s="17">
        <f t="shared" si="48"/>
        <v>0</v>
      </c>
      <c r="AJ390" s="17">
        <f t="shared" si="48"/>
        <v>0</v>
      </c>
      <c r="AK390" s="17">
        <f t="shared" si="49"/>
        <v>0</v>
      </c>
      <c r="AL390" s="17">
        <f t="shared" si="49"/>
        <v>0</v>
      </c>
      <c r="AM390" s="17">
        <f t="shared" si="49"/>
        <v>0</v>
      </c>
      <c r="AN390" s="17">
        <f t="shared" si="49"/>
        <v>0</v>
      </c>
      <c r="AO390" s="17">
        <f t="shared" si="49"/>
        <v>0</v>
      </c>
      <c r="AP390" s="17">
        <f t="shared" si="49"/>
        <v>0</v>
      </c>
      <c r="AQ390" s="17">
        <f t="shared" si="49"/>
        <v>0</v>
      </c>
      <c r="AR390" s="17">
        <f t="shared" si="49"/>
        <v>0</v>
      </c>
      <c r="AS390" s="17">
        <f t="shared" si="49"/>
        <v>0</v>
      </c>
      <c r="AT390" s="17">
        <f t="shared" si="49"/>
        <v>0</v>
      </c>
      <c r="AU390" s="17">
        <f t="shared" si="50"/>
        <v>0</v>
      </c>
      <c r="AV390" s="17">
        <f t="shared" si="50"/>
        <v>0</v>
      </c>
      <c r="AW390" s="17">
        <f t="shared" si="50"/>
        <v>0</v>
      </c>
      <c r="AX390" s="17">
        <f t="shared" si="50"/>
        <v>0</v>
      </c>
      <c r="AY390" s="17">
        <f t="shared" si="50"/>
        <v>0</v>
      </c>
      <c r="AZ390" s="17">
        <f t="shared" si="50"/>
        <v>0</v>
      </c>
      <c r="BA390" s="17">
        <f t="shared" si="50"/>
        <v>0</v>
      </c>
      <c r="BB390" s="17">
        <f t="shared" si="50"/>
        <v>0</v>
      </c>
      <c r="BC390" s="17">
        <f t="shared" si="50"/>
        <v>0</v>
      </c>
      <c r="BD390" s="17">
        <f t="shared" si="50"/>
        <v>0</v>
      </c>
      <c r="BE390" s="17">
        <f t="shared" si="51"/>
        <v>0</v>
      </c>
      <c r="BF390" s="17">
        <f t="shared" si="51"/>
        <v>0</v>
      </c>
      <c r="BG390" s="17">
        <f t="shared" si="51"/>
        <v>0</v>
      </c>
      <c r="BH390" s="17">
        <f t="shared" si="51"/>
        <v>0</v>
      </c>
      <c r="BI390" s="17">
        <f t="shared" si="51"/>
        <v>0</v>
      </c>
      <c r="BJ390" s="17">
        <f t="shared" si="51"/>
        <v>0</v>
      </c>
      <c r="BK390" s="17">
        <f t="shared" si="51"/>
        <v>0</v>
      </c>
      <c r="BL390" s="17">
        <f t="shared" si="51"/>
        <v>0</v>
      </c>
      <c r="BM390" s="17">
        <f t="shared" si="51"/>
        <v>0</v>
      </c>
      <c r="BN390" s="17">
        <f t="shared" si="51"/>
        <v>0</v>
      </c>
      <c r="BO390" s="17">
        <f t="shared" si="52"/>
        <v>0</v>
      </c>
      <c r="BP390" s="17">
        <f t="shared" si="52"/>
        <v>0</v>
      </c>
      <c r="BQ390" s="17">
        <f t="shared" si="52"/>
        <v>0</v>
      </c>
      <c r="BR390" s="17">
        <f t="shared" si="52"/>
        <v>0</v>
      </c>
      <c r="BS390" s="17">
        <f t="shared" si="52"/>
        <v>0</v>
      </c>
      <c r="BT390" s="17">
        <f t="shared" si="52"/>
        <v>0</v>
      </c>
      <c r="BU390" s="17">
        <f t="shared" si="52"/>
        <v>0</v>
      </c>
      <c r="BV390" s="17">
        <f t="shared" si="52"/>
        <v>0</v>
      </c>
      <c r="BW390" s="17">
        <f t="shared" si="52"/>
        <v>0</v>
      </c>
      <c r="BX390" s="17">
        <f t="shared" si="52"/>
        <v>0</v>
      </c>
      <c r="BY390" s="17">
        <f t="shared" si="53"/>
        <v>0</v>
      </c>
      <c r="BZ390" s="17">
        <f t="shared" si="53"/>
        <v>0</v>
      </c>
      <c r="CA390" s="17">
        <f t="shared" si="53"/>
        <v>0</v>
      </c>
      <c r="CB390" s="17">
        <f t="shared" si="53"/>
        <v>0</v>
      </c>
      <c r="CC390" s="17">
        <f t="shared" si="53"/>
        <v>0</v>
      </c>
      <c r="CD390" s="17">
        <f t="shared" si="53"/>
        <v>0</v>
      </c>
      <c r="CE390" s="17">
        <f t="shared" si="53"/>
        <v>0</v>
      </c>
      <c r="CF390" s="17">
        <f t="shared" si="53"/>
        <v>0</v>
      </c>
      <c r="CG390" s="17">
        <f t="shared" si="53"/>
        <v>0</v>
      </c>
      <c r="CH390" s="17">
        <f t="shared" si="53"/>
        <v>0</v>
      </c>
      <c r="CI390" s="17">
        <f t="shared" si="54"/>
        <v>0</v>
      </c>
      <c r="CJ390" s="17">
        <f t="shared" si="54"/>
        <v>0</v>
      </c>
      <c r="CK390" s="17">
        <f t="shared" si="54"/>
        <v>0</v>
      </c>
      <c r="CL390" s="17">
        <f t="shared" si="54"/>
        <v>0</v>
      </c>
      <c r="CM390" s="17">
        <f t="shared" si="54"/>
        <v>0</v>
      </c>
      <c r="CN390" s="17">
        <f t="shared" si="54"/>
        <v>0</v>
      </c>
      <c r="CO390" s="17">
        <f t="shared" si="54"/>
        <v>0</v>
      </c>
      <c r="CP390" s="17">
        <f t="shared" si="54"/>
        <v>0</v>
      </c>
      <c r="CQ390" s="17">
        <f t="shared" si="54"/>
        <v>0</v>
      </c>
      <c r="CR390" s="17">
        <f t="shared" si="54"/>
        <v>0</v>
      </c>
      <c r="CS390" s="17">
        <f t="shared" si="55"/>
        <v>0</v>
      </c>
      <c r="CT390" s="17">
        <f t="shared" si="55"/>
        <v>0</v>
      </c>
      <c r="CU390" s="17">
        <f t="shared" si="55"/>
        <v>0</v>
      </c>
      <c r="CV390" s="17">
        <f t="shared" si="55"/>
        <v>0</v>
      </c>
      <c r="CW390" s="17">
        <f t="shared" si="55"/>
        <v>0</v>
      </c>
      <c r="CX390" s="17">
        <f t="shared" si="55"/>
        <v>0</v>
      </c>
      <c r="CY390" s="17">
        <f t="shared" si="55"/>
        <v>0</v>
      </c>
      <c r="CZ390" s="17">
        <f t="shared" si="55"/>
        <v>0</v>
      </c>
      <c r="DA390" s="17">
        <f t="shared" si="55"/>
        <v>0</v>
      </c>
      <c r="DB390" s="17">
        <f t="shared" si="55"/>
        <v>0</v>
      </c>
      <c r="DD390" s="14">
        <f t="shared" si="22"/>
        <v>-31</v>
      </c>
      <c r="DF390" s="17">
        <f t="shared" ca="1" si="23"/>
        <v>0</v>
      </c>
      <c r="DG390" s="17">
        <f t="shared" ca="1" si="24"/>
        <v>0</v>
      </c>
      <c r="DH390" s="17">
        <f ca="1">SUM($DF$360:DF390)/$DG$359</f>
        <v>1</v>
      </c>
      <c r="DI390" s="17">
        <f t="shared" ca="1" si="25"/>
        <v>1</v>
      </c>
      <c r="DK390" s="17">
        <v>31</v>
      </c>
      <c r="DP390" s="21"/>
      <c r="DQ390" s="21"/>
      <c r="DR390" s="21"/>
      <c r="DS390" s="21"/>
      <c r="DT390" s="21"/>
      <c r="DU390" s="21"/>
      <c r="DV390" s="21"/>
      <c r="DW390" s="21"/>
      <c r="DX390" s="21"/>
      <c r="DY390" s="21"/>
      <c r="DZ390" s="21"/>
      <c r="EA390" s="21"/>
    </row>
    <row r="391" spans="7:131" s="17" customFormat="1" x14ac:dyDescent="0.25">
      <c r="G391" s="17">
        <f t="shared" ca="1" si="46"/>
        <v>0</v>
      </c>
      <c r="H391" s="17">
        <f t="shared" ca="1" si="46"/>
        <v>0</v>
      </c>
      <c r="I391" s="17">
        <f t="shared" ca="1" si="46"/>
        <v>0</v>
      </c>
      <c r="J391" s="17">
        <f t="shared" ca="1" si="46"/>
        <v>0</v>
      </c>
      <c r="K391" s="17">
        <f t="shared" ca="1" si="46"/>
        <v>0</v>
      </c>
      <c r="L391" s="17">
        <f t="shared" ca="1" si="46"/>
        <v>0</v>
      </c>
      <c r="M391" s="17">
        <f t="shared" ca="1" si="46"/>
        <v>0</v>
      </c>
      <c r="N391" s="17">
        <f t="shared" ca="1" si="46"/>
        <v>0</v>
      </c>
      <c r="O391" s="17">
        <f t="shared" ca="1" si="46"/>
        <v>0</v>
      </c>
      <c r="P391" s="17">
        <f t="shared" ca="1" si="46"/>
        <v>0</v>
      </c>
      <c r="Q391" s="17">
        <f t="shared" ca="1" si="47"/>
        <v>0</v>
      </c>
      <c r="R391" s="17">
        <f t="shared" ca="1" si="47"/>
        <v>0</v>
      </c>
      <c r="S391" s="17">
        <f t="shared" ca="1" si="47"/>
        <v>0</v>
      </c>
      <c r="T391" s="17">
        <f t="shared" ca="1" si="47"/>
        <v>0</v>
      </c>
      <c r="U391" s="17">
        <f t="shared" ca="1" si="47"/>
        <v>0</v>
      </c>
      <c r="V391" s="17">
        <f t="shared" ca="1" si="47"/>
        <v>0</v>
      </c>
      <c r="W391" s="17">
        <f t="shared" ca="1" si="47"/>
        <v>0</v>
      </c>
      <c r="X391" s="17">
        <f t="shared" ca="1" si="47"/>
        <v>0</v>
      </c>
      <c r="Y391" s="17">
        <f t="shared" si="47"/>
        <v>0</v>
      </c>
      <c r="Z391" s="17">
        <f t="shared" si="47"/>
        <v>0</v>
      </c>
      <c r="AA391" s="17">
        <f t="shared" si="48"/>
        <v>0</v>
      </c>
      <c r="AB391" s="17">
        <f t="shared" si="48"/>
        <v>0</v>
      </c>
      <c r="AC391" s="17">
        <f t="shared" si="48"/>
        <v>0</v>
      </c>
      <c r="AD391" s="17">
        <f t="shared" si="48"/>
        <v>0</v>
      </c>
      <c r="AE391" s="17">
        <f t="shared" si="48"/>
        <v>0</v>
      </c>
      <c r="AF391" s="17">
        <f t="shared" si="48"/>
        <v>0</v>
      </c>
      <c r="AG391" s="17">
        <f t="shared" si="48"/>
        <v>0</v>
      </c>
      <c r="AH391" s="17">
        <f t="shared" si="48"/>
        <v>0</v>
      </c>
      <c r="AI391" s="17">
        <f t="shared" si="48"/>
        <v>0</v>
      </c>
      <c r="AJ391" s="17">
        <f t="shared" si="48"/>
        <v>0</v>
      </c>
      <c r="AK391" s="17">
        <f t="shared" si="49"/>
        <v>0</v>
      </c>
      <c r="AL391" s="17">
        <f t="shared" si="49"/>
        <v>0</v>
      </c>
      <c r="AM391" s="17">
        <f t="shared" si="49"/>
        <v>0</v>
      </c>
      <c r="AN391" s="17">
        <f t="shared" si="49"/>
        <v>0</v>
      </c>
      <c r="AO391" s="17">
        <f t="shared" si="49"/>
        <v>0</v>
      </c>
      <c r="AP391" s="17">
        <f t="shared" si="49"/>
        <v>0</v>
      </c>
      <c r="AQ391" s="17">
        <f t="shared" si="49"/>
        <v>0</v>
      </c>
      <c r="AR391" s="17">
        <f t="shared" si="49"/>
        <v>0</v>
      </c>
      <c r="AS391" s="17">
        <f t="shared" si="49"/>
        <v>0</v>
      </c>
      <c r="AT391" s="17">
        <f t="shared" si="49"/>
        <v>0</v>
      </c>
      <c r="AU391" s="17">
        <f t="shared" si="50"/>
        <v>0</v>
      </c>
      <c r="AV391" s="17">
        <f t="shared" si="50"/>
        <v>0</v>
      </c>
      <c r="AW391" s="17">
        <f t="shared" si="50"/>
        <v>0</v>
      </c>
      <c r="AX391" s="17">
        <f t="shared" si="50"/>
        <v>0</v>
      </c>
      <c r="AY391" s="17">
        <f t="shared" si="50"/>
        <v>0</v>
      </c>
      <c r="AZ391" s="17">
        <f t="shared" si="50"/>
        <v>0</v>
      </c>
      <c r="BA391" s="17">
        <f t="shared" si="50"/>
        <v>0</v>
      </c>
      <c r="BB391" s="17">
        <f t="shared" si="50"/>
        <v>0</v>
      </c>
      <c r="BC391" s="17">
        <f t="shared" si="50"/>
        <v>0</v>
      </c>
      <c r="BD391" s="17">
        <f t="shared" si="50"/>
        <v>0</v>
      </c>
      <c r="BE391" s="17">
        <f t="shared" si="51"/>
        <v>0</v>
      </c>
      <c r="BF391" s="17">
        <f t="shared" si="51"/>
        <v>0</v>
      </c>
      <c r="BG391" s="17">
        <f t="shared" si="51"/>
        <v>0</v>
      </c>
      <c r="BH391" s="17">
        <f t="shared" si="51"/>
        <v>0</v>
      </c>
      <c r="BI391" s="17">
        <f t="shared" si="51"/>
        <v>0</v>
      </c>
      <c r="BJ391" s="17">
        <f t="shared" si="51"/>
        <v>0</v>
      </c>
      <c r="BK391" s="17">
        <f t="shared" si="51"/>
        <v>0</v>
      </c>
      <c r="BL391" s="17">
        <f t="shared" si="51"/>
        <v>0</v>
      </c>
      <c r="BM391" s="17">
        <f t="shared" si="51"/>
        <v>0</v>
      </c>
      <c r="BN391" s="17">
        <f t="shared" si="51"/>
        <v>0</v>
      </c>
      <c r="BO391" s="17">
        <f t="shared" si="52"/>
        <v>0</v>
      </c>
      <c r="BP391" s="17">
        <f t="shared" si="52"/>
        <v>0</v>
      </c>
      <c r="BQ391" s="17">
        <f t="shared" si="52"/>
        <v>0</v>
      </c>
      <c r="BR391" s="17">
        <f t="shared" si="52"/>
        <v>0</v>
      </c>
      <c r="BS391" s="17">
        <f t="shared" si="52"/>
        <v>0</v>
      </c>
      <c r="BT391" s="17">
        <f t="shared" si="52"/>
        <v>0</v>
      </c>
      <c r="BU391" s="17">
        <f t="shared" si="52"/>
        <v>0</v>
      </c>
      <c r="BV391" s="17">
        <f t="shared" si="52"/>
        <v>0</v>
      </c>
      <c r="BW391" s="17">
        <f t="shared" si="52"/>
        <v>0</v>
      </c>
      <c r="BX391" s="17">
        <f t="shared" si="52"/>
        <v>0</v>
      </c>
      <c r="BY391" s="17">
        <f t="shared" si="53"/>
        <v>0</v>
      </c>
      <c r="BZ391" s="17">
        <f t="shared" si="53"/>
        <v>0</v>
      </c>
      <c r="CA391" s="17">
        <f t="shared" si="53"/>
        <v>0</v>
      </c>
      <c r="CB391" s="17">
        <f t="shared" si="53"/>
        <v>0</v>
      </c>
      <c r="CC391" s="17">
        <f t="shared" si="53"/>
        <v>0</v>
      </c>
      <c r="CD391" s="17">
        <f t="shared" si="53"/>
        <v>0</v>
      </c>
      <c r="CE391" s="17">
        <f t="shared" si="53"/>
        <v>0</v>
      </c>
      <c r="CF391" s="17">
        <f t="shared" si="53"/>
        <v>0</v>
      </c>
      <c r="CG391" s="17">
        <f t="shared" si="53"/>
        <v>0</v>
      </c>
      <c r="CH391" s="17">
        <f t="shared" si="53"/>
        <v>0</v>
      </c>
      <c r="CI391" s="17">
        <f t="shared" si="54"/>
        <v>0</v>
      </c>
      <c r="CJ391" s="17">
        <f t="shared" si="54"/>
        <v>0</v>
      </c>
      <c r="CK391" s="17">
        <f t="shared" si="54"/>
        <v>0</v>
      </c>
      <c r="CL391" s="17">
        <f t="shared" si="54"/>
        <v>0</v>
      </c>
      <c r="CM391" s="17">
        <f t="shared" si="54"/>
        <v>0</v>
      </c>
      <c r="CN391" s="17">
        <f t="shared" si="54"/>
        <v>0</v>
      </c>
      <c r="CO391" s="17">
        <f t="shared" si="54"/>
        <v>0</v>
      </c>
      <c r="CP391" s="17">
        <f t="shared" si="54"/>
        <v>0</v>
      </c>
      <c r="CQ391" s="17">
        <f t="shared" si="54"/>
        <v>0</v>
      </c>
      <c r="CR391" s="17">
        <f t="shared" si="54"/>
        <v>0</v>
      </c>
      <c r="CS391" s="17">
        <f t="shared" si="55"/>
        <v>0</v>
      </c>
      <c r="CT391" s="17">
        <f t="shared" si="55"/>
        <v>0</v>
      </c>
      <c r="CU391" s="17">
        <f t="shared" si="55"/>
        <v>0</v>
      </c>
      <c r="CV391" s="17">
        <f t="shared" si="55"/>
        <v>0</v>
      </c>
      <c r="CW391" s="17">
        <f t="shared" si="55"/>
        <v>0</v>
      </c>
      <c r="CX391" s="17">
        <f t="shared" si="55"/>
        <v>0</v>
      </c>
      <c r="CY391" s="17">
        <f t="shared" si="55"/>
        <v>0</v>
      </c>
      <c r="CZ391" s="17">
        <f t="shared" si="55"/>
        <v>0</v>
      </c>
      <c r="DA391" s="17">
        <f t="shared" si="55"/>
        <v>0</v>
      </c>
      <c r="DB391" s="17">
        <f t="shared" si="55"/>
        <v>0</v>
      </c>
      <c r="DD391" s="14">
        <f t="shared" si="22"/>
        <v>-32</v>
      </c>
      <c r="DF391" s="17">
        <f t="shared" ca="1" si="23"/>
        <v>0</v>
      </c>
      <c r="DG391" s="17">
        <f t="shared" ca="1" si="24"/>
        <v>0</v>
      </c>
      <c r="DH391" s="17">
        <f ca="1">SUM($DF$360:DF391)/$DG$359</f>
        <v>1</v>
      </c>
      <c r="DI391" s="17">
        <f t="shared" ca="1" si="25"/>
        <v>1</v>
      </c>
      <c r="DK391" s="17">
        <v>32</v>
      </c>
      <c r="DP391" s="21"/>
      <c r="DQ391" s="21"/>
      <c r="DR391" s="21"/>
      <c r="DS391" s="21"/>
      <c r="DT391" s="21"/>
      <c r="DU391" s="21"/>
      <c r="DV391" s="21"/>
      <c r="DW391" s="21"/>
      <c r="DX391" s="21"/>
      <c r="DY391" s="21"/>
      <c r="DZ391" s="21"/>
      <c r="EA391" s="21"/>
    </row>
    <row r="392" spans="7:131" s="17" customFormat="1" x14ac:dyDescent="0.25">
      <c r="G392" s="17">
        <f t="shared" ca="1" si="46"/>
        <v>0</v>
      </c>
      <c r="H392" s="17">
        <f t="shared" ca="1" si="46"/>
        <v>0</v>
      </c>
      <c r="I392" s="17">
        <f t="shared" ca="1" si="46"/>
        <v>0</v>
      </c>
      <c r="J392" s="17">
        <f t="shared" ca="1" si="46"/>
        <v>0</v>
      </c>
      <c r="K392" s="17">
        <f t="shared" ca="1" si="46"/>
        <v>0</v>
      </c>
      <c r="L392" s="17">
        <f t="shared" ca="1" si="46"/>
        <v>0</v>
      </c>
      <c r="M392" s="17">
        <f t="shared" ca="1" si="46"/>
        <v>0</v>
      </c>
      <c r="N392" s="17">
        <f t="shared" ca="1" si="46"/>
        <v>0</v>
      </c>
      <c r="O392" s="17">
        <f t="shared" ca="1" si="46"/>
        <v>0</v>
      </c>
      <c r="P392" s="17">
        <f t="shared" ca="1" si="46"/>
        <v>0</v>
      </c>
      <c r="Q392" s="17">
        <f t="shared" ca="1" si="47"/>
        <v>0</v>
      </c>
      <c r="R392" s="17">
        <f t="shared" ca="1" si="47"/>
        <v>0</v>
      </c>
      <c r="S392" s="17">
        <f t="shared" ca="1" si="47"/>
        <v>0</v>
      </c>
      <c r="T392" s="17">
        <f t="shared" ca="1" si="47"/>
        <v>0</v>
      </c>
      <c r="U392" s="17">
        <f t="shared" ca="1" si="47"/>
        <v>0</v>
      </c>
      <c r="V392" s="17">
        <f t="shared" ca="1" si="47"/>
        <v>0</v>
      </c>
      <c r="W392" s="17">
        <f t="shared" ca="1" si="47"/>
        <v>0</v>
      </c>
      <c r="X392" s="17">
        <f t="shared" si="47"/>
        <v>0</v>
      </c>
      <c r="Y392" s="17">
        <f t="shared" si="47"/>
        <v>0</v>
      </c>
      <c r="Z392" s="17">
        <f t="shared" si="47"/>
        <v>0</v>
      </c>
      <c r="AA392" s="17">
        <f t="shared" si="48"/>
        <v>0</v>
      </c>
      <c r="AB392" s="17">
        <f t="shared" si="48"/>
        <v>0</v>
      </c>
      <c r="AC392" s="17">
        <f t="shared" si="48"/>
        <v>0</v>
      </c>
      <c r="AD392" s="17">
        <f t="shared" si="48"/>
        <v>0</v>
      </c>
      <c r="AE392" s="17">
        <f t="shared" si="48"/>
        <v>0</v>
      </c>
      <c r="AF392" s="17">
        <f t="shared" si="48"/>
        <v>0</v>
      </c>
      <c r="AG392" s="17">
        <f t="shared" si="48"/>
        <v>0</v>
      </c>
      <c r="AH392" s="17">
        <f t="shared" si="48"/>
        <v>0</v>
      </c>
      <c r="AI392" s="17">
        <f t="shared" si="48"/>
        <v>0</v>
      </c>
      <c r="AJ392" s="17">
        <f t="shared" si="48"/>
        <v>0</v>
      </c>
      <c r="AK392" s="17">
        <f t="shared" si="49"/>
        <v>0</v>
      </c>
      <c r="AL392" s="17">
        <f t="shared" si="49"/>
        <v>0</v>
      </c>
      <c r="AM392" s="17">
        <f t="shared" si="49"/>
        <v>0</v>
      </c>
      <c r="AN392" s="17">
        <f t="shared" si="49"/>
        <v>0</v>
      </c>
      <c r="AO392" s="17">
        <f t="shared" si="49"/>
        <v>0</v>
      </c>
      <c r="AP392" s="17">
        <f t="shared" si="49"/>
        <v>0</v>
      </c>
      <c r="AQ392" s="17">
        <f t="shared" si="49"/>
        <v>0</v>
      </c>
      <c r="AR392" s="17">
        <f t="shared" si="49"/>
        <v>0</v>
      </c>
      <c r="AS392" s="17">
        <f t="shared" si="49"/>
        <v>0</v>
      </c>
      <c r="AT392" s="17">
        <f t="shared" si="49"/>
        <v>0</v>
      </c>
      <c r="AU392" s="17">
        <f t="shared" si="50"/>
        <v>0</v>
      </c>
      <c r="AV392" s="17">
        <f t="shared" si="50"/>
        <v>0</v>
      </c>
      <c r="AW392" s="17">
        <f t="shared" si="50"/>
        <v>0</v>
      </c>
      <c r="AX392" s="17">
        <f t="shared" si="50"/>
        <v>0</v>
      </c>
      <c r="AY392" s="17">
        <f t="shared" si="50"/>
        <v>0</v>
      </c>
      <c r="AZ392" s="17">
        <f t="shared" si="50"/>
        <v>0</v>
      </c>
      <c r="BA392" s="17">
        <f t="shared" si="50"/>
        <v>0</v>
      </c>
      <c r="BB392" s="17">
        <f t="shared" si="50"/>
        <v>0</v>
      </c>
      <c r="BC392" s="17">
        <f t="shared" si="50"/>
        <v>0</v>
      </c>
      <c r="BD392" s="17">
        <f t="shared" si="50"/>
        <v>0</v>
      </c>
      <c r="BE392" s="17">
        <f t="shared" si="51"/>
        <v>0</v>
      </c>
      <c r="BF392" s="17">
        <f t="shared" si="51"/>
        <v>0</v>
      </c>
      <c r="BG392" s="17">
        <f t="shared" si="51"/>
        <v>0</v>
      </c>
      <c r="BH392" s="17">
        <f t="shared" si="51"/>
        <v>0</v>
      </c>
      <c r="BI392" s="17">
        <f t="shared" si="51"/>
        <v>0</v>
      </c>
      <c r="BJ392" s="17">
        <f t="shared" si="51"/>
        <v>0</v>
      </c>
      <c r="BK392" s="17">
        <f t="shared" si="51"/>
        <v>0</v>
      </c>
      <c r="BL392" s="17">
        <f t="shared" si="51"/>
        <v>0</v>
      </c>
      <c r="BM392" s="17">
        <f t="shared" si="51"/>
        <v>0</v>
      </c>
      <c r="BN392" s="17">
        <f t="shared" si="51"/>
        <v>0</v>
      </c>
      <c r="BO392" s="17">
        <f t="shared" si="52"/>
        <v>0</v>
      </c>
      <c r="BP392" s="17">
        <f t="shared" si="52"/>
        <v>0</v>
      </c>
      <c r="BQ392" s="17">
        <f t="shared" si="52"/>
        <v>0</v>
      </c>
      <c r="BR392" s="17">
        <f t="shared" si="52"/>
        <v>0</v>
      </c>
      <c r="BS392" s="17">
        <f t="shared" si="52"/>
        <v>0</v>
      </c>
      <c r="BT392" s="17">
        <f t="shared" si="52"/>
        <v>0</v>
      </c>
      <c r="BU392" s="17">
        <f t="shared" si="52"/>
        <v>0</v>
      </c>
      <c r="BV392" s="17">
        <f t="shared" si="52"/>
        <v>0</v>
      </c>
      <c r="BW392" s="17">
        <f t="shared" si="52"/>
        <v>0</v>
      </c>
      <c r="BX392" s="17">
        <f t="shared" si="52"/>
        <v>0</v>
      </c>
      <c r="BY392" s="17">
        <f t="shared" si="53"/>
        <v>0</v>
      </c>
      <c r="BZ392" s="17">
        <f t="shared" si="53"/>
        <v>0</v>
      </c>
      <c r="CA392" s="17">
        <f t="shared" si="53"/>
        <v>0</v>
      </c>
      <c r="CB392" s="17">
        <f t="shared" si="53"/>
        <v>0</v>
      </c>
      <c r="CC392" s="17">
        <f t="shared" si="53"/>
        <v>0</v>
      </c>
      <c r="CD392" s="17">
        <f t="shared" si="53"/>
        <v>0</v>
      </c>
      <c r="CE392" s="17">
        <f t="shared" si="53"/>
        <v>0</v>
      </c>
      <c r="CF392" s="17">
        <f t="shared" si="53"/>
        <v>0</v>
      </c>
      <c r="CG392" s="17">
        <f t="shared" si="53"/>
        <v>0</v>
      </c>
      <c r="CH392" s="17">
        <f t="shared" si="53"/>
        <v>0</v>
      </c>
      <c r="CI392" s="17">
        <f t="shared" si="54"/>
        <v>0</v>
      </c>
      <c r="CJ392" s="17">
        <f t="shared" si="54"/>
        <v>0</v>
      </c>
      <c r="CK392" s="17">
        <f t="shared" si="54"/>
        <v>0</v>
      </c>
      <c r="CL392" s="17">
        <f t="shared" si="54"/>
        <v>0</v>
      </c>
      <c r="CM392" s="17">
        <f t="shared" si="54"/>
        <v>0</v>
      </c>
      <c r="CN392" s="17">
        <f t="shared" si="54"/>
        <v>0</v>
      </c>
      <c r="CO392" s="17">
        <f t="shared" si="54"/>
        <v>0</v>
      </c>
      <c r="CP392" s="17">
        <f t="shared" si="54"/>
        <v>0</v>
      </c>
      <c r="CQ392" s="17">
        <f t="shared" si="54"/>
        <v>0</v>
      </c>
      <c r="CR392" s="17">
        <f t="shared" si="54"/>
        <v>0</v>
      </c>
      <c r="CS392" s="17">
        <f t="shared" si="55"/>
        <v>0</v>
      </c>
      <c r="CT392" s="17">
        <f t="shared" si="55"/>
        <v>0</v>
      </c>
      <c r="CU392" s="17">
        <f t="shared" si="55"/>
        <v>0</v>
      </c>
      <c r="CV392" s="17">
        <f t="shared" si="55"/>
        <v>0</v>
      </c>
      <c r="CW392" s="17">
        <f t="shared" si="55"/>
        <v>0</v>
      </c>
      <c r="CX392" s="17">
        <f t="shared" si="55"/>
        <v>0</v>
      </c>
      <c r="CY392" s="17">
        <f t="shared" si="55"/>
        <v>0</v>
      </c>
      <c r="CZ392" s="17">
        <f t="shared" si="55"/>
        <v>0</v>
      </c>
      <c r="DA392" s="17">
        <f t="shared" si="55"/>
        <v>0</v>
      </c>
      <c r="DB392" s="17">
        <f t="shared" si="55"/>
        <v>0</v>
      </c>
      <c r="DD392" s="14">
        <f t="shared" si="22"/>
        <v>-33</v>
      </c>
      <c r="DF392" s="17">
        <f t="shared" ca="1" si="23"/>
        <v>0</v>
      </c>
      <c r="DG392" s="17">
        <f t="shared" ca="1" si="24"/>
        <v>0</v>
      </c>
      <c r="DH392" s="17">
        <f ca="1">SUM($DF$360:DF392)/$DG$359</f>
        <v>1</v>
      </c>
      <c r="DI392" s="17">
        <f t="shared" ca="1" si="25"/>
        <v>1</v>
      </c>
      <c r="DK392" s="17">
        <v>33</v>
      </c>
      <c r="DP392" s="21"/>
      <c r="DQ392" s="21"/>
      <c r="DR392" s="21"/>
      <c r="DS392" s="21"/>
      <c r="DT392" s="21"/>
      <c r="DU392" s="21"/>
      <c r="DV392" s="21"/>
      <c r="DW392" s="21"/>
      <c r="DX392" s="21"/>
      <c r="DY392" s="21"/>
      <c r="DZ392" s="21"/>
      <c r="EA392" s="21"/>
    </row>
    <row r="393" spans="7:131" s="17" customFormat="1" x14ac:dyDescent="0.25">
      <c r="G393" s="17">
        <f t="shared" ca="1" si="46"/>
        <v>0</v>
      </c>
      <c r="H393" s="17">
        <f t="shared" ca="1" si="46"/>
        <v>0</v>
      </c>
      <c r="I393" s="17">
        <f t="shared" ca="1" si="46"/>
        <v>0</v>
      </c>
      <c r="J393" s="17">
        <f t="shared" ca="1" si="46"/>
        <v>0</v>
      </c>
      <c r="K393" s="17">
        <f t="shared" ca="1" si="46"/>
        <v>0</v>
      </c>
      <c r="L393" s="17">
        <f t="shared" ca="1" si="46"/>
        <v>0</v>
      </c>
      <c r="M393" s="17">
        <f t="shared" ca="1" si="46"/>
        <v>0</v>
      </c>
      <c r="N393" s="17">
        <f t="shared" ca="1" si="46"/>
        <v>0</v>
      </c>
      <c r="O393" s="17">
        <f t="shared" ca="1" si="46"/>
        <v>0</v>
      </c>
      <c r="P393" s="17">
        <f t="shared" ca="1" si="46"/>
        <v>0</v>
      </c>
      <c r="Q393" s="17">
        <f t="shared" ca="1" si="47"/>
        <v>0</v>
      </c>
      <c r="R393" s="17">
        <f t="shared" ca="1" si="47"/>
        <v>0</v>
      </c>
      <c r="S393" s="17">
        <f t="shared" ca="1" si="47"/>
        <v>0</v>
      </c>
      <c r="T393" s="17">
        <f t="shared" ca="1" si="47"/>
        <v>0</v>
      </c>
      <c r="U393" s="17">
        <f t="shared" ca="1" si="47"/>
        <v>0</v>
      </c>
      <c r="V393" s="17">
        <f t="shared" ca="1" si="47"/>
        <v>0</v>
      </c>
      <c r="W393" s="17">
        <f t="shared" si="47"/>
        <v>0</v>
      </c>
      <c r="X393" s="17">
        <f t="shared" si="47"/>
        <v>0</v>
      </c>
      <c r="Y393" s="17">
        <f t="shared" si="47"/>
        <v>0</v>
      </c>
      <c r="Z393" s="17">
        <f t="shared" si="47"/>
        <v>0</v>
      </c>
      <c r="AA393" s="17">
        <f t="shared" si="48"/>
        <v>0</v>
      </c>
      <c r="AB393" s="17">
        <f t="shared" si="48"/>
        <v>0</v>
      </c>
      <c r="AC393" s="17">
        <f t="shared" si="48"/>
        <v>0</v>
      </c>
      <c r="AD393" s="17">
        <f t="shared" si="48"/>
        <v>0</v>
      </c>
      <c r="AE393" s="17">
        <f t="shared" si="48"/>
        <v>0</v>
      </c>
      <c r="AF393" s="17">
        <f t="shared" si="48"/>
        <v>0</v>
      </c>
      <c r="AG393" s="17">
        <f t="shared" si="48"/>
        <v>0</v>
      </c>
      <c r="AH393" s="17">
        <f t="shared" si="48"/>
        <v>0</v>
      </c>
      <c r="AI393" s="17">
        <f t="shared" si="48"/>
        <v>0</v>
      </c>
      <c r="AJ393" s="17">
        <f t="shared" si="48"/>
        <v>0</v>
      </c>
      <c r="AK393" s="17">
        <f t="shared" si="49"/>
        <v>0</v>
      </c>
      <c r="AL393" s="17">
        <f t="shared" si="49"/>
        <v>0</v>
      </c>
      <c r="AM393" s="17">
        <f t="shared" si="49"/>
        <v>0</v>
      </c>
      <c r="AN393" s="17">
        <f t="shared" si="49"/>
        <v>0</v>
      </c>
      <c r="AO393" s="17">
        <f t="shared" si="49"/>
        <v>0</v>
      </c>
      <c r="AP393" s="17">
        <f t="shared" si="49"/>
        <v>0</v>
      </c>
      <c r="AQ393" s="17">
        <f t="shared" si="49"/>
        <v>0</v>
      </c>
      <c r="AR393" s="17">
        <f t="shared" si="49"/>
        <v>0</v>
      </c>
      <c r="AS393" s="17">
        <f t="shared" si="49"/>
        <v>0</v>
      </c>
      <c r="AT393" s="17">
        <f t="shared" si="49"/>
        <v>0</v>
      </c>
      <c r="AU393" s="17">
        <f t="shared" si="50"/>
        <v>0</v>
      </c>
      <c r="AV393" s="17">
        <f t="shared" si="50"/>
        <v>0</v>
      </c>
      <c r="AW393" s="17">
        <f t="shared" si="50"/>
        <v>0</v>
      </c>
      <c r="AX393" s="17">
        <f t="shared" si="50"/>
        <v>0</v>
      </c>
      <c r="AY393" s="17">
        <f t="shared" si="50"/>
        <v>0</v>
      </c>
      <c r="AZ393" s="17">
        <f t="shared" si="50"/>
        <v>0</v>
      </c>
      <c r="BA393" s="17">
        <f t="shared" si="50"/>
        <v>0</v>
      </c>
      <c r="BB393" s="17">
        <f t="shared" si="50"/>
        <v>0</v>
      </c>
      <c r="BC393" s="17">
        <f t="shared" si="50"/>
        <v>0</v>
      </c>
      <c r="BD393" s="17">
        <f t="shared" si="50"/>
        <v>0</v>
      </c>
      <c r="BE393" s="17">
        <f t="shared" si="51"/>
        <v>0</v>
      </c>
      <c r="BF393" s="17">
        <f t="shared" si="51"/>
        <v>0</v>
      </c>
      <c r="BG393" s="17">
        <f t="shared" si="51"/>
        <v>0</v>
      </c>
      <c r="BH393" s="17">
        <f t="shared" si="51"/>
        <v>0</v>
      </c>
      <c r="BI393" s="17">
        <f t="shared" si="51"/>
        <v>0</v>
      </c>
      <c r="BJ393" s="17">
        <f t="shared" si="51"/>
        <v>0</v>
      </c>
      <c r="BK393" s="17">
        <f t="shared" si="51"/>
        <v>0</v>
      </c>
      <c r="BL393" s="17">
        <f t="shared" si="51"/>
        <v>0</v>
      </c>
      <c r="BM393" s="17">
        <f t="shared" si="51"/>
        <v>0</v>
      </c>
      <c r="BN393" s="17">
        <f t="shared" si="51"/>
        <v>0</v>
      </c>
      <c r="BO393" s="17">
        <f t="shared" si="52"/>
        <v>0</v>
      </c>
      <c r="BP393" s="17">
        <f t="shared" si="52"/>
        <v>0</v>
      </c>
      <c r="BQ393" s="17">
        <f t="shared" si="52"/>
        <v>0</v>
      </c>
      <c r="BR393" s="17">
        <f t="shared" si="52"/>
        <v>0</v>
      </c>
      <c r="BS393" s="17">
        <f t="shared" si="52"/>
        <v>0</v>
      </c>
      <c r="BT393" s="17">
        <f t="shared" si="52"/>
        <v>0</v>
      </c>
      <c r="BU393" s="17">
        <f t="shared" si="52"/>
        <v>0</v>
      </c>
      <c r="BV393" s="17">
        <f t="shared" si="52"/>
        <v>0</v>
      </c>
      <c r="BW393" s="17">
        <f t="shared" si="52"/>
        <v>0</v>
      </c>
      <c r="BX393" s="17">
        <f t="shared" si="52"/>
        <v>0</v>
      </c>
      <c r="BY393" s="17">
        <f t="shared" si="53"/>
        <v>0</v>
      </c>
      <c r="BZ393" s="17">
        <f t="shared" si="53"/>
        <v>0</v>
      </c>
      <c r="CA393" s="17">
        <f t="shared" si="53"/>
        <v>0</v>
      </c>
      <c r="CB393" s="17">
        <f t="shared" si="53"/>
        <v>0</v>
      </c>
      <c r="CC393" s="17">
        <f t="shared" si="53"/>
        <v>0</v>
      </c>
      <c r="CD393" s="17">
        <f t="shared" si="53"/>
        <v>0</v>
      </c>
      <c r="CE393" s="17">
        <f t="shared" si="53"/>
        <v>0</v>
      </c>
      <c r="CF393" s="17">
        <f t="shared" si="53"/>
        <v>0</v>
      </c>
      <c r="CG393" s="17">
        <f t="shared" si="53"/>
        <v>0</v>
      </c>
      <c r="CH393" s="17">
        <f t="shared" si="53"/>
        <v>0</v>
      </c>
      <c r="CI393" s="17">
        <f t="shared" si="54"/>
        <v>0</v>
      </c>
      <c r="CJ393" s="17">
        <f t="shared" si="54"/>
        <v>0</v>
      </c>
      <c r="CK393" s="17">
        <f t="shared" si="54"/>
        <v>0</v>
      </c>
      <c r="CL393" s="17">
        <f t="shared" si="54"/>
        <v>0</v>
      </c>
      <c r="CM393" s="17">
        <f t="shared" si="54"/>
        <v>0</v>
      </c>
      <c r="CN393" s="17">
        <f t="shared" si="54"/>
        <v>0</v>
      </c>
      <c r="CO393" s="17">
        <f t="shared" si="54"/>
        <v>0</v>
      </c>
      <c r="CP393" s="17">
        <f t="shared" si="54"/>
        <v>0</v>
      </c>
      <c r="CQ393" s="17">
        <f t="shared" si="54"/>
        <v>0</v>
      </c>
      <c r="CR393" s="17">
        <f t="shared" si="54"/>
        <v>0</v>
      </c>
      <c r="CS393" s="17">
        <f t="shared" si="55"/>
        <v>0</v>
      </c>
      <c r="CT393" s="17">
        <f t="shared" si="55"/>
        <v>0</v>
      </c>
      <c r="CU393" s="17">
        <f t="shared" si="55"/>
        <v>0</v>
      </c>
      <c r="CV393" s="17">
        <f t="shared" si="55"/>
        <v>0</v>
      </c>
      <c r="CW393" s="17">
        <f t="shared" si="55"/>
        <v>0</v>
      </c>
      <c r="CX393" s="17">
        <f t="shared" si="55"/>
        <v>0</v>
      </c>
      <c r="CY393" s="17">
        <f t="shared" si="55"/>
        <v>0</v>
      </c>
      <c r="CZ393" s="17">
        <f t="shared" si="55"/>
        <v>0</v>
      </c>
      <c r="DA393" s="17">
        <f t="shared" si="55"/>
        <v>0</v>
      </c>
      <c r="DB393" s="17">
        <f t="shared" si="55"/>
        <v>0</v>
      </c>
      <c r="DD393" s="14">
        <f t="shared" si="22"/>
        <v>-34</v>
      </c>
      <c r="DF393" s="17">
        <f t="shared" ca="1" si="23"/>
        <v>0</v>
      </c>
      <c r="DG393" s="17">
        <f t="shared" ca="1" si="24"/>
        <v>0</v>
      </c>
      <c r="DH393" s="17">
        <f ca="1">SUM($DF$360:DF393)/$DG$359</f>
        <v>1</v>
      </c>
      <c r="DI393" s="17">
        <f t="shared" ca="1" si="25"/>
        <v>1</v>
      </c>
      <c r="DK393" s="17">
        <v>34</v>
      </c>
      <c r="DP393" s="21"/>
      <c r="DQ393" s="21"/>
      <c r="DR393" s="21"/>
      <c r="DS393" s="21"/>
      <c r="DT393" s="21"/>
      <c r="DU393" s="21"/>
      <c r="DV393" s="21"/>
      <c r="DW393" s="21"/>
      <c r="DX393" s="21"/>
      <c r="DY393" s="21"/>
      <c r="DZ393" s="21"/>
      <c r="EA393" s="21"/>
    </row>
    <row r="394" spans="7:131" s="17" customFormat="1" x14ac:dyDescent="0.25">
      <c r="G394" s="17">
        <f t="shared" ca="1" si="46"/>
        <v>0</v>
      </c>
      <c r="H394" s="17">
        <f t="shared" ca="1" si="46"/>
        <v>0</v>
      </c>
      <c r="I394" s="17">
        <f t="shared" ca="1" si="46"/>
        <v>0</v>
      </c>
      <c r="J394" s="17">
        <f t="shared" ca="1" si="46"/>
        <v>0</v>
      </c>
      <c r="K394" s="17">
        <f t="shared" ca="1" si="46"/>
        <v>0</v>
      </c>
      <c r="L394" s="17">
        <f t="shared" ca="1" si="46"/>
        <v>0</v>
      </c>
      <c r="M394" s="17">
        <f t="shared" ca="1" si="46"/>
        <v>0</v>
      </c>
      <c r="N394" s="17">
        <f t="shared" ca="1" si="46"/>
        <v>0</v>
      </c>
      <c r="O394" s="17">
        <f t="shared" ca="1" si="46"/>
        <v>0</v>
      </c>
      <c r="P394" s="17">
        <f t="shared" ca="1" si="46"/>
        <v>0</v>
      </c>
      <c r="Q394" s="17">
        <f t="shared" ca="1" si="47"/>
        <v>0</v>
      </c>
      <c r="R394" s="17">
        <f t="shared" ca="1" si="47"/>
        <v>0</v>
      </c>
      <c r="S394" s="17">
        <f t="shared" ca="1" si="47"/>
        <v>0</v>
      </c>
      <c r="T394" s="17">
        <f t="shared" ca="1" si="47"/>
        <v>0</v>
      </c>
      <c r="U394" s="17">
        <f t="shared" ca="1" si="47"/>
        <v>0</v>
      </c>
      <c r="V394" s="17">
        <f t="shared" si="47"/>
        <v>0</v>
      </c>
      <c r="W394" s="17">
        <f t="shared" si="47"/>
        <v>0</v>
      </c>
      <c r="X394" s="17">
        <f t="shared" si="47"/>
        <v>0</v>
      </c>
      <c r="Y394" s="17">
        <f t="shared" si="47"/>
        <v>0</v>
      </c>
      <c r="Z394" s="17">
        <f t="shared" si="47"/>
        <v>0</v>
      </c>
      <c r="AA394" s="17">
        <f t="shared" si="48"/>
        <v>0</v>
      </c>
      <c r="AB394" s="17">
        <f t="shared" si="48"/>
        <v>0</v>
      </c>
      <c r="AC394" s="17">
        <f t="shared" si="48"/>
        <v>0</v>
      </c>
      <c r="AD394" s="17">
        <f t="shared" si="48"/>
        <v>0</v>
      </c>
      <c r="AE394" s="17">
        <f t="shared" si="48"/>
        <v>0</v>
      </c>
      <c r="AF394" s="17">
        <f t="shared" si="48"/>
        <v>0</v>
      </c>
      <c r="AG394" s="17">
        <f t="shared" si="48"/>
        <v>0</v>
      </c>
      <c r="AH394" s="17">
        <f t="shared" si="48"/>
        <v>0</v>
      </c>
      <c r="AI394" s="17">
        <f t="shared" si="48"/>
        <v>0</v>
      </c>
      <c r="AJ394" s="17">
        <f t="shared" si="48"/>
        <v>0</v>
      </c>
      <c r="AK394" s="17">
        <f t="shared" si="49"/>
        <v>0</v>
      </c>
      <c r="AL394" s="17">
        <f t="shared" si="49"/>
        <v>0</v>
      </c>
      <c r="AM394" s="17">
        <f t="shared" si="49"/>
        <v>0</v>
      </c>
      <c r="AN394" s="17">
        <f t="shared" si="49"/>
        <v>0</v>
      </c>
      <c r="AO394" s="17">
        <f t="shared" si="49"/>
        <v>0</v>
      </c>
      <c r="AP394" s="17">
        <f t="shared" si="49"/>
        <v>0</v>
      </c>
      <c r="AQ394" s="17">
        <f t="shared" si="49"/>
        <v>0</v>
      </c>
      <c r="AR394" s="17">
        <f t="shared" si="49"/>
        <v>0</v>
      </c>
      <c r="AS394" s="17">
        <f t="shared" si="49"/>
        <v>0</v>
      </c>
      <c r="AT394" s="17">
        <f t="shared" si="49"/>
        <v>0</v>
      </c>
      <c r="AU394" s="17">
        <f t="shared" si="50"/>
        <v>0</v>
      </c>
      <c r="AV394" s="17">
        <f t="shared" si="50"/>
        <v>0</v>
      </c>
      <c r="AW394" s="17">
        <f t="shared" si="50"/>
        <v>0</v>
      </c>
      <c r="AX394" s="17">
        <f t="shared" si="50"/>
        <v>0</v>
      </c>
      <c r="AY394" s="17">
        <f t="shared" si="50"/>
        <v>0</v>
      </c>
      <c r="AZ394" s="17">
        <f t="shared" si="50"/>
        <v>0</v>
      </c>
      <c r="BA394" s="17">
        <f t="shared" si="50"/>
        <v>0</v>
      </c>
      <c r="BB394" s="17">
        <f t="shared" si="50"/>
        <v>0</v>
      </c>
      <c r="BC394" s="17">
        <f t="shared" si="50"/>
        <v>0</v>
      </c>
      <c r="BD394" s="17">
        <f t="shared" si="50"/>
        <v>0</v>
      </c>
      <c r="BE394" s="17">
        <f t="shared" si="51"/>
        <v>0</v>
      </c>
      <c r="BF394" s="17">
        <f t="shared" si="51"/>
        <v>0</v>
      </c>
      <c r="BG394" s="17">
        <f t="shared" si="51"/>
        <v>0</v>
      </c>
      <c r="BH394" s="17">
        <f t="shared" si="51"/>
        <v>0</v>
      </c>
      <c r="BI394" s="17">
        <f t="shared" si="51"/>
        <v>0</v>
      </c>
      <c r="BJ394" s="17">
        <f t="shared" si="51"/>
        <v>0</v>
      </c>
      <c r="BK394" s="17">
        <f t="shared" si="51"/>
        <v>0</v>
      </c>
      <c r="BL394" s="17">
        <f t="shared" si="51"/>
        <v>0</v>
      </c>
      <c r="BM394" s="17">
        <f t="shared" si="51"/>
        <v>0</v>
      </c>
      <c r="BN394" s="17">
        <f t="shared" si="51"/>
        <v>0</v>
      </c>
      <c r="BO394" s="17">
        <f t="shared" si="52"/>
        <v>0</v>
      </c>
      <c r="BP394" s="17">
        <f t="shared" si="52"/>
        <v>0</v>
      </c>
      <c r="BQ394" s="17">
        <f t="shared" si="52"/>
        <v>0</v>
      </c>
      <c r="BR394" s="17">
        <f t="shared" si="52"/>
        <v>0</v>
      </c>
      <c r="BS394" s="17">
        <f t="shared" si="52"/>
        <v>0</v>
      </c>
      <c r="BT394" s="17">
        <f t="shared" si="52"/>
        <v>0</v>
      </c>
      <c r="BU394" s="17">
        <f t="shared" si="52"/>
        <v>0</v>
      </c>
      <c r="BV394" s="17">
        <f t="shared" si="52"/>
        <v>0</v>
      </c>
      <c r="BW394" s="17">
        <f t="shared" si="52"/>
        <v>0</v>
      </c>
      <c r="BX394" s="17">
        <f t="shared" si="52"/>
        <v>0</v>
      </c>
      <c r="BY394" s="17">
        <f t="shared" si="53"/>
        <v>0</v>
      </c>
      <c r="BZ394" s="17">
        <f t="shared" si="53"/>
        <v>0</v>
      </c>
      <c r="CA394" s="17">
        <f t="shared" si="53"/>
        <v>0</v>
      </c>
      <c r="CB394" s="17">
        <f t="shared" si="53"/>
        <v>0</v>
      </c>
      <c r="CC394" s="17">
        <f t="shared" si="53"/>
        <v>0</v>
      </c>
      <c r="CD394" s="17">
        <f t="shared" si="53"/>
        <v>0</v>
      </c>
      <c r="CE394" s="17">
        <f t="shared" si="53"/>
        <v>0</v>
      </c>
      <c r="CF394" s="17">
        <f t="shared" si="53"/>
        <v>0</v>
      </c>
      <c r="CG394" s="17">
        <f t="shared" si="53"/>
        <v>0</v>
      </c>
      <c r="CH394" s="17">
        <f t="shared" si="53"/>
        <v>0</v>
      </c>
      <c r="CI394" s="17">
        <f t="shared" si="54"/>
        <v>0</v>
      </c>
      <c r="CJ394" s="17">
        <f t="shared" si="54"/>
        <v>0</v>
      </c>
      <c r="CK394" s="17">
        <f t="shared" si="54"/>
        <v>0</v>
      </c>
      <c r="CL394" s="17">
        <f t="shared" si="54"/>
        <v>0</v>
      </c>
      <c r="CM394" s="17">
        <f t="shared" si="54"/>
        <v>0</v>
      </c>
      <c r="CN394" s="17">
        <f t="shared" si="54"/>
        <v>0</v>
      </c>
      <c r="CO394" s="17">
        <f t="shared" si="54"/>
        <v>0</v>
      </c>
      <c r="CP394" s="17">
        <f t="shared" si="54"/>
        <v>0</v>
      </c>
      <c r="CQ394" s="17">
        <f t="shared" si="54"/>
        <v>0</v>
      </c>
      <c r="CR394" s="17">
        <f t="shared" si="54"/>
        <v>0</v>
      </c>
      <c r="CS394" s="17">
        <f t="shared" si="55"/>
        <v>0</v>
      </c>
      <c r="CT394" s="17">
        <f t="shared" si="55"/>
        <v>0</v>
      </c>
      <c r="CU394" s="17">
        <f t="shared" si="55"/>
        <v>0</v>
      </c>
      <c r="CV394" s="17">
        <f t="shared" si="55"/>
        <v>0</v>
      </c>
      <c r="CW394" s="17">
        <f t="shared" si="55"/>
        <v>0</v>
      </c>
      <c r="CX394" s="17">
        <f t="shared" si="55"/>
        <v>0</v>
      </c>
      <c r="CY394" s="17">
        <f t="shared" si="55"/>
        <v>0</v>
      </c>
      <c r="CZ394" s="17">
        <f t="shared" si="55"/>
        <v>0</v>
      </c>
      <c r="DA394" s="17">
        <f t="shared" si="55"/>
        <v>0</v>
      </c>
      <c r="DB394" s="17">
        <f t="shared" si="55"/>
        <v>0</v>
      </c>
      <c r="DD394" s="14">
        <f t="shared" si="22"/>
        <v>-35</v>
      </c>
      <c r="DF394" s="17">
        <f t="shared" ca="1" si="23"/>
        <v>0</v>
      </c>
      <c r="DG394" s="17">
        <f t="shared" ca="1" si="24"/>
        <v>0</v>
      </c>
      <c r="DH394" s="17">
        <f ca="1">SUM($DF$360:DF394)/$DG$359</f>
        <v>1</v>
      </c>
      <c r="DI394" s="17">
        <f t="shared" ca="1" si="25"/>
        <v>1</v>
      </c>
      <c r="DK394" s="17">
        <v>35</v>
      </c>
      <c r="DP394" s="21"/>
      <c r="DQ394" s="21"/>
      <c r="DR394" s="21"/>
      <c r="DS394" s="21"/>
      <c r="DT394" s="21"/>
      <c r="DU394" s="21"/>
      <c r="DV394" s="21"/>
      <c r="DW394" s="21"/>
      <c r="DX394" s="21"/>
      <c r="DY394" s="21"/>
      <c r="DZ394" s="21"/>
      <c r="EA394" s="21"/>
    </row>
    <row r="395" spans="7:131" s="17" customFormat="1" x14ac:dyDescent="0.25">
      <c r="G395" s="17">
        <f t="shared" ca="1" si="46"/>
        <v>0</v>
      </c>
      <c r="H395" s="17">
        <f t="shared" ca="1" si="46"/>
        <v>0</v>
      </c>
      <c r="I395" s="17">
        <f t="shared" ca="1" si="46"/>
        <v>0</v>
      </c>
      <c r="J395" s="17">
        <f t="shared" ca="1" si="46"/>
        <v>0</v>
      </c>
      <c r="K395" s="17">
        <f t="shared" ca="1" si="46"/>
        <v>0</v>
      </c>
      <c r="L395" s="17">
        <f t="shared" ca="1" si="46"/>
        <v>0</v>
      </c>
      <c r="M395" s="17">
        <f t="shared" ca="1" si="46"/>
        <v>0</v>
      </c>
      <c r="N395" s="17">
        <f t="shared" ca="1" si="46"/>
        <v>0</v>
      </c>
      <c r="O395" s="17">
        <f t="shared" ca="1" si="46"/>
        <v>0</v>
      </c>
      <c r="P395" s="17">
        <f t="shared" ca="1" si="46"/>
        <v>0</v>
      </c>
      <c r="Q395" s="17">
        <f t="shared" ca="1" si="47"/>
        <v>0</v>
      </c>
      <c r="R395" s="17">
        <f t="shared" ca="1" si="47"/>
        <v>0</v>
      </c>
      <c r="S395" s="17">
        <f t="shared" ca="1" si="47"/>
        <v>0</v>
      </c>
      <c r="T395" s="17">
        <f t="shared" ca="1" si="47"/>
        <v>0</v>
      </c>
      <c r="U395" s="17">
        <f t="shared" si="47"/>
        <v>0</v>
      </c>
      <c r="V395" s="17">
        <f t="shared" si="47"/>
        <v>0</v>
      </c>
      <c r="W395" s="17">
        <f t="shared" si="47"/>
        <v>0</v>
      </c>
      <c r="X395" s="17">
        <f t="shared" si="47"/>
        <v>0</v>
      </c>
      <c r="Y395" s="17">
        <f t="shared" si="47"/>
        <v>0</v>
      </c>
      <c r="Z395" s="17">
        <f t="shared" si="47"/>
        <v>0</v>
      </c>
      <c r="AA395" s="17">
        <f t="shared" si="48"/>
        <v>0</v>
      </c>
      <c r="AB395" s="17">
        <f t="shared" si="48"/>
        <v>0</v>
      </c>
      <c r="AC395" s="17">
        <f t="shared" si="48"/>
        <v>0</v>
      </c>
      <c r="AD395" s="17">
        <f t="shared" si="48"/>
        <v>0</v>
      </c>
      <c r="AE395" s="17">
        <f t="shared" si="48"/>
        <v>0</v>
      </c>
      <c r="AF395" s="17">
        <f t="shared" si="48"/>
        <v>0</v>
      </c>
      <c r="AG395" s="17">
        <f t="shared" si="48"/>
        <v>0</v>
      </c>
      <c r="AH395" s="17">
        <f t="shared" si="48"/>
        <v>0</v>
      </c>
      <c r="AI395" s="17">
        <f t="shared" si="48"/>
        <v>0</v>
      </c>
      <c r="AJ395" s="17">
        <f t="shared" si="48"/>
        <v>0</v>
      </c>
      <c r="AK395" s="17">
        <f t="shared" si="49"/>
        <v>0</v>
      </c>
      <c r="AL395" s="17">
        <f t="shared" si="49"/>
        <v>0</v>
      </c>
      <c r="AM395" s="17">
        <f t="shared" si="49"/>
        <v>0</v>
      </c>
      <c r="AN395" s="17">
        <f t="shared" si="49"/>
        <v>0</v>
      </c>
      <c r="AO395" s="17">
        <f t="shared" si="49"/>
        <v>0</v>
      </c>
      <c r="AP395" s="17">
        <f t="shared" si="49"/>
        <v>0</v>
      </c>
      <c r="AQ395" s="17">
        <f t="shared" si="49"/>
        <v>0</v>
      </c>
      <c r="AR395" s="17">
        <f t="shared" si="49"/>
        <v>0</v>
      </c>
      <c r="AS395" s="17">
        <f t="shared" si="49"/>
        <v>0</v>
      </c>
      <c r="AT395" s="17">
        <f t="shared" si="49"/>
        <v>0</v>
      </c>
      <c r="AU395" s="17">
        <f t="shared" si="50"/>
        <v>0</v>
      </c>
      <c r="AV395" s="17">
        <f t="shared" si="50"/>
        <v>0</v>
      </c>
      <c r="AW395" s="17">
        <f t="shared" si="50"/>
        <v>0</v>
      </c>
      <c r="AX395" s="17">
        <f t="shared" si="50"/>
        <v>0</v>
      </c>
      <c r="AY395" s="17">
        <f t="shared" si="50"/>
        <v>0</v>
      </c>
      <c r="AZ395" s="17">
        <f t="shared" si="50"/>
        <v>0</v>
      </c>
      <c r="BA395" s="17">
        <f t="shared" si="50"/>
        <v>0</v>
      </c>
      <c r="BB395" s="17">
        <f t="shared" si="50"/>
        <v>0</v>
      </c>
      <c r="BC395" s="17">
        <f t="shared" si="50"/>
        <v>0</v>
      </c>
      <c r="BD395" s="17">
        <f t="shared" si="50"/>
        <v>0</v>
      </c>
      <c r="BE395" s="17">
        <f t="shared" si="51"/>
        <v>0</v>
      </c>
      <c r="BF395" s="17">
        <f t="shared" si="51"/>
        <v>0</v>
      </c>
      <c r="BG395" s="17">
        <f t="shared" si="51"/>
        <v>0</v>
      </c>
      <c r="BH395" s="17">
        <f t="shared" si="51"/>
        <v>0</v>
      </c>
      <c r="BI395" s="17">
        <f t="shared" si="51"/>
        <v>0</v>
      </c>
      <c r="BJ395" s="17">
        <f t="shared" si="51"/>
        <v>0</v>
      </c>
      <c r="BK395" s="17">
        <f t="shared" si="51"/>
        <v>0</v>
      </c>
      <c r="BL395" s="17">
        <f t="shared" si="51"/>
        <v>0</v>
      </c>
      <c r="BM395" s="17">
        <f t="shared" si="51"/>
        <v>0</v>
      </c>
      <c r="BN395" s="17">
        <f t="shared" si="51"/>
        <v>0</v>
      </c>
      <c r="BO395" s="17">
        <f t="shared" si="52"/>
        <v>0</v>
      </c>
      <c r="BP395" s="17">
        <f t="shared" si="52"/>
        <v>0</v>
      </c>
      <c r="BQ395" s="17">
        <f t="shared" si="52"/>
        <v>0</v>
      </c>
      <c r="BR395" s="17">
        <f t="shared" si="52"/>
        <v>0</v>
      </c>
      <c r="BS395" s="17">
        <f t="shared" si="52"/>
        <v>0</v>
      </c>
      <c r="BT395" s="17">
        <f t="shared" si="52"/>
        <v>0</v>
      </c>
      <c r="BU395" s="17">
        <f t="shared" si="52"/>
        <v>0</v>
      </c>
      <c r="BV395" s="17">
        <f t="shared" si="52"/>
        <v>0</v>
      </c>
      <c r="BW395" s="17">
        <f t="shared" si="52"/>
        <v>0</v>
      </c>
      <c r="BX395" s="17">
        <f t="shared" si="52"/>
        <v>0</v>
      </c>
      <c r="BY395" s="17">
        <f t="shared" si="53"/>
        <v>0</v>
      </c>
      <c r="BZ395" s="17">
        <f t="shared" si="53"/>
        <v>0</v>
      </c>
      <c r="CA395" s="17">
        <f t="shared" si="53"/>
        <v>0</v>
      </c>
      <c r="CB395" s="17">
        <f t="shared" si="53"/>
        <v>0</v>
      </c>
      <c r="CC395" s="17">
        <f t="shared" si="53"/>
        <v>0</v>
      </c>
      <c r="CD395" s="17">
        <f t="shared" si="53"/>
        <v>0</v>
      </c>
      <c r="CE395" s="17">
        <f t="shared" si="53"/>
        <v>0</v>
      </c>
      <c r="CF395" s="17">
        <f t="shared" si="53"/>
        <v>0</v>
      </c>
      <c r="CG395" s="17">
        <f t="shared" si="53"/>
        <v>0</v>
      </c>
      <c r="CH395" s="17">
        <f t="shared" si="53"/>
        <v>0</v>
      </c>
      <c r="CI395" s="17">
        <f t="shared" si="54"/>
        <v>0</v>
      </c>
      <c r="CJ395" s="17">
        <f t="shared" si="54"/>
        <v>0</v>
      </c>
      <c r="CK395" s="17">
        <f t="shared" si="54"/>
        <v>0</v>
      </c>
      <c r="CL395" s="17">
        <f t="shared" si="54"/>
        <v>0</v>
      </c>
      <c r="CM395" s="17">
        <f t="shared" si="54"/>
        <v>0</v>
      </c>
      <c r="CN395" s="17">
        <f t="shared" si="54"/>
        <v>0</v>
      </c>
      <c r="CO395" s="17">
        <f t="shared" si="54"/>
        <v>0</v>
      </c>
      <c r="CP395" s="17">
        <f t="shared" si="54"/>
        <v>0</v>
      </c>
      <c r="CQ395" s="17">
        <f t="shared" si="54"/>
        <v>0</v>
      </c>
      <c r="CR395" s="17">
        <f t="shared" si="54"/>
        <v>0</v>
      </c>
      <c r="CS395" s="17">
        <f t="shared" si="55"/>
        <v>0</v>
      </c>
      <c r="CT395" s="17">
        <f t="shared" si="55"/>
        <v>0</v>
      </c>
      <c r="CU395" s="17">
        <f t="shared" si="55"/>
        <v>0</v>
      </c>
      <c r="CV395" s="17">
        <f t="shared" si="55"/>
        <v>0</v>
      </c>
      <c r="CW395" s="17">
        <f t="shared" si="55"/>
        <v>0</v>
      </c>
      <c r="CX395" s="17">
        <f t="shared" si="55"/>
        <v>0</v>
      </c>
      <c r="CY395" s="17">
        <f t="shared" si="55"/>
        <v>0</v>
      </c>
      <c r="CZ395" s="17">
        <f t="shared" si="55"/>
        <v>0</v>
      </c>
      <c r="DA395" s="17">
        <f t="shared" si="55"/>
        <v>0</v>
      </c>
      <c r="DB395" s="17">
        <f t="shared" si="55"/>
        <v>0</v>
      </c>
      <c r="DD395" s="14">
        <f t="shared" si="22"/>
        <v>-36</v>
      </c>
      <c r="DF395" s="17">
        <f t="shared" ca="1" si="23"/>
        <v>0</v>
      </c>
      <c r="DG395" s="17">
        <f t="shared" ca="1" si="24"/>
        <v>0</v>
      </c>
      <c r="DH395" s="17">
        <f ca="1">SUM($DF$360:DF395)/$DG$359</f>
        <v>1</v>
      </c>
      <c r="DI395" s="17">
        <f t="shared" ca="1" si="25"/>
        <v>1</v>
      </c>
      <c r="DK395" s="17">
        <v>36</v>
      </c>
      <c r="DP395" s="21"/>
      <c r="DQ395" s="21"/>
      <c r="DR395" s="21"/>
      <c r="DS395" s="21"/>
      <c r="DT395" s="21"/>
      <c r="DU395" s="21"/>
      <c r="DV395" s="21"/>
      <c r="DW395" s="21"/>
      <c r="DX395" s="21"/>
      <c r="DY395" s="21"/>
      <c r="DZ395" s="21"/>
      <c r="EA395" s="21"/>
    </row>
    <row r="396" spans="7:131" s="17" customFormat="1" x14ac:dyDescent="0.25">
      <c r="G396" s="17">
        <f t="shared" ca="1" si="46"/>
        <v>0</v>
      </c>
      <c r="H396" s="17">
        <f t="shared" ca="1" si="46"/>
        <v>0</v>
      </c>
      <c r="I396" s="17">
        <f t="shared" ca="1" si="46"/>
        <v>0</v>
      </c>
      <c r="J396" s="17">
        <f t="shared" ca="1" si="46"/>
        <v>0</v>
      </c>
      <c r="K396" s="17">
        <f t="shared" ca="1" si="46"/>
        <v>0</v>
      </c>
      <c r="L396" s="17">
        <f t="shared" ca="1" si="46"/>
        <v>0</v>
      </c>
      <c r="M396" s="17">
        <f t="shared" ca="1" si="46"/>
        <v>0</v>
      </c>
      <c r="N396" s="17">
        <f t="shared" ca="1" si="46"/>
        <v>0</v>
      </c>
      <c r="O396" s="17">
        <f t="shared" ca="1" si="46"/>
        <v>0</v>
      </c>
      <c r="P396" s="17">
        <f t="shared" ca="1" si="46"/>
        <v>0</v>
      </c>
      <c r="Q396" s="17">
        <f t="shared" ca="1" si="47"/>
        <v>0</v>
      </c>
      <c r="R396" s="17">
        <f t="shared" ca="1" si="47"/>
        <v>0</v>
      </c>
      <c r="S396" s="17">
        <f t="shared" ca="1" si="47"/>
        <v>0</v>
      </c>
      <c r="T396" s="17">
        <f t="shared" si="47"/>
        <v>0</v>
      </c>
      <c r="U396" s="17">
        <f t="shared" si="47"/>
        <v>0</v>
      </c>
      <c r="V396" s="17">
        <f t="shared" si="47"/>
        <v>0</v>
      </c>
      <c r="W396" s="17">
        <f t="shared" si="47"/>
        <v>0</v>
      </c>
      <c r="X396" s="17">
        <f t="shared" si="47"/>
        <v>0</v>
      </c>
      <c r="Y396" s="17">
        <f t="shared" si="47"/>
        <v>0</v>
      </c>
      <c r="Z396" s="17">
        <f t="shared" si="47"/>
        <v>0</v>
      </c>
      <c r="AA396" s="17">
        <f t="shared" si="48"/>
        <v>0</v>
      </c>
      <c r="AB396" s="17">
        <f t="shared" si="48"/>
        <v>0</v>
      </c>
      <c r="AC396" s="17">
        <f t="shared" si="48"/>
        <v>0</v>
      </c>
      <c r="AD396" s="17">
        <f t="shared" si="48"/>
        <v>0</v>
      </c>
      <c r="AE396" s="17">
        <f t="shared" si="48"/>
        <v>0</v>
      </c>
      <c r="AF396" s="17">
        <f t="shared" si="48"/>
        <v>0</v>
      </c>
      <c r="AG396" s="17">
        <f t="shared" si="48"/>
        <v>0</v>
      </c>
      <c r="AH396" s="17">
        <f t="shared" si="48"/>
        <v>0</v>
      </c>
      <c r="AI396" s="17">
        <f t="shared" si="48"/>
        <v>0</v>
      </c>
      <c r="AJ396" s="17">
        <f t="shared" si="48"/>
        <v>0</v>
      </c>
      <c r="AK396" s="17">
        <f t="shared" si="49"/>
        <v>0</v>
      </c>
      <c r="AL396" s="17">
        <f t="shared" si="49"/>
        <v>0</v>
      </c>
      <c r="AM396" s="17">
        <f t="shared" si="49"/>
        <v>0</v>
      </c>
      <c r="AN396" s="17">
        <f t="shared" si="49"/>
        <v>0</v>
      </c>
      <c r="AO396" s="17">
        <f t="shared" si="49"/>
        <v>0</v>
      </c>
      <c r="AP396" s="17">
        <f t="shared" si="49"/>
        <v>0</v>
      </c>
      <c r="AQ396" s="17">
        <f t="shared" si="49"/>
        <v>0</v>
      </c>
      <c r="AR396" s="17">
        <f t="shared" si="49"/>
        <v>0</v>
      </c>
      <c r="AS396" s="17">
        <f t="shared" si="49"/>
        <v>0</v>
      </c>
      <c r="AT396" s="17">
        <f t="shared" si="49"/>
        <v>0</v>
      </c>
      <c r="AU396" s="17">
        <f t="shared" si="50"/>
        <v>0</v>
      </c>
      <c r="AV396" s="17">
        <f t="shared" si="50"/>
        <v>0</v>
      </c>
      <c r="AW396" s="17">
        <f t="shared" si="50"/>
        <v>0</v>
      </c>
      <c r="AX396" s="17">
        <f t="shared" si="50"/>
        <v>0</v>
      </c>
      <c r="AY396" s="17">
        <f t="shared" si="50"/>
        <v>0</v>
      </c>
      <c r="AZ396" s="17">
        <f t="shared" si="50"/>
        <v>0</v>
      </c>
      <c r="BA396" s="17">
        <f t="shared" si="50"/>
        <v>0</v>
      </c>
      <c r="BB396" s="17">
        <f t="shared" si="50"/>
        <v>0</v>
      </c>
      <c r="BC396" s="17">
        <f t="shared" si="50"/>
        <v>0</v>
      </c>
      <c r="BD396" s="17">
        <f t="shared" si="50"/>
        <v>0</v>
      </c>
      <c r="BE396" s="17">
        <f t="shared" si="51"/>
        <v>0</v>
      </c>
      <c r="BF396" s="17">
        <f t="shared" si="51"/>
        <v>0</v>
      </c>
      <c r="BG396" s="17">
        <f t="shared" si="51"/>
        <v>0</v>
      </c>
      <c r="BH396" s="17">
        <f t="shared" si="51"/>
        <v>0</v>
      </c>
      <c r="BI396" s="17">
        <f t="shared" si="51"/>
        <v>0</v>
      </c>
      <c r="BJ396" s="17">
        <f t="shared" si="51"/>
        <v>0</v>
      </c>
      <c r="BK396" s="17">
        <f t="shared" si="51"/>
        <v>0</v>
      </c>
      <c r="BL396" s="17">
        <f t="shared" si="51"/>
        <v>0</v>
      </c>
      <c r="BM396" s="17">
        <f t="shared" si="51"/>
        <v>0</v>
      </c>
      <c r="BN396" s="17">
        <f t="shared" si="51"/>
        <v>0</v>
      </c>
      <c r="BO396" s="17">
        <f t="shared" si="52"/>
        <v>0</v>
      </c>
      <c r="BP396" s="17">
        <f t="shared" si="52"/>
        <v>0</v>
      </c>
      <c r="BQ396" s="17">
        <f t="shared" si="52"/>
        <v>0</v>
      </c>
      <c r="BR396" s="17">
        <f t="shared" si="52"/>
        <v>0</v>
      </c>
      <c r="BS396" s="17">
        <f t="shared" si="52"/>
        <v>0</v>
      </c>
      <c r="BT396" s="17">
        <f t="shared" si="52"/>
        <v>0</v>
      </c>
      <c r="BU396" s="17">
        <f t="shared" si="52"/>
        <v>0</v>
      </c>
      <c r="BV396" s="17">
        <f t="shared" si="52"/>
        <v>0</v>
      </c>
      <c r="BW396" s="17">
        <f t="shared" si="52"/>
        <v>0</v>
      </c>
      <c r="BX396" s="17">
        <f t="shared" si="52"/>
        <v>0</v>
      </c>
      <c r="BY396" s="17">
        <f t="shared" si="53"/>
        <v>0</v>
      </c>
      <c r="BZ396" s="17">
        <f t="shared" si="53"/>
        <v>0</v>
      </c>
      <c r="CA396" s="17">
        <f t="shared" si="53"/>
        <v>0</v>
      </c>
      <c r="CB396" s="17">
        <f t="shared" si="53"/>
        <v>0</v>
      </c>
      <c r="CC396" s="17">
        <f t="shared" si="53"/>
        <v>0</v>
      </c>
      <c r="CD396" s="17">
        <f t="shared" si="53"/>
        <v>0</v>
      </c>
      <c r="CE396" s="17">
        <f t="shared" si="53"/>
        <v>0</v>
      </c>
      <c r="CF396" s="17">
        <f t="shared" si="53"/>
        <v>0</v>
      </c>
      <c r="CG396" s="17">
        <f t="shared" si="53"/>
        <v>0</v>
      </c>
      <c r="CH396" s="17">
        <f t="shared" si="53"/>
        <v>0</v>
      </c>
      <c r="CI396" s="17">
        <f t="shared" si="54"/>
        <v>0</v>
      </c>
      <c r="CJ396" s="17">
        <f t="shared" si="54"/>
        <v>0</v>
      </c>
      <c r="CK396" s="17">
        <f t="shared" si="54"/>
        <v>0</v>
      </c>
      <c r="CL396" s="17">
        <f t="shared" si="54"/>
        <v>0</v>
      </c>
      <c r="CM396" s="17">
        <f t="shared" si="54"/>
        <v>0</v>
      </c>
      <c r="CN396" s="17">
        <f t="shared" si="54"/>
        <v>0</v>
      </c>
      <c r="CO396" s="17">
        <f t="shared" si="54"/>
        <v>0</v>
      </c>
      <c r="CP396" s="17">
        <f t="shared" si="54"/>
        <v>0</v>
      </c>
      <c r="CQ396" s="17">
        <f t="shared" si="54"/>
        <v>0</v>
      </c>
      <c r="CR396" s="17">
        <f t="shared" si="54"/>
        <v>0</v>
      </c>
      <c r="CS396" s="17">
        <f t="shared" si="55"/>
        <v>0</v>
      </c>
      <c r="CT396" s="17">
        <f t="shared" si="55"/>
        <v>0</v>
      </c>
      <c r="CU396" s="17">
        <f t="shared" si="55"/>
        <v>0</v>
      </c>
      <c r="CV396" s="17">
        <f t="shared" si="55"/>
        <v>0</v>
      </c>
      <c r="CW396" s="17">
        <f t="shared" si="55"/>
        <v>0</v>
      </c>
      <c r="CX396" s="17">
        <f t="shared" si="55"/>
        <v>0</v>
      </c>
      <c r="CY396" s="17">
        <f t="shared" si="55"/>
        <v>0</v>
      </c>
      <c r="CZ396" s="17">
        <f t="shared" si="55"/>
        <v>0</v>
      </c>
      <c r="DA396" s="17">
        <f t="shared" si="55"/>
        <v>0</v>
      </c>
      <c r="DB396" s="17">
        <f t="shared" si="55"/>
        <v>0</v>
      </c>
      <c r="DD396" s="14">
        <f t="shared" si="22"/>
        <v>-37</v>
      </c>
      <c r="DF396" s="17">
        <f t="shared" ca="1" si="23"/>
        <v>0</v>
      </c>
      <c r="DG396" s="17">
        <f t="shared" ca="1" si="24"/>
        <v>0</v>
      </c>
      <c r="DH396" s="17">
        <f ca="1">SUM($DF$360:DF396)/$DG$359</f>
        <v>1</v>
      </c>
      <c r="DI396" s="17">
        <f t="shared" ca="1" si="25"/>
        <v>1</v>
      </c>
      <c r="DK396" s="17">
        <v>37</v>
      </c>
      <c r="DP396" s="21"/>
      <c r="DQ396" s="21"/>
      <c r="DR396" s="21"/>
      <c r="DS396" s="21"/>
      <c r="DT396" s="21"/>
      <c r="DU396" s="21"/>
      <c r="DV396" s="21"/>
      <c r="DW396" s="21"/>
      <c r="DX396" s="21"/>
      <c r="DY396" s="21"/>
      <c r="DZ396" s="21"/>
      <c r="EA396" s="21"/>
    </row>
    <row r="397" spans="7:131" s="17" customFormat="1" x14ac:dyDescent="0.25">
      <c r="G397" s="17">
        <f t="shared" ca="1" si="46"/>
        <v>0</v>
      </c>
      <c r="H397" s="17">
        <f t="shared" ca="1" si="46"/>
        <v>0</v>
      </c>
      <c r="I397" s="17">
        <f t="shared" ca="1" si="46"/>
        <v>0</v>
      </c>
      <c r="J397" s="17">
        <f t="shared" ca="1" si="46"/>
        <v>0</v>
      </c>
      <c r="K397" s="17">
        <f t="shared" ca="1" si="46"/>
        <v>0</v>
      </c>
      <c r="L397" s="17">
        <f t="shared" ca="1" si="46"/>
        <v>0</v>
      </c>
      <c r="M397" s="17">
        <f t="shared" ca="1" si="46"/>
        <v>0</v>
      </c>
      <c r="N397" s="17">
        <f t="shared" ca="1" si="46"/>
        <v>0</v>
      </c>
      <c r="O397" s="17">
        <f t="shared" ca="1" si="46"/>
        <v>0</v>
      </c>
      <c r="P397" s="17">
        <f t="shared" ca="1" si="46"/>
        <v>0</v>
      </c>
      <c r="Q397" s="17">
        <f t="shared" ca="1" si="47"/>
        <v>0</v>
      </c>
      <c r="R397" s="17">
        <f t="shared" ca="1" si="47"/>
        <v>0</v>
      </c>
      <c r="S397" s="17">
        <f t="shared" si="47"/>
        <v>0</v>
      </c>
      <c r="T397" s="17">
        <f t="shared" si="47"/>
        <v>0</v>
      </c>
      <c r="U397" s="17">
        <f t="shared" si="47"/>
        <v>0</v>
      </c>
      <c r="V397" s="17">
        <f t="shared" si="47"/>
        <v>0</v>
      </c>
      <c r="W397" s="17">
        <f t="shared" si="47"/>
        <v>0</v>
      </c>
      <c r="X397" s="17">
        <f t="shared" si="47"/>
        <v>0</v>
      </c>
      <c r="Y397" s="17">
        <f t="shared" si="47"/>
        <v>0</v>
      </c>
      <c r="Z397" s="17">
        <f t="shared" si="47"/>
        <v>0</v>
      </c>
      <c r="AA397" s="17">
        <f t="shared" si="48"/>
        <v>0</v>
      </c>
      <c r="AB397" s="17">
        <f t="shared" si="48"/>
        <v>0</v>
      </c>
      <c r="AC397" s="17">
        <f t="shared" si="48"/>
        <v>0</v>
      </c>
      <c r="AD397" s="17">
        <f t="shared" si="48"/>
        <v>0</v>
      </c>
      <c r="AE397" s="17">
        <f t="shared" si="48"/>
        <v>0</v>
      </c>
      <c r="AF397" s="17">
        <f t="shared" si="48"/>
        <v>0</v>
      </c>
      <c r="AG397" s="17">
        <f t="shared" si="48"/>
        <v>0</v>
      </c>
      <c r="AH397" s="17">
        <f t="shared" si="48"/>
        <v>0</v>
      </c>
      <c r="AI397" s="17">
        <f t="shared" si="48"/>
        <v>0</v>
      </c>
      <c r="AJ397" s="17">
        <f t="shared" si="48"/>
        <v>0</v>
      </c>
      <c r="AK397" s="17">
        <f t="shared" si="49"/>
        <v>0</v>
      </c>
      <c r="AL397" s="17">
        <f t="shared" si="49"/>
        <v>0</v>
      </c>
      <c r="AM397" s="17">
        <f t="shared" si="49"/>
        <v>0</v>
      </c>
      <c r="AN397" s="17">
        <f t="shared" si="49"/>
        <v>0</v>
      </c>
      <c r="AO397" s="17">
        <f t="shared" si="49"/>
        <v>0</v>
      </c>
      <c r="AP397" s="17">
        <f t="shared" si="49"/>
        <v>0</v>
      </c>
      <c r="AQ397" s="17">
        <f t="shared" si="49"/>
        <v>0</v>
      </c>
      <c r="AR397" s="17">
        <f t="shared" si="49"/>
        <v>0</v>
      </c>
      <c r="AS397" s="17">
        <f t="shared" si="49"/>
        <v>0</v>
      </c>
      <c r="AT397" s="17">
        <f t="shared" si="49"/>
        <v>0</v>
      </c>
      <c r="AU397" s="17">
        <f t="shared" si="50"/>
        <v>0</v>
      </c>
      <c r="AV397" s="17">
        <f t="shared" si="50"/>
        <v>0</v>
      </c>
      <c r="AW397" s="17">
        <f t="shared" si="50"/>
        <v>0</v>
      </c>
      <c r="AX397" s="17">
        <f t="shared" si="50"/>
        <v>0</v>
      </c>
      <c r="AY397" s="17">
        <f t="shared" si="50"/>
        <v>0</v>
      </c>
      <c r="AZ397" s="17">
        <f t="shared" si="50"/>
        <v>0</v>
      </c>
      <c r="BA397" s="17">
        <f t="shared" si="50"/>
        <v>0</v>
      </c>
      <c r="BB397" s="17">
        <f t="shared" si="50"/>
        <v>0</v>
      </c>
      <c r="BC397" s="17">
        <f t="shared" si="50"/>
        <v>0</v>
      </c>
      <c r="BD397" s="17">
        <f t="shared" si="50"/>
        <v>0</v>
      </c>
      <c r="BE397" s="17">
        <f t="shared" si="51"/>
        <v>0</v>
      </c>
      <c r="BF397" s="17">
        <f t="shared" si="51"/>
        <v>0</v>
      </c>
      <c r="BG397" s="17">
        <f t="shared" si="51"/>
        <v>0</v>
      </c>
      <c r="BH397" s="17">
        <f t="shared" si="51"/>
        <v>0</v>
      </c>
      <c r="BI397" s="17">
        <f t="shared" si="51"/>
        <v>0</v>
      </c>
      <c r="BJ397" s="17">
        <f t="shared" si="51"/>
        <v>0</v>
      </c>
      <c r="BK397" s="17">
        <f t="shared" si="51"/>
        <v>0</v>
      </c>
      <c r="BL397" s="17">
        <f t="shared" si="51"/>
        <v>0</v>
      </c>
      <c r="BM397" s="17">
        <f t="shared" si="51"/>
        <v>0</v>
      </c>
      <c r="BN397" s="17">
        <f t="shared" si="51"/>
        <v>0</v>
      </c>
      <c r="BO397" s="17">
        <f t="shared" si="52"/>
        <v>0</v>
      </c>
      <c r="BP397" s="17">
        <f t="shared" si="52"/>
        <v>0</v>
      </c>
      <c r="BQ397" s="17">
        <f t="shared" si="52"/>
        <v>0</v>
      </c>
      <c r="BR397" s="17">
        <f t="shared" si="52"/>
        <v>0</v>
      </c>
      <c r="BS397" s="17">
        <f t="shared" si="52"/>
        <v>0</v>
      </c>
      <c r="BT397" s="17">
        <f t="shared" si="52"/>
        <v>0</v>
      </c>
      <c r="BU397" s="17">
        <f t="shared" si="52"/>
        <v>0</v>
      </c>
      <c r="BV397" s="17">
        <f t="shared" si="52"/>
        <v>0</v>
      </c>
      <c r="BW397" s="17">
        <f t="shared" si="52"/>
        <v>0</v>
      </c>
      <c r="BX397" s="17">
        <f t="shared" si="52"/>
        <v>0</v>
      </c>
      <c r="BY397" s="17">
        <f t="shared" si="53"/>
        <v>0</v>
      </c>
      <c r="BZ397" s="17">
        <f t="shared" si="53"/>
        <v>0</v>
      </c>
      <c r="CA397" s="17">
        <f t="shared" si="53"/>
        <v>0</v>
      </c>
      <c r="CB397" s="17">
        <f t="shared" si="53"/>
        <v>0</v>
      </c>
      <c r="CC397" s="17">
        <f t="shared" si="53"/>
        <v>0</v>
      </c>
      <c r="CD397" s="17">
        <f t="shared" si="53"/>
        <v>0</v>
      </c>
      <c r="CE397" s="17">
        <f t="shared" si="53"/>
        <v>0</v>
      </c>
      <c r="CF397" s="17">
        <f t="shared" si="53"/>
        <v>0</v>
      </c>
      <c r="CG397" s="17">
        <f t="shared" si="53"/>
        <v>0</v>
      </c>
      <c r="CH397" s="17">
        <f t="shared" si="53"/>
        <v>0</v>
      </c>
      <c r="CI397" s="17">
        <f t="shared" si="54"/>
        <v>0</v>
      </c>
      <c r="CJ397" s="17">
        <f t="shared" si="54"/>
        <v>0</v>
      </c>
      <c r="CK397" s="17">
        <f t="shared" si="54"/>
        <v>0</v>
      </c>
      <c r="CL397" s="17">
        <f t="shared" si="54"/>
        <v>0</v>
      </c>
      <c r="CM397" s="17">
        <f t="shared" si="54"/>
        <v>0</v>
      </c>
      <c r="CN397" s="17">
        <f t="shared" si="54"/>
        <v>0</v>
      </c>
      <c r="CO397" s="17">
        <f t="shared" si="54"/>
        <v>0</v>
      </c>
      <c r="CP397" s="17">
        <f t="shared" si="54"/>
        <v>0</v>
      </c>
      <c r="CQ397" s="17">
        <f t="shared" si="54"/>
        <v>0</v>
      </c>
      <c r="CR397" s="17">
        <f t="shared" si="54"/>
        <v>0</v>
      </c>
      <c r="CS397" s="17">
        <f t="shared" si="55"/>
        <v>0</v>
      </c>
      <c r="CT397" s="17">
        <f t="shared" si="55"/>
        <v>0</v>
      </c>
      <c r="CU397" s="17">
        <f t="shared" si="55"/>
        <v>0</v>
      </c>
      <c r="CV397" s="17">
        <f t="shared" si="55"/>
        <v>0</v>
      </c>
      <c r="CW397" s="17">
        <f t="shared" si="55"/>
        <v>0</v>
      </c>
      <c r="CX397" s="17">
        <f t="shared" si="55"/>
        <v>0</v>
      </c>
      <c r="CY397" s="17">
        <f t="shared" si="55"/>
        <v>0</v>
      </c>
      <c r="CZ397" s="17">
        <f t="shared" si="55"/>
        <v>0</v>
      </c>
      <c r="DA397" s="17">
        <f t="shared" si="55"/>
        <v>0</v>
      </c>
      <c r="DB397" s="17">
        <f t="shared" si="55"/>
        <v>0</v>
      </c>
      <c r="DD397" s="14">
        <f t="shared" si="22"/>
        <v>-38</v>
      </c>
      <c r="DF397" s="17">
        <f t="shared" ca="1" si="23"/>
        <v>0</v>
      </c>
      <c r="DG397" s="17">
        <f t="shared" ca="1" si="24"/>
        <v>0</v>
      </c>
      <c r="DH397" s="17">
        <f ca="1">SUM($DF$360:DF397)/$DG$359</f>
        <v>1</v>
      </c>
      <c r="DI397" s="17">
        <f t="shared" ca="1" si="25"/>
        <v>1</v>
      </c>
      <c r="DK397" s="17">
        <v>38</v>
      </c>
      <c r="DP397" s="21"/>
      <c r="DQ397" s="21"/>
      <c r="DR397" s="21"/>
      <c r="DS397" s="21"/>
      <c r="DT397" s="21"/>
      <c r="DU397" s="21"/>
      <c r="DV397" s="21"/>
      <c r="DW397" s="21"/>
      <c r="DX397" s="21"/>
      <c r="DY397" s="21"/>
      <c r="DZ397" s="21"/>
      <c r="EA397" s="21"/>
    </row>
    <row r="398" spans="7:131" s="17" customFormat="1" x14ac:dyDescent="0.25">
      <c r="G398" s="17">
        <f t="shared" ca="1" si="46"/>
        <v>0</v>
      </c>
      <c r="H398" s="17">
        <f t="shared" ca="1" si="46"/>
        <v>0</v>
      </c>
      <c r="I398" s="17">
        <f t="shared" ca="1" si="46"/>
        <v>0</v>
      </c>
      <c r="J398" s="17">
        <f t="shared" ca="1" si="46"/>
        <v>0</v>
      </c>
      <c r="K398" s="17">
        <f t="shared" ca="1" si="46"/>
        <v>0</v>
      </c>
      <c r="L398" s="17">
        <f t="shared" ca="1" si="46"/>
        <v>0</v>
      </c>
      <c r="M398" s="17">
        <f t="shared" ca="1" si="46"/>
        <v>0</v>
      </c>
      <c r="N398" s="17">
        <f t="shared" ca="1" si="46"/>
        <v>0</v>
      </c>
      <c r="O398" s="17">
        <f t="shared" ca="1" si="46"/>
        <v>0</v>
      </c>
      <c r="P398" s="17">
        <f t="shared" ca="1" si="46"/>
        <v>0</v>
      </c>
      <c r="Q398" s="17">
        <f t="shared" ca="1" si="47"/>
        <v>0</v>
      </c>
      <c r="R398" s="17">
        <f t="shared" si="47"/>
        <v>0</v>
      </c>
      <c r="S398" s="17">
        <f t="shared" si="47"/>
        <v>0</v>
      </c>
      <c r="T398" s="17">
        <f t="shared" si="47"/>
        <v>0</v>
      </c>
      <c r="U398" s="17">
        <f t="shared" si="47"/>
        <v>0</v>
      </c>
      <c r="V398" s="17">
        <f t="shared" si="47"/>
        <v>0</v>
      </c>
      <c r="W398" s="17">
        <f t="shared" si="47"/>
        <v>0</v>
      </c>
      <c r="X398" s="17">
        <f t="shared" si="47"/>
        <v>0</v>
      </c>
      <c r="Y398" s="17">
        <f t="shared" si="47"/>
        <v>0</v>
      </c>
      <c r="Z398" s="17">
        <f t="shared" si="47"/>
        <v>0</v>
      </c>
      <c r="AA398" s="17">
        <f t="shared" si="48"/>
        <v>0</v>
      </c>
      <c r="AB398" s="17">
        <f t="shared" si="48"/>
        <v>0</v>
      </c>
      <c r="AC398" s="17">
        <f t="shared" si="48"/>
        <v>0</v>
      </c>
      <c r="AD398" s="17">
        <f t="shared" si="48"/>
        <v>0</v>
      </c>
      <c r="AE398" s="17">
        <f t="shared" si="48"/>
        <v>0</v>
      </c>
      <c r="AF398" s="17">
        <f t="shared" si="48"/>
        <v>0</v>
      </c>
      <c r="AG398" s="17">
        <f t="shared" si="48"/>
        <v>0</v>
      </c>
      <c r="AH398" s="17">
        <f t="shared" si="48"/>
        <v>0</v>
      </c>
      <c r="AI398" s="17">
        <f t="shared" si="48"/>
        <v>0</v>
      </c>
      <c r="AJ398" s="17">
        <f t="shared" si="48"/>
        <v>0</v>
      </c>
      <c r="AK398" s="17">
        <f t="shared" si="49"/>
        <v>0</v>
      </c>
      <c r="AL398" s="17">
        <f t="shared" si="49"/>
        <v>0</v>
      </c>
      <c r="AM398" s="17">
        <f t="shared" si="49"/>
        <v>0</v>
      </c>
      <c r="AN398" s="17">
        <f t="shared" si="49"/>
        <v>0</v>
      </c>
      <c r="AO398" s="17">
        <f t="shared" si="49"/>
        <v>0</v>
      </c>
      <c r="AP398" s="17">
        <f t="shared" si="49"/>
        <v>0</v>
      </c>
      <c r="AQ398" s="17">
        <f t="shared" si="49"/>
        <v>0</v>
      </c>
      <c r="AR398" s="17">
        <f t="shared" si="49"/>
        <v>0</v>
      </c>
      <c r="AS398" s="17">
        <f t="shared" si="49"/>
        <v>0</v>
      </c>
      <c r="AT398" s="17">
        <f t="shared" si="49"/>
        <v>0</v>
      </c>
      <c r="AU398" s="17">
        <f t="shared" si="50"/>
        <v>0</v>
      </c>
      <c r="AV398" s="17">
        <f t="shared" si="50"/>
        <v>0</v>
      </c>
      <c r="AW398" s="17">
        <f t="shared" si="50"/>
        <v>0</v>
      </c>
      <c r="AX398" s="17">
        <f t="shared" si="50"/>
        <v>0</v>
      </c>
      <c r="AY398" s="17">
        <f t="shared" si="50"/>
        <v>0</v>
      </c>
      <c r="AZ398" s="17">
        <f t="shared" si="50"/>
        <v>0</v>
      </c>
      <c r="BA398" s="17">
        <f t="shared" si="50"/>
        <v>0</v>
      </c>
      <c r="BB398" s="17">
        <f t="shared" si="50"/>
        <v>0</v>
      </c>
      <c r="BC398" s="17">
        <f t="shared" si="50"/>
        <v>0</v>
      </c>
      <c r="BD398" s="17">
        <f t="shared" si="50"/>
        <v>0</v>
      </c>
      <c r="BE398" s="17">
        <f t="shared" si="51"/>
        <v>0</v>
      </c>
      <c r="BF398" s="17">
        <f t="shared" si="51"/>
        <v>0</v>
      </c>
      <c r="BG398" s="17">
        <f t="shared" si="51"/>
        <v>0</v>
      </c>
      <c r="BH398" s="17">
        <f t="shared" si="51"/>
        <v>0</v>
      </c>
      <c r="BI398" s="17">
        <f t="shared" si="51"/>
        <v>0</v>
      </c>
      <c r="BJ398" s="17">
        <f t="shared" si="51"/>
        <v>0</v>
      </c>
      <c r="BK398" s="17">
        <f t="shared" si="51"/>
        <v>0</v>
      </c>
      <c r="BL398" s="17">
        <f t="shared" si="51"/>
        <v>0</v>
      </c>
      <c r="BM398" s="17">
        <f t="shared" si="51"/>
        <v>0</v>
      </c>
      <c r="BN398" s="17">
        <f t="shared" si="51"/>
        <v>0</v>
      </c>
      <c r="BO398" s="17">
        <f t="shared" si="52"/>
        <v>0</v>
      </c>
      <c r="BP398" s="17">
        <f t="shared" si="52"/>
        <v>0</v>
      </c>
      <c r="BQ398" s="17">
        <f t="shared" si="52"/>
        <v>0</v>
      </c>
      <c r="BR398" s="17">
        <f t="shared" si="52"/>
        <v>0</v>
      </c>
      <c r="BS398" s="17">
        <f t="shared" si="52"/>
        <v>0</v>
      </c>
      <c r="BT398" s="17">
        <f t="shared" si="52"/>
        <v>0</v>
      </c>
      <c r="BU398" s="17">
        <f t="shared" si="52"/>
        <v>0</v>
      </c>
      <c r="BV398" s="17">
        <f t="shared" si="52"/>
        <v>0</v>
      </c>
      <c r="BW398" s="17">
        <f t="shared" si="52"/>
        <v>0</v>
      </c>
      <c r="BX398" s="17">
        <f t="shared" si="52"/>
        <v>0</v>
      </c>
      <c r="BY398" s="17">
        <f t="shared" si="53"/>
        <v>0</v>
      </c>
      <c r="BZ398" s="17">
        <f t="shared" si="53"/>
        <v>0</v>
      </c>
      <c r="CA398" s="17">
        <f t="shared" si="53"/>
        <v>0</v>
      </c>
      <c r="CB398" s="17">
        <f t="shared" si="53"/>
        <v>0</v>
      </c>
      <c r="CC398" s="17">
        <f t="shared" si="53"/>
        <v>0</v>
      </c>
      <c r="CD398" s="17">
        <f t="shared" si="53"/>
        <v>0</v>
      </c>
      <c r="CE398" s="17">
        <f t="shared" si="53"/>
        <v>0</v>
      </c>
      <c r="CF398" s="17">
        <f t="shared" si="53"/>
        <v>0</v>
      </c>
      <c r="CG398" s="17">
        <f t="shared" si="53"/>
        <v>0</v>
      </c>
      <c r="CH398" s="17">
        <f t="shared" si="53"/>
        <v>0</v>
      </c>
      <c r="CI398" s="17">
        <f t="shared" si="54"/>
        <v>0</v>
      </c>
      <c r="CJ398" s="17">
        <f t="shared" si="54"/>
        <v>0</v>
      </c>
      <c r="CK398" s="17">
        <f t="shared" si="54"/>
        <v>0</v>
      </c>
      <c r="CL398" s="17">
        <f t="shared" si="54"/>
        <v>0</v>
      </c>
      <c r="CM398" s="17">
        <f t="shared" si="54"/>
        <v>0</v>
      </c>
      <c r="CN398" s="17">
        <f t="shared" si="54"/>
        <v>0</v>
      </c>
      <c r="CO398" s="17">
        <f t="shared" si="54"/>
        <v>0</v>
      </c>
      <c r="CP398" s="17">
        <f t="shared" si="54"/>
        <v>0</v>
      </c>
      <c r="CQ398" s="17">
        <f t="shared" si="54"/>
        <v>0</v>
      </c>
      <c r="CR398" s="17">
        <f t="shared" si="54"/>
        <v>0</v>
      </c>
      <c r="CS398" s="17">
        <f t="shared" si="55"/>
        <v>0</v>
      </c>
      <c r="CT398" s="17">
        <f t="shared" si="55"/>
        <v>0</v>
      </c>
      <c r="CU398" s="17">
        <f t="shared" si="55"/>
        <v>0</v>
      </c>
      <c r="CV398" s="17">
        <f t="shared" si="55"/>
        <v>0</v>
      </c>
      <c r="CW398" s="17">
        <f t="shared" si="55"/>
        <v>0</v>
      </c>
      <c r="CX398" s="17">
        <f t="shared" si="55"/>
        <v>0</v>
      </c>
      <c r="CY398" s="17">
        <f t="shared" si="55"/>
        <v>0</v>
      </c>
      <c r="CZ398" s="17">
        <f t="shared" si="55"/>
        <v>0</v>
      </c>
      <c r="DA398" s="17">
        <f t="shared" si="55"/>
        <v>0</v>
      </c>
      <c r="DB398" s="17">
        <f t="shared" si="55"/>
        <v>0</v>
      </c>
      <c r="DD398" s="14">
        <f t="shared" si="22"/>
        <v>-39</v>
      </c>
      <c r="DF398" s="17">
        <f t="shared" ca="1" si="23"/>
        <v>0</v>
      </c>
      <c r="DG398" s="17">
        <f t="shared" ca="1" si="24"/>
        <v>0</v>
      </c>
      <c r="DH398" s="17">
        <f ca="1">SUM($DF$360:DF398)/$DG$359</f>
        <v>1</v>
      </c>
      <c r="DI398" s="17">
        <f t="shared" ca="1" si="25"/>
        <v>1</v>
      </c>
      <c r="DK398" s="17">
        <v>39</v>
      </c>
      <c r="DP398" s="21"/>
      <c r="DQ398" s="21"/>
      <c r="DR398" s="21"/>
      <c r="DS398" s="21"/>
      <c r="DT398" s="21"/>
      <c r="DU398" s="21"/>
      <c r="DV398" s="21"/>
      <c r="DW398" s="21"/>
      <c r="DX398" s="21"/>
      <c r="DY398" s="21"/>
      <c r="DZ398" s="21"/>
      <c r="EA398" s="21"/>
    </row>
    <row r="399" spans="7:131" s="17" customFormat="1" x14ac:dyDescent="0.25">
      <c r="DD399" s="14"/>
    </row>
    <row r="400" spans="7:131" s="17" customFormat="1" x14ac:dyDescent="0.25">
      <c r="DD400" s="14"/>
    </row>
    <row r="401" spans="108:108" s="17" customFormat="1" x14ac:dyDescent="0.25">
      <c r="DD401" s="14"/>
    </row>
    <row r="402" spans="108:108" s="17" customFormat="1" x14ac:dyDescent="0.25">
      <c r="DD402" s="14"/>
    </row>
    <row r="403" spans="108:108" s="17" customFormat="1" x14ac:dyDescent="0.25">
      <c r="DD403" s="14"/>
    </row>
    <row r="404" spans="108:108" s="17" customFormat="1" x14ac:dyDescent="0.25">
      <c r="DD404" s="14"/>
    </row>
    <row r="405" spans="108:108" s="17" customFormat="1" x14ac:dyDescent="0.25">
      <c r="DD405" s="14"/>
    </row>
    <row r="406" spans="108:108" s="17" customFormat="1" x14ac:dyDescent="0.25">
      <c r="DD406" s="14"/>
    </row>
    <row r="407" spans="108:108" s="17" customFormat="1" x14ac:dyDescent="0.25">
      <c r="DD407" s="14"/>
    </row>
    <row r="408" spans="108:108" s="17" customFormat="1" x14ac:dyDescent="0.25">
      <c r="DD408" s="14"/>
    </row>
    <row r="409" spans="108:108" s="17" customFormat="1" x14ac:dyDescent="0.25">
      <c r="DD409" s="14"/>
    </row>
    <row r="410" spans="108:108" s="17" customFormat="1" x14ac:dyDescent="0.25">
      <c r="DD410" s="14"/>
    </row>
    <row r="411" spans="108:108" s="17" customFormat="1" x14ac:dyDescent="0.25">
      <c r="DD411" s="14"/>
    </row>
    <row r="412" spans="108:108" s="17" customFormat="1" x14ac:dyDescent="0.25">
      <c r="DD412" s="14"/>
    </row>
    <row r="413" spans="108:108" s="17" customFormat="1" x14ac:dyDescent="0.25">
      <c r="DD413" s="14"/>
    </row>
    <row r="414" spans="108:108" s="17" customFormat="1" x14ac:dyDescent="0.25">
      <c r="DD414" s="14"/>
    </row>
    <row r="415" spans="108:108" s="17" customFormat="1" x14ac:dyDescent="0.25">
      <c r="DD415" s="14"/>
    </row>
    <row r="416" spans="108:108" s="17" customFormat="1" x14ac:dyDescent="0.25">
      <c r="DD416" s="14"/>
    </row>
    <row r="417" spans="108:108" s="17" customFormat="1" x14ac:dyDescent="0.25">
      <c r="DD417" s="14"/>
    </row>
    <row r="418" spans="108:108" s="17" customFormat="1" x14ac:dyDescent="0.25">
      <c r="DD418" s="14"/>
    </row>
    <row r="419" spans="108:108" s="17" customFormat="1" x14ac:dyDescent="0.25">
      <c r="DD419" s="14"/>
    </row>
    <row r="420" spans="108:108" s="17" customFormat="1" x14ac:dyDescent="0.25">
      <c r="DD420" s="14"/>
    </row>
    <row r="421" spans="108:108" s="17" customFormat="1" x14ac:dyDescent="0.25">
      <c r="DD421" s="14"/>
    </row>
    <row r="422" spans="108:108" s="17" customFormat="1" x14ac:dyDescent="0.25">
      <c r="DD422" s="14"/>
    </row>
    <row r="423" spans="108:108" s="17" customFormat="1" x14ac:dyDescent="0.25">
      <c r="DD423" s="14"/>
    </row>
    <row r="424" spans="108:108" s="17" customFormat="1" x14ac:dyDescent="0.25">
      <c r="DD424" s="14"/>
    </row>
    <row r="425" spans="108:108" s="17" customFormat="1" x14ac:dyDescent="0.25">
      <c r="DD425" s="14"/>
    </row>
    <row r="426" spans="108:108" s="17" customFormat="1" x14ac:dyDescent="0.25">
      <c r="DD426" s="14"/>
    </row>
    <row r="427" spans="108:108" s="17" customFormat="1" x14ac:dyDescent="0.25">
      <c r="DD427" s="14"/>
    </row>
    <row r="428" spans="108:108" s="17" customFormat="1" x14ac:dyDescent="0.25">
      <c r="DD428" s="14"/>
    </row>
    <row r="429" spans="108:108" s="17" customFormat="1" x14ac:dyDescent="0.25">
      <c r="DD429" s="14"/>
    </row>
    <row r="430" spans="108:108" s="17" customFormat="1" x14ac:dyDescent="0.25">
      <c r="DD430" s="14"/>
    </row>
    <row r="431" spans="108:108" s="17" customFormat="1" x14ac:dyDescent="0.25">
      <c r="DD431" s="14"/>
    </row>
    <row r="432" spans="108:108" s="17" customFormat="1" x14ac:dyDescent="0.25">
      <c r="DD432" s="14"/>
    </row>
    <row r="433" spans="108:108" s="17" customFormat="1" x14ac:dyDescent="0.25">
      <c r="DD433" s="14"/>
    </row>
    <row r="434" spans="108:108" s="17" customFormat="1" x14ac:dyDescent="0.25">
      <c r="DD434" s="14"/>
    </row>
    <row r="435" spans="108:108" s="17" customFormat="1" x14ac:dyDescent="0.25">
      <c r="DD435" s="14"/>
    </row>
    <row r="436" spans="108:108" s="17" customFormat="1" x14ac:dyDescent="0.25">
      <c r="DD436" s="14"/>
    </row>
    <row r="437" spans="108:108" s="17" customFormat="1" x14ac:dyDescent="0.25">
      <c r="DD437" s="14"/>
    </row>
    <row r="438" spans="108:108" s="17" customFormat="1" x14ac:dyDescent="0.25">
      <c r="DD438" s="14"/>
    </row>
    <row r="439" spans="108:108" s="17" customFormat="1" x14ac:dyDescent="0.25">
      <c r="DD439" s="14"/>
    </row>
    <row r="440" spans="108:108" s="17" customFormat="1" x14ac:dyDescent="0.25">
      <c r="DD440" s="14"/>
    </row>
    <row r="441" spans="108:108" s="17" customFormat="1" x14ac:dyDescent="0.25">
      <c r="DD441" s="14"/>
    </row>
    <row r="442" spans="108:108" s="17" customFormat="1" x14ac:dyDescent="0.25">
      <c r="DD442" s="14"/>
    </row>
    <row r="443" spans="108:108" s="17" customFormat="1" x14ac:dyDescent="0.25">
      <c r="DD443" s="14"/>
    </row>
    <row r="444" spans="108:108" s="17" customFormat="1" x14ac:dyDescent="0.25">
      <c r="DD444" s="14"/>
    </row>
    <row r="445" spans="108:108" s="17" customFormat="1" x14ac:dyDescent="0.25">
      <c r="DD445" s="14"/>
    </row>
    <row r="446" spans="108:108" s="17" customFormat="1" x14ac:dyDescent="0.25">
      <c r="DD446" s="14"/>
    </row>
    <row r="447" spans="108:108" s="17" customFormat="1" x14ac:dyDescent="0.25">
      <c r="DD447" s="14"/>
    </row>
    <row r="448" spans="108:108" s="17" customFormat="1" x14ac:dyDescent="0.25">
      <c r="DD448" s="14"/>
    </row>
    <row r="449" spans="108:108" s="17" customFormat="1" x14ac:dyDescent="0.25">
      <c r="DD449" s="14"/>
    </row>
    <row r="450" spans="108:108" s="17" customFormat="1" x14ac:dyDescent="0.25">
      <c r="DD450" s="14"/>
    </row>
    <row r="451" spans="108:108" s="17" customFormat="1" x14ac:dyDescent="0.25">
      <c r="DD451" s="14"/>
    </row>
    <row r="452" spans="108:108" s="17" customFormat="1" x14ac:dyDescent="0.25">
      <c r="DD452" s="14"/>
    </row>
    <row r="453" spans="108:108" s="17" customFormat="1" x14ac:dyDescent="0.25">
      <c r="DD453" s="14"/>
    </row>
    <row r="454" spans="108:108" s="17" customFormat="1" x14ac:dyDescent="0.25">
      <c r="DD454" s="14"/>
    </row>
    <row r="455" spans="108:108" s="17" customFormat="1" x14ac:dyDescent="0.25">
      <c r="DD455" s="14"/>
    </row>
    <row r="456" spans="108:108" s="17" customFormat="1" x14ac:dyDescent="0.25">
      <c r="DD456" s="14"/>
    </row>
    <row r="457" spans="108:108" s="17" customFormat="1" x14ac:dyDescent="0.25">
      <c r="DD457" s="14"/>
    </row>
    <row r="458" spans="108:108" s="17" customFormat="1" x14ac:dyDescent="0.25">
      <c r="DD458" s="14"/>
    </row>
    <row r="459" spans="108:108" s="17" customFormat="1" x14ac:dyDescent="0.25">
      <c r="DD459" s="14"/>
    </row>
    <row r="460" spans="108:108" s="17" customFormat="1" x14ac:dyDescent="0.25">
      <c r="DD460" s="14"/>
    </row>
    <row r="461" spans="108:108" s="17" customFormat="1" x14ac:dyDescent="0.25">
      <c r="DD461" s="14"/>
    </row>
    <row r="462" spans="108:108" s="17" customFormat="1" x14ac:dyDescent="0.25">
      <c r="DD462" s="14"/>
    </row>
    <row r="463" spans="108:108" s="17" customFormat="1" x14ac:dyDescent="0.25">
      <c r="DD463" s="14"/>
    </row>
    <row r="464" spans="108:108" s="17" customFormat="1" x14ac:dyDescent="0.25">
      <c r="DD464" s="14"/>
    </row>
    <row r="465" spans="108:108" s="17" customFormat="1" x14ac:dyDescent="0.25">
      <c r="DD465" s="14"/>
    </row>
    <row r="466" spans="108:108" s="17" customFormat="1" x14ac:dyDescent="0.25">
      <c r="DD466" s="14"/>
    </row>
    <row r="467" spans="108:108" s="17" customFormat="1" x14ac:dyDescent="0.25">
      <c r="DD467" s="14"/>
    </row>
    <row r="468" spans="108:108" s="17" customFormat="1" x14ac:dyDescent="0.25">
      <c r="DD468" s="14"/>
    </row>
    <row r="469" spans="108:108" s="17" customFormat="1" x14ac:dyDescent="0.25">
      <c r="DD469" s="14"/>
    </row>
    <row r="470" spans="108:108" s="17" customFormat="1" x14ac:dyDescent="0.25">
      <c r="DD470" s="14"/>
    </row>
    <row r="471" spans="108:108" s="17" customFormat="1" x14ac:dyDescent="0.25">
      <c r="DD471" s="14"/>
    </row>
    <row r="472" spans="108:108" s="17" customFormat="1" x14ac:dyDescent="0.25">
      <c r="DD472" s="14"/>
    </row>
    <row r="473" spans="108:108" s="17" customFormat="1" x14ac:dyDescent="0.25">
      <c r="DD473" s="14"/>
    </row>
    <row r="474" spans="108:108" s="17" customFormat="1" x14ac:dyDescent="0.25">
      <c r="DD474" s="14"/>
    </row>
    <row r="475" spans="108:108" s="17" customFormat="1" x14ac:dyDescent="0.25">
      <c r="DD475" s="14"/>
    </row>
    <row r="476" spans="108:108" s="17" customFormat="1" x14ac:dyDescent="0.25">
      <c r="DD476" s="14"/>
    </row>
    <row r="477" spans="108:108" s="17" customFormat="1" x14ac:dyDescent="0.25">
      <c r="DD477" s="14"/>
    </row>
    <row r="478" spans="108:108" s="17" customFormat="1" x14ac:dyDescent="0.25">
      <c r="DD478" s="14"/>
    </row>
    <row r="479" spans="108:108" s="17" customFormat="1" x14ac:dyDescent="0.25">
      <c r="DD479" s="14"/>
    </row>
    <row r="480" spans="108:108" s="17" customFormat="1" x14ac:dyDescent="0.25">
      <c r="DD480" s="14"/>
    </row>
    <row r="481" spans="108:108" s="17" customFormat="1" x14ac:dyDescent="0.25">
      <c r="DD481" s="14"/>
    </row>
    <row r="482" spans="108:108" s="17" customFormat="1" x14ac:dyDescent="0.25">
      <c r="DD482" s="14"/>
    </row>
    <row r="483" spans="108:108" s="17" customFormat="1" x14ac:dyDescent="0.25">
      <c r="DD483" s="14"/>
    </row>
    <row r="484" spans="108:108" s="17" customFormat="1" x14ac:dyDescent="0.25">
      <c r="DD484" s="14"/>
    </row>
    <row r="485" spans="108:108" s="17" customFormat="1" x14ac:dyDescent="0.25">
      <c r="DD485" s="14"/>
    </row>
    <row r="486" spans="108:108" s="17" customFormat="1" x14ac:dyDescent="0.25">
      <c r="DD486" s="14"/>
    </row>
    <row r="487" spans="108:108" s="17" customFormat="1" x14ac:dyDescent="0.25">
      <c r="DD487" s="14"/>
    </row>
    <row r="488" spans="108:108" s="17" customFormat="1" x14ac:dyDescent="0.25">
      <c r="DD488" s="14"/>
    </row>
    <row r="489" spans="108:108" s="17" customFormat="1" x14ac:dyDescent="0.25">
      <c r="DD489" s="14"/>
    </row>
    <row r="490" spans="108:108" s="17" customFormat="1" x14ac:dyDescent="0.25">
      <c r="DD490" s="14"/>
    </row>
    <row r="491" spans="108:108" s="17" customFormat="1" x14ac:dyDescent="0.25">
      <c r="DD491" s="14"/>
    </row>
    <row r="492" spans="108:108" s="17" customFormat="1" x14ac:dyDescent="0.25">
      <c r="DD492" s="14"/>
    </row>
    <row r="493" spans="108:108" s="17" customFormat="1" x14ac:dyDescent="0.25">
      <c r="DD493" s="14"/>
    </row>
    <row r="494" spans="108:108" s="17" customFormat="1" x14ac:dyDescent="0.25">
      <c r="DD494" s="14"/>
    </row>
    <row r="495" spans="108:108" s="17" customFormat="1" x14ac:dyDescent="0.25">
      <c r="DD495" s="14"/>
    </row>
    <row r="496" spans="108:108" s="17" customFormat="1" x14ac:dyDescent="0.25">
      <c r="DD496" s="14"/>
    </row>
    <row r="497" spans="108:108" s="17" customFormat="1" x14ac:dyDescent="0.25">
      <c r="DD497" s="14"/>
    </row>
    <row r="498" spans="108:108" s="17" customFormat="1" x14ac:dyDescent="0.25">
      <c r="DD498" s="14"/>
    </row>
    <row r="499" spans="108:108" s="17" customFormat="1" x14ac:dyDescent="0.25">
      <c r="DD499" s="14"/>
    </row>
    <row r="500" spans="108:108" s="17" customFormat="1" x14ac:dyDescent="0.25">
      <c r="DD500" s="14"/>
    </row>
    <row r="501" spans="108:108" s="17" customFormat="1" x14ac:dyDescent="0.25">
      <c r="DD501" s="14"/>
    </row>
    <row r="502" spans="108:108" s="17" customFormat="1" x14ac:dyDescent="0.25">
      <c r="DD502" s="14"/>
    </row>
    <row r="503" spans="108:108" s="17" customFormat="1" x14ac:dyDescent="0.25">
      <c r="DD503" s="14"/>
    </row>
    <row r="504" spans="108:108" s="17" customFormat="1" x14ac:dyDescent="0.25">
      <c r="DD504" s="14"/>
    </row>
    <row r="505" spans="108:108" s="17" customFormat="1" x14ac:dyDescent="0.25">
      <c r="DD505" s="14"/>
    </row>
    <row r="506" spans="108:108" s="17" customFormat="1" x14ac:dyDescent="0.25">
      <c r="DD506" s="14"/>
    </row>
    <row r="507" spans="108:108" s="17" customFormat="1" x14ac:dyDescent="0.25">
      <c r="DD507" s="14"/>
    </row>
    <row r="508" spans="108:108" s="17" customFormat="1" x14ac:dyDescent="0.25">
      <c r="DD508" s="14"/>
    </row>
    <row r="509" spans="108:108" s="17" customFormat="1" x14ac:dyDescent="0.25">
      <c r="DD509" s="14"/>
    </row>
    <row r="510" spans="108:108" s="17" customFormat="1" x14ac:dyDescent="0.25">
      <c r="DD510" s="14"/>
    </row>
    <row r="511" spans="108:108" s="17" customFormat="1" x14ac:dyDescent="0.25">
      <c r="DD511" s="14"/>
    </row>
    <row r="512" spans="108:108" s="17" customFormat="1" x14ac:dyDescent="0.25">
      <c r="DD512" s="14"/>
    </row>
    <row r="513" spans="108:108" s="17" customFormat="1" x14ac:dyDescent="0.25">
      <c r="DD513" s="14"/>
    </row>
    <row r="514" spans="108:108" s="17" customFormat="1" x14ac:dyDescent="0.25">
      <c r="DD514" s="14"/>
    </row>
    <row r="515" spans="108:108" s="17" customFormat="1" x14ac:dyDescent="0.25">
      <c r="DD515" s="14"/>
    </row>
    <row r="516" spans="108:108" s="17" customFormat="1" x14ac:dyDescent="0.25">
      <c r="DD516" s="14"/>
    </row>
    <row r="517" spans="108:108" s="17" customFormat="1" x14ac:dyDescent="0.25">
      <c r="DD517" s="14"/>
    </row>
    <row r="518" spans="108:108" s="17" customFormat="1" x14ac:dyDescent="0.25">
      <c r="DD518" s="14"/>
    </row>
    <row r="519" spans="108:108" s="17" customFormat="1" x14ac:dyDescent="0.25"/>
    <row r="520" spans="108:108" s="17" customFormat="1" x14ac:dyDescent="0.25"/>
    <row r="521" spans="108:108" s="17" customFormat="1" x14ac:dyDescent="0.25"/>
    <row r="522" spans="108:108" s="17" customFormat="1" x14ac:dyDescent="0.25"/>
    <row r="523" spans="108:108" s="17" customFormat="1" x14ac:dyDescent="0.25"/>
    <row r="524" spans="108:108" s="17" customFormat="1" x14ac:dyDescent="0.25"/>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4D72A-6AB2-43DE-9077-021D2F45F71E}">
  <sheetPr codeName="Sheet3">
    <tabColor theme="5"/>
    <pageSetUpPr fitToPage="1"/>
  </sheetPr>
  <dimension ref="A1:AC57"/>
  <sheetViews>
    <sheetView showGridLines="0" topLeftCell="A7" zoomScale="70" zoomScaleNormal="70" workbookViewId="0">
      <selection activeCell="C40" sqref="C40"/>
    </sheetView>
  </sheetViews>
  <sheetFormatPr defaultColWidth="9.140625" defaultRowHeight="15" x14ac:dyDescent="0.25"/>
  <cols>
    <col min="1" max="1" width="3.140625" style="25" customWidth="1"/>
    <col min="2" max="2" width="47.28515625" style="27" customWidth="1"/>
    <col min="3" max="3" width="38.28515625" style="27" customWidth="1"/>
    <col min="4" max="5" width="32.5703125" style="27" customWidth="1"/>
    <col min="6" max="6" width="66.7109375" style="27" customWidth="1"/>
    <col min="7" max="7" width="1.85546875" style="28" customWidth="1"/>
    <col min="8" max="8" width="22.7109375" style="27" customWidth="1"/>
    <col min="9" max="9" width="24.7109375" style="27" customWidth="1"/>
    <col min="10" max="10" width="1.7109375" style="28" customWidth="1"/>
    <col min="11" max="11" width="24.85546875" style="29" hidden="1" customWidth="1"/>
    <col min="12" max="12" width="26.140625" style="29" hidden="1" customWidth="1"/>
    <col min="13" max="13" width="9.140625" style="29" hidden="1" customWidth="1"/>
    <col min="14" max="14" width="12.140625" style="29" hidden="1" customWidth="1"/>
    <col min="15" max="15" width="14.5703125" style="29" hidden="1" customWidth="1"/>
    <col min="16" max="16" width="13" style="29" hidden="1" customWidth="1"/>
    <col min="17" max="18" width="15.42578125" style="29" hidden="1" customWidth="1"/>
    <col min="19" max="19" width="13.140625" style="29" hidden="1" customWidth="1"/>
    <col min="20" max="20" width="15.42578125" style="29" hidden="1" customWidth="1"/>
    <col min="21" max="23" width="9.140625" style="29" hidden="1" customWidth="1"/>
    <col min="24" max="24" width="24" style="234" hidden="1" customWidth="1"/>
    <col min="25" max="26" width="27.5703125" style="234" hidden="1" customWidth="1"/>
    <col min="27" max="27" width="27.5703125" style="29" hidden="1" customWidth="1"/>
    <col min="28" max="28" width="27.5703125" style="234" hidden="1" customWidth="1"/>
    <col min="29" max="29" width="9.140625" style="25" customWidth="1"/>
    <col min="30" max="16384" width="9.140625" style="25"/>
  </cols>
  <sheetData>
    <row r="1" spans="2:29" ht="30" customHeight="1" x14ac:dyDescent="0.25">
      <c r="K1" s="29" t="s">
        <v>1457</v>
      </c>
      <c r="L1" s="234" t="s">
        <v>1457</v>
      </c>
      <c r="M1" s="234" t="s">
        <v>1457</v>
      </c>
      <c r="N1" s="234" t="s">
        <v>1457</v>
      </c>
      <c r="O1" s="234" t="s">
        <v>1457</v>
      </c>
      <c r="P1" s="234" t="s">
        <v>1457</v>
      </c>
      <c r="Q1" s="234" t="s">
        <v>1457</v>
      </c>
      <c r="R1" s="234" t="s">
        <v>1457</v>
      </c>
      <c r="S1" s="234" t="s">
        <v>1457</v>
      </c>
      <c r="T1" s="234" t="s">
        <v>1457</v>
      </c>
      <c r="U1" s="234" t="s">
        <v>1457</v>
      </c>
      <c r="V1" s="234" t="s">
        <v>1457</v>
      </c>
      <c r="W1" s="234" t="s">
        <v>1457</v>
      </c>
      <c r="X1" s="234" t="s">
        <v>1457</v>
      </c>
      <c r="Y1" s="234" t="s">
        <v>1457</v>
      </c>
      <c r="Z1" s="234" t="s">
        <v>1457</v>
      </c>
      <c r="AA1" s="234" t="s">
        <v>1457</v>
      </c>
      <c r="AB1" s="234" t="s">
        <v>1457</v>
      </c>
      <c r="AC1" s="229"/>
    </row>
    <row r="2" spans="2:29" ht="30" x14ac:dyDescent="0.3">
      <c r="B2" s="26"/>
      <c r="C2" s="172" t="s">
        <v>8</v>
      </c>
    </row>
    <row r="3" spans="2:29" ht="72.599999999999994" customHeight="1" x14ac:dyDescent="0.25">
      <c r="D3" s="30"/>
      <c r="E3" s="30"/>
    </row>
    <row r="4" spans="2:29" ht="58.5" customHeight="1" x14ac:dyDescent="0.3">
      <c r="B4" s="26" t="s">
        <v>1357</v>
      </c>
      <c r="D4" s="30"/>
      <c r="E4" s="30"/>
    </row>
    <row r="5" spans="2:29" ht="15" customHeight="1" x14ac:dyDescent="0.25">
      <c r="E5" s="30"/>
    </row>
    <row r="6" spans="2:29" ht="15.75" x14ac:dyDescent="0.25">
      <c r="B6" s="500" t="s">
        <v>1133</v>
      </c>
      <c r="C6" s="500"/>
      <c r="E6" s="30"/>
      <c r="M6" s="169"/>
      <c r="N6" s="169"/>
      <c r="O6" s="169"/>
      <c r="P6" s="169"/>
      <c r="Q6" s="169"/>
      <c r="R6" s="169"/>
      <c r="S6" s="169"/>
      <c r="T6" s="169"/>
      <c r="U6" s="169"/>
      <c r="V6" s="169"/>
      <c r="W6" s="169"/>
      <c r="X6" s="272"/>
      <c r="Y6" s="234" t="s">
        <v>1399</v>
      </c>
      <c r="Z6" s="293"/>
      <c r="AB6" s="58"/>
    </row>
    <row r="7" spans="2:29" ht="16.5" customHeight="1" x14ac:dyDescent="0.35">
      <c r="B7" s="54" t="s">
        <v>1211</v>
      </c>
      <c r="C7" s="368" t="s">
        <v>1213</v>
      </c>
      <c r="D7" s="309">
        <f>IF(OR($C$7="Befintlig byggnad Alternativ 1",$C$7="Befintlig byggnad Alternativ 2"),1,0)</f>
        <v>0</v>
      </c>
      <c r="E7" s="30"/>
      <c r="M7" s="169"/>
      <c r="N7" s="169"/>
      <c r="O7" s="502" t="s">
        <v>1231</v>
      </c>
      <c r="P7" s="502"/>
      <c r="Q7" s="502" t="s">
        <v>1232</v>
      </c>
      <c r="R7" s="502"/>
      <c r="S7" s="502" t="s">
        <v>1233</v>
      </c>
      <c r="T7" s="502"/>
      <c r="U7" s="169"/>
      <c r="V7" s="169"/>
      <c r="W7" s="169"/>
      <c r="X7" s="272" t="s">
        <v>1363</v>
      </c>
      <c r="Y7" s="296" t="s">
        <v>1364</v>
      </c>
      <c r="Z7" s="294" t="s">
        <v>1366</v>
      </c>
      <c r="AA7" s="295" t="s">
        <v>1398</v>
      </c>
      <c r="AB7" s="295"/>
    </row>
    <row r="8" spans="2:29" ht="16.5" customHeight="1" x14ac:dyDescent="0.25">
      <c r="B8" s="54" t="s">
        <v>1134</v>
      </c>
      <c r="C8" s="368"/>
      <c r="E8" s="30"/>
      <c r="L8" s="29" t="s">
        <v>1246</v>
      </c>
      <c r="M8" s="169" t="s">
        <v>1205</v>
      </c>
      <c r="N8" s="169" t="s">
        <v>1234</v>
      </c>
      <c r="O8" s="170" t="s">
        <v>1236</v>
      </c>
      <c r="P8" s="170" t="s">
        <v>1235</v>
      </c>
      <c r="Q8" s="170" t="s">
        <v>1236</v>
      </c>
      <c r="R8" s="170" t="s">
        <v>1235</v>
      </c>
      <c r="S8" s="170" t="s">
        <v>1236</v>
      </c>
      <c r="T8" s="170" t="s">
        <v>1235</v>
      </c>
      <c r="V8" s="169" t="s">
        <v>1237</v>
      </c>
      <c r="W8" s="169"/>
      <c r="X8" s="234" t="s">
        <v>1369</v>
      </c>
      <c r="Y8" s="39" t="str">
        <f>B43</f>
        <v>El</v>
      </c>
      <c r="Z8" s="39" t="str">
        <f>C43</f>
        <v>Generisk data</v>
      </c>
      <c r="AA8" s="39">
        <f>IF(Z8="Generisk data",D43/1000,E43/1000)</f>
        <v>2.1999999999999999E-2</v>
      </c>
      <c r="AB8" s="39"/>
    </row>
    <row r="9" spans="2:29" ht="16.5" customHeight="1" x14ac:dyDescent="0.35">
      <c r="B9" s="54" t="s">
        <v>1135</v>
      </c>
      <c r="C9" s="368"/>
      <c r="E9" s="30"/>
      <c r="L9" s="29" t="s">
        <v>1213</v>
      </c>
      <c r="M9" s="169" t="s">
        <v>1206</v>
      </c>
      <c r="N9" s="169" t="s">
        <v>1238</v>
      </c>
      <c r="O9" s="170">
        <v>85</v>
      </c>
      <c r="P9" s="170">
        <v>80</v>
      </c>
      <c r="Q9" s="170">
        <f>IF($C$21="JA",70*($C$32-0.35),0)</f>
        <v>0</v>
      </c>
      <c r="R9" s="171">
        <f>IF($D$32&lt;1,(70*($D$32-0.35)),(70*(1-0.35)))</f>
        <v>45.5</v>
      </c>
      <c r="S9" s="171">
        <f>O9+Q9</f>
        <v>85</v>
      </c>
      <c r="T9" s="171">
        <f>P9+R9</f>
        <v>125.5</v>
      </c>
      <c r="V9" s="169" t="s">
        <v>1239</v>
      </c>
      <c r="W9" s="169"/>
      <c r="X9" s="234" t="s">
        <v>1365</v>
      </c>
      <c r="Y9" s="39" t="str">
        <f t="shared" ref="Y9:Y13" si="0">B44</f>
        <v>Fjärrvärme</v>
      </c>
      <c r="Z9" s="39" t="str">
        <f t="shared" ref="Z9:Z12" si="1">C44</f>
        <v>Generisk data</v>
      </c>
      <c r="AA9" s="39">
        <f t="shared" ref="AA9:AA13" si="2">IF(Z9="Generisk data",D44/1000,E44/1000)</f>
        <v>0.06</v>
      </c>
      <c r="AB9" s="39"/>
    </row>
    <row r="10" spans="2:29" ht="16.5" customHeight="1" x14ac:dyDescent="0.35">
      <c r="B10" s="54" t="s">
        <v>1113</v>
      </c>
      <c r="C10" s="369"/>
      <c r="E10" s="30"/>
      <c r="L10" s="29" t="s">
        <v>1244</v>
      </c>
      <c r="M10" s="169"/>
      <c r="N10" s="169" t="s">
        <v>1240</v>
      </c>
      <c r="O10" s="170">
        <v>75</v>
      </c>
      <c r="P10" s="170">
        <v>70</v>
      </c>
      <c r="Q10" s="170">
        <f>IF(C21="JA",IF(($C$32&lt;0.6),(40*($C$32-0.35)),(40*(0.6-0.35))),0)</f>
        <v>0</v>
      </c>
      <c r="R10" s="171">
        <f>IF($D$32&lt;1,(40*($D$32-0.35)),(40*(1-0.35)))</f>
        <v>26</v>
      </c>
      <c r="S10" s="171">
        <f>O10+Q10</f>
        <v>75</v>
      </c>
      <c r="T10" s="171">
        <f>P10+R10</f>
        <v>96</v>
      </c>
      <c r="V10" s="169" t="s">
        <v>1241</v>
      </c>
      <c r="W10" s="169"/>
      <c r="X10" s="272"/>
      <c r="Y10" s="39" t="str">
        <f t="shared" si="0"/>
        <v>Biobränsle</v>
      </c>
      <c r="Z10" s="39" t="str">
        <f t="shared" si="1"/>
        <v>Generisk data</v>
      </c>
      <c r="AA10" s="39">
        <f t="shared" si="2"/>
        <v>2.1999999999999999E-2</v>
      </c>
      <c r="AB10" s="39"/>
    </row>
    <row r="11" spans="2:29" ht="26.45" customHeight="1" x14ac:dyDescent="0.25">
      <c r="E11" s="30"/>
      <c r="L11" s="29" t="s">
        <v>1245</v>
      </c>
      <c r="Y11" s="39" t="str">
        <f t="shared" si="0"/>
        <v>Gas (Naturgas)</v>
      </c>
      <c r="Z11" s="39" t="str">
        <f t="shared" si="1"/>
        <v>Generisk data</v>
      </c>
      <c r="AA11" s="39">
        <f t="shared" si="2"/>
        <v>0.26369999999999999</v>
      </c>
      <c r="AB11" s="39"/>
    </row>
    <row r="12" spans="2:29" ht="16.5" customHeight="1" x14ac:dyDescent="0.25">
      <c r="B12" s="500" t="s">
        <v>1224</v>
      </c>
      <c r="C12" s="500"/>
      <c r="E12" s="30"/>
      <c r="Y12" s="39" t="str">
        <f t="shared" si="0"/>
        <v>Olja</v>
      </c>
      <c r="Z12" s="39" t="str">
        <f t="shared" si="1"/>
        <v>Generisk data</v>
      </c>
      <c r="AA12" s="39">
        <f t="shared" si="2"/>
        <v>0.30130000000000001</v>
      </c>
      <c r="AB12" s="39"/>
    </row>
    <row r="13" spans="2:29" ht="16.5" customHeight="1" x14ac:dyDescent="0.25">
      <c r="B13" s="54" t="s">
        <v>10</v>
      </c>
      <c r="C13" s="370"/>
      <c r="E13" s="30"/>
      <c r="Y13" s="39" t="str">
        <f t="shared" si="0"/>
        <v>Fjärrkyla</v>
      </c>
      <c r="Z13" s="39" t="str">
        <f>C48</f>
        <v>Generisk data</v>
      </c>
      <c r="AA13" s="39">
        <f t="shared" si="2"/>
        <v>0.06</v>
      </c>
      <c r="AB13" s="39"/>
    </row>
    <row r="14" spans="2:29" ht="16.5" customHeight="1" x14ac:dyDescent="0.25">
      <c r="B14" s="54" t="s">
        <v>12</v>
      </c>
      <c r="C14" s="368"/>
      <c r="E14" s="30"/>
      <c r="Y14" s="39"/>
      <c r="Z14" s="39"/>
      <c r="AA14" s="39"/>
    </row>
    <row r="15" spans="2:29" x14ac:dyDescent="0.25">
      <c r="B15" s="164" t="s">
        <v>11</v>
      </c>
      <c r="C15" s="368" t="s">
        <v>33</v>
      </c>
      <c r="E15" s="30"/>
    </row>
    <row r="16" spans="2:29" ht="16.5" customHeight="1" x14ac:dyDescent="0.25">
      <c r="B16" s="164" t="s">
        <v>1358</v>
      </c>
      <c r="C16" s="368"/>
      <c r="E16" s="30"/>
    </row>
    <row r="17" spans="1:28" ht="16.5" customHeight="1" x14ac:dyDescent="0.25">
      <c r="B17" s="164" t="s">
        <v>1220</v>
      </c>
      <c r="C17" s="368"/>
      <c r="D17" s="18"/>
      <c r="E17" s="30"/>
    </row>
    <row r="18" spans="1:28" s="27" customFormat="1" ht="16.5" customHeight="1" x14ac:dyDescent="0.25">
      <c r="B18" s="164" t="s">
        <v>1221</v>
      </c>
      <c r="C18" s="368"/>
      <c r="D18" s="221" t="str">
        <f>IF(OR((C17+C18)&lt;100,(C17+C18)&gt;100),"OBS! Summan av andel bostäder och andel lokaler ska vara 100%","")</f>
        <v>OBS! Summan av andel bostäder och andel lokaler ska vara 100%</v>
      </c>
      <c r="E18" s="30"/>
      <c r="G18" s="28"/>
      <c r="J18" s="28"/>
      <c r="K18" s="29"/>
      <c r="L18" s="29"/>
      <c r="M18" s="29"/>
      <c r="N18" s="29"/>
      <c r="O18" s="29"/>
      <c r="P18" s="29"/>
      <c r="Q18" s="29"/>
      <c r="R18" s="29"/>
      <c r="S18" s="29"/>
      <c r="T18" s="29"/>
      <c r="U18" s="29"/>
      <c r="V18" s="29"/>
      <c r="W18" s="29"/>
      <c r="X18" s="234"/>
      <c r="Y18" s="234"/>
      <c r="Z18" s="234"/>
      <c r="AA18" s="29"/>
      <c r="AB18" s="234"/>
    </row>
    <row r="19" spans="1:28" s="27" customFormat="1" ht="16.5" hidden="1" customHeight="1" x14ac:dyDescent="0.25">
      <c r="C19" s="371"/>
      <c r="E19" s="30"/>
      <c r="G19" s="28"/>
      <c r="J19" s="37"/>
      <c r="K19" s="29"/>
      <c r="L19" s="29"/>
      <c r="M19" s="29"/>
      <c r="N19" s="29"/>
      <c r="O19" s="29"/>
      <c r="P19" s="29"/>
      <c r="Q19" s="29"/>
      <c r="R19" s="29"/>
      <c r="S19" s="29"/>
      <c r="T19" s="29"/>
      <c r="U19" s="29"/>
      <c r="V19" s="29"/>
      <c r="W19" s="29"/>
      <c r="X19" s="234"/>
      <c r="Y19" s="234"/>
      <c r="Z19" s="234"/>
      <c r="AA19" s="29"/>
      <c r="AB19" s="234"/>
    </row>
    <row r="20" spans="1:28" s="27" customFormat="1" ht="18" customHeight="1" x14ac:dyDescent="0.25">
      <c r="B20" s="162" t="s">
        <v>1225</v>
      </c>
      <c r="C20" s="368" t="s">
        <v>1206</v>
      </c>
      <c r="E20" s="40"/>
      <c r="G20" s="28"/>
      <c r="H20" s="34"/>
      <c r="I20" s="34"/>
      <c r="J20" s="37"/>
      <c r="K20" s="29"/>
      <c r="L20" s="29"/>
      <c r="M20" s="29"/>
      <c r="N20" s="29"/>
      <c r="O20" s="29"/>
      <c r="P20" s="29"/>
      <c r="Q20" s="29"/>
      <c r="R20" s="29"/>
      <c r="S20" s="29"/>
      <c r="T20" s="29"/>
      <c r="U20" s="29"/>
      <c r="V20" s="29"/>
      <c r="W20" s="29"/>
      <c r="X20" s="234"/>
      <c r="Y20" s="234"/>
      <c r="Z20" s="234"/>
      <c r="AA20" s="29"/>
      <c r="AB20" s="234"/>
    </row>
    <row r="21" spans="1:28" s="27" customFormat="1" ht="32.1" customHeight="1" x14ac:dyDescent="0.25">
      <c r="B21" s="166" t="s">
        <v>1242</v>
      </c>
      <c r="C21" s="372" t="s">
        <v>1206</v>
      </c>
      <c r="E21" s="40"/>
      <c r="G21" s="28"/>
      <c r="H21" s="34"/>
      <c r="I21" s="34"/>
      <c r="J21" s="37"/>
      <c r="K21" s="29"/>
      <c r="L21" s="29"/>
      <c r="M21" s="29"/>
      <c r="N21" s="29"/>
      <c r="O21" s="29"/>
      <c r="P21" s="29"/>
      <c r="Q21" s="29"/>
      <c r="R21" s="29"/>
      <c r="S21" s="29"/>
      <c r="T21" s="29"/>
      <c r="U21" s="29"/>
      <c r="V21" s="29"/>
      <c r="W21" s="29"/>
      <c r="X21" s="234"/>
      <c r="Y21" s="234"/>
      <c r="Z21" s="234"/>
      <c r="AA21" s="29"/>
      <c r="AB21" s="234"/>
    </row>
    <row r="22" spans="1:28" s="27" customFormat="1" ht="28.5" customHeight="1" x14ac:dyDescent="0.25">
      <c r="E22" s="40"/>
      <c r="F22" s="34"/>
      <c r="G22" s="37"/>
      <c r="H22" s="34"/>
      <c r="I22" s="34"/>
      <c r="J22" s="37"/>
      <c r="K22" s="29"/>
      <c r="L22" s="29"/>
      <c r="M22" s="29"/>
      <c r="N22" s="29"/>
      <c r="O22" s="29"/>
      <c r="P22" s="29"/>
      <c r="Q22" s="29"/>
      <c r="R22" s="29"/>
      <c r="S22" s="29"/>
      <c r="T22" s="29"/>
      <c r="U22" s="29"/>
      <c r="V22" s="29"/>
      <c r="W22" s="29"/>
      <c r="X22" s="234"/>
      <c r="Y22" s="234"/>
      <c r="Z22" s="234"/>
      <c r="AA22" s="29"/>
      <c r="AB22" s="234"/>
    </row>
    <row r="23" spans="1:28" s="27" customFormat="1" ht="16.5" customHeight="1" x14ac:dyDescent="0.25">
      <c r="B23" s="500" t="s">
        <v>1226</v>
      </c>
      <c r="C23" s="500"/>
      <c r="E23" s="34"/>
      <c r="F23" s="34"/>
      <c r="G23" s="37"/>
      <c r="H23" s="34"/>
      <c r="I23" s="34"/>
      <c r="J23" s="37"/>
      <c r="K23" s="29"/>
      <c r="L23" s="29"/>
      <c r="M23" s="29"/>
      <c r="N23" s="29"/>
      <c r="O23" s="29"/>
      <c r="P23" s="29"/>
      <c r="Q23" s="29"/>
      <c r="R23" s="29"/>
      <c r="S23" s="29"/>
      <c r="T23" s="29"/>
      <c r="U23" s="29"/>
      <c r="V23" s="29"/>
      <c r="W23" s="29"/>
      <c r="X23" s="234"/>
      <c r="Y23" s="234"/>
      <c r="Z23" s="234"/>
      <c r="AA23" s="29"/>
      <c r="AB23" s="234"/>
    </row>
    <row r="24" spans="1:28" x14ac:dyDescent="0.25">
      <c r="A24" s="27"/>
      <c r="B24" s="54" t="s">
        <v>1227</v>
      </c>
      <c r="C24" s="372" t="s">
        <v>1238</v>
      </c>
      <c r="D24" s="120" t="str">
        <f>IF(AND($C$24="BBR25",$D$7=1),"OBS! För befintliga byggnader ska BBR29 användas!","")</f>
        <v/>
      </c>
      <c r="E24" s="28"/>
    </row>
    <row r="25" spans="1:28" ht="18" x14ac:dyDescent="0.25">
      <c r="A25" s="27"/>
      <c r="B25" s="164" t="s">
        <v>1228</v>
      </c>
      <c r="C25" s="375">
        <f>LOOKUP(C15,Ortlista!A1:A303,Ortlista!H1:H303)</f>
        <v>1</v>
      </c>
      <c r="D25" s="28"/>
      <c r="E25" s="28"/>
    </row>
    <row r="26" spans="1:28" ht="6" hidden="1" customHeight="1" x14ac:dyDescent="0.25">
      <c r="A26" s="27"/>
      <c r="D26" s="28"/>
      <c r="E26" s="28"/>
    </row>
    <row r="27" spans="1:28" ht="27.95" customHeight="1" x14ac:dyDescent="0.25">
      <c r="A27" s="27"/>
      <c r="B27" s="165" t="s">
        <v>1229</v>
      </c>
      <c r="C27" s="372" t="s">
        <v>1298</v>
      </c>
      <c r="D27" s="28"/>
      <c r="E27" s="28"/>
    </row>
    <row r="28" spans="1:28" s="231" customFormat="1" ht="27.95" hidden="1" customHeight="1" x14ac:dyDescent="0.25">
      <c r="B28" s="220"/>
      <c r="C28" s="246"/>
      <c r="D28" s="232"/>
      <c r="E28" s="232"/>
      <c r="G28" s="232"/>
      <c r="J28" s="232"/>
    </row>
    <row r="29" spans="1:28" x14ac:dyDescent="0.25">
      <c r="B29" s="1"/>
      <c r="C29" s="167" t="str">
        <f>IF(C17=0,"Bostadsdel (finns ej)", "Bostadsdel")</f>
        <v>Bostadsdel (finns ej)</v>
      </c>
      <c r="D29" s="167" t="str">
        <f>IF(C18=0,"Lokaldel (finns ej)", "Lokaldel")</f>
        <v>Lokaldel (finns ej)</v>
      </c>
      <c r="E29" s="1"/>
    </row>
    <row r="30" spans="1:28" ht="16.5" customHeight="1" x14ac:dyDescent="0.35">
      <c r="B30" s="168" t="s">
        <v>1359</v>
      </c>
      <c r="C30" s="373"/>
      <c r="D30" s="368"/>
      <c r="E30" s="1"/>
    </row>
    <row r="31" spans="1:28" ht="16.5" customHeight="1" x14ac:dyDescent="0.25">
      <c r="B31" s="168" t="s">
        <v>1360</v>
      </c>
      <c r="C31" s="373"/>
      <c r="D31" s="368"/>
      <c r="E31" s="1"/>
    </row>
    <row r="32" spans="1:28" ht="16.5" customHeight="1" x14ac:dyDescent="0.35">
      <c r="B32" s="168" t="s">
        <v>1361</v>
      </c>
      <c r="C32" s="376" t="str">
        <f>IF(C17&gt;0,IF(C21="JA",C30*C31/168,0.35),"")</f>
        <v/>
      </c>
      <c r="D32" s="376" t="str">
        <f>IF(C18&gt;0,D30*D31/168,"")</f>
        <v/>
      </c>
      <c r="E32" s="1"/>
    </row>
    <row r="33" spans="2:28" ht="16.5" customHeight="1" x14ac:dyDescent="0.35">
      <c r="B33" s="163" t="s">
        <v>1362</v>
      </c>
      <c r="C33" s="377" t="str">
        <f>IF(C17&gt;0,IF($C$24="BBR25",$S$9,$S$10),"")</f>
        <v/>
      </c>
      <c r="D33" s="377" t="str">
        <f>IF(C18&gt;0,IF($C$24="BBR25",$T$9,$T$10),"")</f>
        <v/>
      </c>
      <c r="E33" s="1"/>
    </row>
    <row r="34" spans="2:28" ht="16.5" customHeight="1" x14ac:dyDescent="0.25">
      <c r="B34" s="25"/>
      <c r="C34" s="219">
        <f>IF(C33="",0,C33)</f>
        <v>0</v>
      </c>
      <c r="D34" s="219">
        <f>IF(D33="",0,D33)</f>
        <v>0</v>
      </c>
      <c r="E34" s="1"/>
    </row>
    <row r="35" spans="2:28" ht="16.5" customHeight="1" x14ac:dyDescent="0.35">
      <c r="B35" s="163" t="s">
        <v>1243</v>
      </c>
      <c r="C35" s="378">
        <f>($C$34*C17+$D$34*C18)/100</f>
        <v>0</v>
      </c>
      <c r="D35" s="1" t="s">
        <v>1230</v>
      </c>
    </row>
    <row r="36" spans="2:28" ht="24" customHeight="1" x14ac:dyDescent="0.25">
      <c r="B36" s="25"/>
      <c r="C36" s="25"/>
    </row>
    <row r="37" spans="2:28" ht="16.5" customHeight="1" x14ac:dyDescent="0.25">
      <c r="B37" s="500" t="s">
        <v>1431</v>
      </c>
      <c r="C37" s="500"/>
    </row>
    <row r="38" spans="2:28" ht="16.5" customHeight="1" x14ac:dyDescent="0.25">
      <c r="B38" s="268" t="s">
        <v>1400</v>
      </c>
      <c r="C38" s="375">
        <v>50</v>
      </c>
    </row>
    <row r="39" spans="2:28" ht="33.75" customHeight="1" x14ac:dyDescent="0.35">
      <c r="B39" s="347" t="s">
        <v>1367</v>
      </c>
      <c r="C39" s="379" t="s">
        <v>1433</v>
      </c>
      <c r="D39" s="25"/>
      <c r="E39" s="25"/>
    </row>
    <row r="40" spans="2:28" s="229" customFormat="1" ht="16.5" customHeight="1" x14ac:dyDescent="0.25">
      <c r="B40" s="268" t="s">
        <v>1432</v>
      </c>
      <c r="C40" s="374"/>
      <c r="G40" s="232"/>
      <c r="H40" s="231"/>
      <c r="I40" s="231"/>
      <c r="J40" s="232"/>
      <c r="K40" s="234"/>
      <c r="L40" s="234"/>
      <c r="M40" s="234"/>
      <c r="N40" s="234"/>
      <c r="O40" s="234"/>
      <c r="P40" s="234"/>
      <c r="Q40" s="234"/>
      <c r="R40" s="234"/>
      <c r="S40" s="234"/>
      <c r="T40" s="234"/>
      <c r="U40" s="234"/>
      <c r="V40" s="234"/>
      <c r="W40" s="234"/>
      <c r="X40" s="234"/>
      <c r="Y40" s="234"/>
      <c r="Z40" s="234"/>
      <c r="AA40" s="234"/>
      <c r="AB40" s="234"/>
    </row>
    <row r="41" spans="2:28" ht="16.5" customHeight="1" x14ac:dyDescent="0.35">
      <c r="C41" s="238"/>
      <c r="D41" s="501" t="s">
        <v>1430</v>
      </c>
      <c r="E41" s="501"/>
      <c r="F41" s="231"/>
    </row>
    <row r="42" spans="2:28" x14ac:dyDescent="0.25">
      <c r="B42" s="239" t="s">
        <v>1364</v>
      </c>
      <c r="C42" s="285" t="s">
        <v>1366</v>
      </c>
      <c r="D42" s="223" t="s">
        <v>1306</v>
      </c>
      <c r="E42" s="223" t="s">
        <v>1307</v>
      </c>
      <c r="F42" s="223" t="s">
        <v>1456</v>
      </c>
    </row>
    <row r="43" spans="2:28" x14ac:dyDescent="0.25">
      <c r="B43" s="222" t="s">
        <v>1085</v>
      </c>
      <c r="C43" s="368" t="s">
        <v>1369</v>
      </c>
      <c r="D43" s="380">
        <v>22</v>
      </c>
      <c r="E43" s="224"/>
      <c r="F43" s="381"/>
    </row>
    <row r="44" spans="2:28" x14ac:dyDescent="0.25">
      <c r="B44" s="222" t="s">
        <v>14</v>
      </c>
      <c r="C44" s="368" t="s">
        <v>1369</v>
      </c>
      <c r="D44" s="380">
        <v>60</v>
      </c>
      <c r="E44" s="224"/>
      <c r="F44" s="381"/>
    </row>
    <row r="45" spans="2:28" x14ac:dyDescent="0.25">
      <c r="B45" s="222" t="s">
        <v>1095</v>
      </c>
      <c r="C45" s="368" t="s">
        <v>1369</v>
      </c>
      <c r="D45" s="380">
        <v>22</v>
      </c>
      <c r="E45" s="224"/>
      <c r="F45" s="381"/>
    </row>
    <row r="46" spans="2:28" x14ac:dyDescent="0.25">
      <c r="B46" s="222" t="s">
        <v>1455</v>
      </c>
      <c r="C46" s="368" t="s">
        <v>1369</v>
      </c>
      <c r="D46" s="380">
        <v>263.7</v>
      </c>
      <c r="E46" s="224"/>
      <c r="F46" s="381"/>
    </row>
    <row r="47" spans="2:28" x14ac:dyDescent="0.25">
      <c r="B47" s="222" t="s">
        <v>1097</v>
      </c>
      <c r="C47" s="368" t="s">
        <v>1369</v>
      </c>
      <c r="D47" s="380">
        <v>301.3</v>
      </c>
      <c r="E47" s="224"/>
      <c r="F47" s="381"/>
    </row>
    <row r="48" spans="2:28" x14ac:dyDescent="0.25">
      <c r="B48" s="222" t="s">
        <v>25</v>
      </c>
      <c r="C48" s="368" t="s">
        <v>1369</v>
      </c>
      <c r="D48" s="380">
        <v>60</v>
      </c>
      <c r="E48" s="224"/>
      <c r="F48" s="381"/>
    </row>
    <row r="49" spans="2:6" x14ac:dyDescent="0.25">
      <c r="B49" s="229"/>
      <c r="C49" s="229"/>
      <c r="D49" s="229"/>
      <c r="E49" s="229"/>
      <c r="F49" s="229"/>
    </row>
    <row r="51" spans="2:6" x14ac:dyDescent="0.25">
      <c r="B51" s="231"/>
    </row>
    <row r="52" spans="2:6" x14ac:dyDescent="0.25">
      <c r="B52" s="241"/>
      <c r="C52" s="226"/>
      <c r="D52" s="226"/>
    </row>
    <row r="53" spans="2:6" x14ac:dyDescent="0.25">
      <c r="B53" s="241"/>
      <c r="C53" s="226"/>
      <c r="D53" s="226"/>
    </row>
    <row r="54" spans="2:6" x14ac:dyDescent="0.25">
      <c r="B54" s="241"/>
      <c r="C54" s="226"/>
      <c r="D54" s="226"/>
    </row>
    <row r="55" spans="2:6" x14ac:dyDescent="0.25">
      <c r="B55" s="241"/>
    </row>
    <row r="56" spans="2:6" x14ac:dyDescent="0.25">
      <c r="B56" s="241"/>
      <c r="D56" s="226"/>
    </row>
    <row r="57" spans="2:6" x14ac:dyDescent="0.25">
      <c r="B57" s="241"/>
      <c r="D57" s="226"/>
    </row>
  </sheetData>
  <sheetProtection algorithmName="SHA-512" hashValue="1MOAOls836P+vpUmuGtYKaKTzAT9eWX7aEXSVCSuV5z9OFls02A2Ic3SLdCdTfNtU+bPyHReL7qMq4l7Zh49+Q==" saltValue="N68eRjX/6i/LCMSxDFBstA==" spinCount="100000" sheet="1" objects="1" scenarios="1" selectLockedCells="1"/>
  <mergeCells count="8">
    <mergeCell ref="Q7:R7"/>
    <mergeCell ref="S7:T7"/>
    <mergeCell ref="B12:C12"/>
    <mergeCell ref="B37:C37"/>
    <mergeCell ref="D41:E41"/>
    <mergeCell ref="B6:C6"/>
    <mergeCell ref="B23:C23"/>
    <mergeCell ref="O7:P7"/>
  </mergeCells>
  <conditionalFormatting sqref="E19:E22">
    <cfRule type="expression" dxfId="189" priority="134">
      <formula>#REF!=#REF!</formula>
    </cfRule>
  </conditionalFormatting>
  <conditionalFormatting sqref="B27:C28">
    <cfRule type="expression" dxfId="188" priority="61">
      <formula>$C$24="BBR29"</formula>
    </cfRule>
  </conditionalFormatting>
  <conditionalFormatting sqref="B20:C21">
    <cfRule type="expression" dxfId="187" priority="60">
      <formula>$C$17=0</formula>
    </cfRule>
  </conditionalFormatting>
  <conditionalFormatting sqref="B29:E35">
    <cfRule type="expression" dxfId="186" priority="59">
      <formula>$C$7="Befintlig byggnad Alternativ 1"</formula>
    </cfRule>
  </conditionalFormatting>
  <conditionalFormatting sqref="E43">
    <cfRule type="expression" dxfId="185" priority="55">
      <formula>$C$43="Specifik data"</formula>
    </cfRule>
    <cfRule type="expression" dxfId="184" priority="56">
      <formula>$C$43="Generisk data"</formula>
    </cfRule>
  </conditionalFormatting>
  <conditionalFormatting sqref="D43">
    <cfRule type="expression" dxfId="183" priority="57">
      <formula>$C$43="Specifik data"</formula>
    </cfRule>
    <cfRule type="expression" dxfId="182" priority="58">
      <formula>$C$43="Generisk data"</formula>
    </cfRule>
  </conditionalFormatting>
  <conditionalFormatting sqref="D45">
    <cfRule type="expression" dxfId="181" priority="43">
      <formula>$C$45="Generisk data"</formula>
    </cfRule>
    <cfRule type="expression" dxfId="180" priority="53">
      <formula>$C$45="Specifik data"</formula>
    </cfRule>
  </conditionalFormatting>
  <conditionalFormatting sqref="D46">
    <cfRule type="expression" dxfId="179" priority="41">
      <formula>$C$46="Generisk data"</formula>
    </cfRule>
    <cfRule type="expression" dxfId="178" priority="52">
      <formula>$C$46="Specifik data"</formula>
    </cfRule>
  </conditionalFormatting>
  <conditionalFormatting sqref="D47">
    <cfRule type="expression" dxfId="177" priority="40">
      <formula>$C$47="Generisk data"</formula>
    </cfRule>
    <cfRule type="expression" dxfId="176" priority="50">
      <formula>$C$47="Specifik data"</formula>
    </cfRule>
  </conditionalFormatting>
  <conditionalFormatting sqref="E44">
    <cfRule type="expression" dxfId="175" priority="39">
      <formula>$C$44="Generisk data"</formula>
    </cfRule>
    <cfRule type="expression" dxfId="174" priority="49">
      <formula>$C$44="Specifik data"</formula>
    </cfRule>
  </conditionalFormatting>
  <conditionalFormatting sqref="E45">
    <cfRule type="expression" dxfId="173" priority="38">
      <formula>$C$45="Generisk data"</formula>
    </cfRule>
    <cfRule type="expression" dxfId="172" priority="48">
      <formula>$C$45="Specifik data"</formula>
    </cfRule>
  </conditionalFormatting>
  <conditionalFormatting sqref="E46">
    <cfRule type="expression" dxfId="171" priority="36">
      <formula>$C$46="Generisk data"</formula>
    </cfRule>
    <cfRule type="expression" dxfId="170" priority="46">
      <formula>$C$46="Specifik data"</formula>
    </cfRule>
  </conditionalFormatting>
  <conditionalFormatting sqref="E47:E48">
    <cfRule type="expression" dxfId="169" priority="35">
      <formula>$C$47="Generisk data"</formula>
    </cfRule>
    <cfRule type="expression" dxfId="168" priority="45">
      <formula>$C$47="Specifik data"</formula>
    </cfRule>
  </conditionalFormatting>
  <conditionalFormatting sqref="D44">
    <cfRule type="expression" dxfId="167" priority="33">
      <formula>$C$44="Specifik data"</formula>
    </cfRule>
    <cfRule type="expression" dxfId="166" priority="34">
      <formula>$C$44="Generisk data"</formula>
    </cfRule>
  </conditionalFormatting>
  <conditionalFormatting sqref="D48">
    <cfRule type="expression" dxfId="165" priority="1">
      <formula>$C$48="Specifik data"</formula>
    </cfRule>
    <cfRule type="expression" dxfId="164" priority="2">
      <formula>$C$48="Generisk data"</formula>
    </cfRule>
  </conditionalFormatting>
  <dataValidations count="7">
    <dataValidation type="list" allowBlank="1" showInputMessage="1" showErrorMessage="1" sqref="C7" xr:uid="{BDC0DB81-1B3D-46F4-AA10-0FC7B13F3814}">
      <formula1>$L$9:$L$11</formula1>
    </dataValidation>
    <dataValidation type="list" allowBlank="1" showInputMessage="1" showErrorMessage="1" sqref="C20:C21" xr:uid="{46B5AEB1-CB5A-41B0-B30E-BE19F7F92FFC}">
      <formula1>$M$8:$M$9</formula1>
    </dataValidation>
    <dataValidation type="list" allowBlank="1" showInputMessage="1" showErrorMessage="1" sqref="C24" xr:uid="{0F25B88C-477C-4FB8-B359-229BA520B401}">
      <formula1>$N$9:$N$10</formula1>
    </dataValidation>
    <dataValidation type="list" allowBlank="1" showInputMessage="1" showErrorMessage="1" sqref="C27:C28" xr:uid="{42F32FD7-4702-4082-A3D0-A5A49FA491FC}">
      <formula1>$V$9:$V$10</formula1>
    </dataValidation>
    <dataValidation type="whole" allowBlank="1" showInputMessage="1" showErrorMessage="1" error="Andel bostäder ska vara mellan 0 och 100 %" sqref="C17" xr:uid="{6D0970E5-608C-4B77-B3F1-CC2DD6819698}">
      <formula1>0</formula1>
      <formula2>100</formula2>
    </dataValidation>
    <dataValidation type="whole" allowBlank="1" showInputMessage="1" showErrorMessage="1" error="Andel lokaler ska vara mellan 0 och 100 %" sqref="C18" xr:uid="{53135741-6695-434D-A434-4DDACBA8207A}">
      <formula1>0</formula1>
      <formula2>100</formula2>
    </dataValidation>
    <dataValidation type="list" allowBlank="1" showInputMessage="1" showErrorMessage="1" sqref="C43:C48" xr:uid="{F24E747F-1559-49D6-92C8-EC06D4C9D8BF}">
      <formula1>$X$8:$X$9</formula1>
    </dataValidation>
  </dataValidations>
  <pageMargins left="0.70866141732283472" right="0.70866141732283472" top="0.74803149606299213" bottom="0.74803149606299213" header="0.31496062992125984" footer="0.31496062992125984"/>
  <pageSetup paperSize="9" scale="15" orientation="portrait" cellComments="atEnd"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18BC6AA-C825-4DFD-AEED-C26FEA4D2A22}">
          <x14:formula1>
            <xm:f>Ortlista!$A$1:$A$303</xm:f>
          </x14:formula1>
          <xm:sqref>C15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61029-6861-4E71-A9E8-A1FD74F1C83D}">
  <sheetPr codeName="Sheet2">
    <tabColor theme="5"/>
    <pageSetUpPr fitToPage="1"/>
  </sheetPr>
  <dimension ref="A1:FF290"/>
  <sheetViews>
    <sheetView showGridLines="0" zoomScale="80" zoomScaleNormal="80" workbookViewId="0">
      <selection activeCell="D156" sqref="D156"/>
    </sheetView>
  </sheetViews>
  <sheetFormatPr defaultColWidth="9.140625" defaultRowHeight="15" x14ac:dyDescent="0.25"/>
  <cols>
    <col min="1" max="1" width="3.7109375" style="229" customWidth="1"/>
    <col min="2" max="2" width="3.140625" style="229" customWidth="1"/>
    <col min="3" max="3" width="48.85546875" style="231" customWidth="1"/>
    <col min="4" max="4" width="51.42578125" style="231" customWidth="1"/>
    <col min="5" max="5" width="3" style="231" customWidth="1"/>
    <col min="6" max="6" width="21.28515625" style="231" customWidth="1"/>
    <col min="7" max="7" width="18.85546875" style="231" customWidth="1"/>
    <col min="8" max="8" width="1.85546875" style="232" customWidth="1"/>
    <col min="9" max="9" width="22.7109375" style="231" customWidth="1"/>
    <col min="10" max="10" width="25.85546875" style="231" customWidth="1"/>
    <col min="11" max="11" width="1.7109375" style="232" customWidth="1"/>
    <col min="12" max="12" width="23.42578125" style="231" customWidth="1"/>
    <col min="13" max="13" width="26.85546875" style="229" customWidth="1"/>
    <col min="14" max="14" width="2.42578125" style="232" customWidth="1"/>
    <col min="15" max="15" width="22.5703125" style="229" customWidth="1"/>
    <col min="16" max="16" width="24.85546875" style="229" customWidth="1"/>
    <col min="17" max="17" width="2.85546875" style="231" customWidth="1"/>
    <col min="18" max="19" width="24.85546875" style="231" customWidth="1"/>
    <col min="20" max="20" width="3.7109375" style="231" customWidth="1"/>
    <col min="21" max="22" width="24.85546875" style="231" customWidth="1"/>
    <col min="23" max="23" width="3.140625" style="231" customWidth="1"/>
    <col min="24" max="24" width="75.28515625" style="233" hidden="1" customWidth="1"/>
    <col min="25" max="28" width="15" style="233" hidden="1" customWidth="1"/>
    <col min="29" max="29" width="15.28515625" style="233" hidden="1" customWidth="1"/>
    <col min="30" max="30" width="19.7109375" style="233" hidden="1" customWidth="1"/>
    <col min="31" max="31" width="18.28515625" style="233" hidden="1" customWidth="1"/>
    <col min="32" max="32" width="42.5703125" style="233" hidden="1" customWidth="1"/>
    <col min="33" max="37" width="19.7109375" style="233" hidden="1" customWidth="1"/>
    <col min="38" max="38" width="24.7109375" style="233" hidden="1" customWidth="1"/>
    <col min="39" max="39" width="26.42578125" style="233" hidden="1" customWidth="1"/>
    <col min="40" max="45" width="19.7109375" style="233" hidden="1" customWidth="1"/>
    <col min="46" max="46" width="24" style="233" hidden="1" customWidth="1"/>
    <col min="47" max="48" width="19.7109375" style="233" hidden="1" customWidth="1"/>
    <col min="49" max="49" width="29.28515625" style="233" hidden="1" customWidth="1"/>
    <col min="50" max="50" width="24" style="233" hidden="1" customWidth="1"/>
    <col min="51" max="51" width="26.5703125" style="234" hidden="1" customWidth="1"/>
    <col min="52" max="53" width="19.7109375" style="234" hidden="1" customWidth="1"/>
    <col min="54" max="54" width="25.140625" style="234" hidden="1" customWidth="1"/>
    <col min="55" max="57" width="19.7109375" style="234" hidden="1" customWidth="1"/>
    <col min="58" max="58" width="24.140625" style="234" hidden="1" customWidth="1"/>
    <col min="59" max="59" width="17.85546875" style="234" hidden="1" customWidth="1"/>
    <col min="60" max="60" width="19.7109375" style="234" hidden="1" customWidth="1"/>
    <col min="61" max="61" width="23.85546875" style="234" hidden="1" customWidth="1"/>
    <col min="62" max="62" width="19.7109375" style="234" hidden="1" customWidth="1"/>
    <col min="63" max="63" width="18.28515625" style="234" hidden="1" customWidth="1"/>
    <col min="64" max="64" width="15" style="234" hidden="1" customWidth="1"/>
    <col min="65" max="65" width="19.42578125" style="234" hidden="1" customWidth="1"/>
    <col min="66" max="67" width="15" style="234" hidden="1" customWidth="1"/>
    <col min="68" max="70" width="18.7109375" style="234" hidden="1" customWidth="1"/>
    <col min="71" max="76" width="20.42578125" style="234" hidden="1" customWidth="1"/>
    <col min="77" max="77" width="13.42578125" style="234" hidden="1" customWidth="1"/>
    <col min="78" max="86" width="15" style="234" hidden="1" customWidth="1"/>
    <col min="87" max="87" width="20.140625" style="234" hidden="1" customWidth="1"/>
    <col min="88" max="115" width="15" style="234" hidden="1" customWidth="1"/>
    <col min="116" max="116" width="40.140625" style="234" hidden="1" customWidth="1"/>
    <col min="117" max="122" width="15.7109375" style="234" hidden="1" customWidth="1"/>
    <col min="123" max="123" width="13.85546875" style="234" hidden="1" customWidth="1"/>
    <col min="124" max="124" width="15" style="234" hidden="1" customWidth="1"/>
    <col min="125" max="129" width="15" style="229" hidden="1" customWidth="1"/>
    <col min="130" max="130" width="22.7109375" style="229" hidden="1" customWidth="1"/>
    <col min="131" max="131" width="15.28515625" style="229" hidden="1" customWidth="1"/>
    <col min="132" max="133" width="9.140625" style="229" hidden="1" customWidth="1"/>
    <col min="134" max="134" width="13.85546875" style="229" hidden="1" customWidth="1"/>
    <col min="135" max="141" width="9.140625" style="229" hidden="1" customWidth="1"/>
    <col min="142" max="142" width="19.42578125" style="229" hidden="1" customWidth="1"/>
    <col min="143" max="143" width="26.7109375" style="229" hidden="1" customWidth="1"/>
    <col min="144" max="144" width="19.42578125" style="229" hidden="1" customWidth="1"/>
    <col min="145" max="145" width="28.85546875" style="229" hidden="1" customWidth="1"/>
    <col min="146" max="146" width="19.42578125" style="229" hidden="1" customWidth="1"/>
    <col min="147" max="147" width="38.140625" style="229" hidden="1" customWidth="1"/>
    <col min="148" max="148" width="35.28515625" style="229" hidden="1" customWidth="1"/>
    <col min="149" max="149" width="32.42578125" style="229" hidden="1" customWidth="1"/>
    <col min="150" max="155" width="27.42578125" style="229" hidden="1" customWidth="1"/>
    <col min="156" max="156" width="9.140625" style="229" hidden="1" customWidth="1"/>
    <col min="157" max="161" width="15.42578125" style="229" hidden="1" customWidth="1"/>
    <col min="162" max="162" width="14.140625" style="229" hidden="1" customWidth="1"/>
    <col min="163" max="529" width="9.140625" style="229" customWidth="1"/>
    <col min="530" max="16384" width="9.140625" style="229"/>
  </cols>
  <sheetData>
    <row r="1" spans="1:162" ht="32.25" customHeight="1" x14ac:dyDescent="0.25">
      <c r="D1" s="229"/>
      <c r="F1" s="235"/>
      <c r="G1" s="235"/>
      <c r="X1" s="233" t="s">
        <v>1457</v>
      </c>
      <c r="Y1" s="233" t="s">
        <v>1457</v>
      </c>
      <c r="Z1" s="233" t="s">
        <v>1457</v>
      </c>
      <c r="AA1" s="233" t="s">
        <v>1457</v>
      </c>
      <c r="AB1" s="233" t="s">
        <v>1457</v>
      </c>
      <c r="AC1" s="233" t="s">
        <v>1457</v>
      </c>
      <c r="AD1" s="233" t="s">
        <v>1457</v>
      </c>
      <c r="AE1" s="233" t="s">
        <v>1457</v>
      </c>
      <c r="AF1" s="233" t="s">
        <v>1457</v>
      </c>
      <c r="AG1" s="233" t="s">
        <v>1457</v>
      </c>
      <c r="AH1" s="233" t="s">
        <v>1457</v>
      </c>
      <c r="AI1" s="233" t="s">
        <v>1457</v>
      </c>
      <c r="AJ1" s="233" t="s">
        <v>1457</v>
      </c>
      <c r="AK1" s="233" t="s">
        <v>1457</v>
      </c>
      <c r="AL1" s="233" t="s">
        <v>1457</v>
      </c>
      <c r="AM1" s="233" t="s">
        <v>1457</v>
      </c>
      <c r="AN1" s="233" t="s">
        <v>1457</v>
      </c>
      <c r="AO1" s="233" t="s">
        <v>1457</v>
      </c>
      <c r="AP1" s="233" t="s">
        <v>1457</v>
      </c>
      <c r="AQ1" s="233" t="s">
        <v>1457</v>
      </c>
      <c r="AR1" s="233" t="s">
        <v>1457</v>
      </c>
      <c r="AS1" s="233" t="s">
        <v>1457</v>
      </c>
      <c r="AT1" s="233" t="s">
        <v>1457</v>
      </c>
      <c r="AU1" s="233" t="s">
        <v>1457</v>
      </c>
      <c r="AV1" s="233" t="s">
        <v>1457</v>
      </c>
      <c r="AW1" s="233" t="s">
        <v>1457</v>
      </c>
      <c r="AX1" s="233" t="s">
        <v>1457</v>
      </c>
      <c r="AY1" s="234" t="s">
        <v>1457</v>
      </c>
      <c r="AZ1" s="234" t="s">
        <v>1457</v>
      </c>
      <c r="BA1" s="234" t="s">
        <v>1457</v>
      </c>
      <c r="BB1" s="234" t="s">
        <v>1457</v>
      </c>
      <c r="BC1" s="234" t="s">
        <v>1457</v>
      </c>
      <c r="BD1" s="234" t="s">
        <v>1457</v>
      </c>
      <c r="BE1" s="234" t="s">
        <v>1457</v>
      </c>
      <c r="BF1" s="234" t="s">
        <v>1457</v>
      </c>
      <c r="BG1" s="234" t="s">
        <v>1457</v>
      </c>
      <c r="BH1" s="234" t="s">
        <v>1457</v>
      </c>
      <c r="BI1" s="234" t="s">
        <v>1457</v>
      </c>
      <c r="BJ1" s="234" t="s">
        <v>1457</v>
      </c>
      <c r="BK1" s="234" t="s">
        <v>1457</v>
      </c>
      <c r="BL1" s="234" t="s">
        <v>1457</v>
      </c>
      <c r="BM1" s="234" t="s">
        <v>1457</v>
      </c>
      <c r="BN1" s="234" t="s">
        <v>1457</v>
      </c>
      <c r="BO1" s="234" t="s">
        <v>1457</v>
      </c>
      <c r="BP1" s="234" t="s">
        <v>1457</v>
      </c>
      <c r="BQ1" s="234" t="s">
        <v>1457</v>
      </c>
      <c r="BR1" s="234" t="s">
        <v>1457</v>
      </c>
      <c r="BS1" s="234" t="s">
        <v>1457</v>
      </c>
      <c r="BT1" s="234" t="s">
        <v>1457</v>
      </c>
      <c r="BU1" s="234" t="s">
        <v>1457</v>
      </c>
      <c r="BV1" s="234" t="s">
        <v>1457</v>
      </c>
      <c r="BW1" s="234" t="s">
        <v>1457</v>
      </c>
      <c r="BX1" s="234" t="s">
        <v>1457</v>
      </c>
      <c r="BY1" s="234" t="s">
        <v>1457</v>
      </c>
      <c r="BZ1" s="234" t="s">
        <v>1457</v>
      </c>
      <c r="CA1" s="234" t="s">
        <v>1457</v>
      </c>
      <c r="CB1" s="234" t="s">
        <v>1457</v>
      </c>
      <c r="CC1" s="234" t="s">
        <v>1457</v>
      </c>
      <c r="CD1" s="234" t="s">
        <v>1457</v>
      </c>
      <c r="CE1" s="234" t="s">
        <v>1457</v>
      </c>
      <c r="CF1" s="234" t="s">
        <v>1457</v>
      </c>
      <c r="CG1" s="234" t="s">
        <v>1457</v>
      </c>
      <c r="CH1" s="234" t="s">
        <v>1457</v>
      </c>
      <c r="CI1" s="234" t="s">
        <v>1457</v>
      </c>
      <c r="CJ1" s="234" t="s">
        <v>1457</v>
      </c>
      <c r="CK1" s="234" t="s">
        <v>1457</v>
      </c>
      <c r="CL1" s="234" t="s">
        <v>1457</v>
      </c>
      <c r="CM1" s="234" t="s">
        <v>1457</v>
      </c>
      <c r="CN1" s="234" t="s">
        <v>1457</v>
      </c>
      <c r="CO1" s="234" t="s">
        <v>1457</v>
      </c>
      <c r="CP1" s="234" t="s">
        <v>1457</v>
      </c>
      <c r="CQ1" s="234" t="s">
        <v>1457</v>
      </c>
      <c r="CR1" s="234" t="s">
        <v>1457</v>
      </c>
      <c r="CS1" s="234" t="s">
        <v>1457</v>
      </c>
      <c r="CT1" s="234" t="s">
        <v>1457</v>
      </c>
      <c r="CU1" s="234" t="s">
        <v>1457</v>
      </c>
      <c r="CV1" s="234" t="s">
        <v>1457</v>
      </c>
      <c r="CW1" s="234" t="s">
        <v>1457</v>
      </c>
      <c r="CX1" s="234" t="s">
        <v>1457</v>
      </c>
      <c r="CY1" s="234" t="s">
        <v>1457</v>
      </c>
      <c r="CZ1" s="234" t="s">
        <v>1457</v>
      </c>
      <c r="DA1" s="234" t="s">
        <v>1457</v>
      </c>
      <c r="DB1" s="234" t="s">
        <v>1457</v>
      </c>
      <c r="DC1" s="234" t="s">
        <v>1457</v>
      </c>
      <c r="DD1" s="234" t="s">
        <v>1457</v>
      </c>
      <c r="DE1" s="234" t="s">
        <v>1457</v>
      </c>
      <c r="DF1" s="234" t="s">
        <v>1457</v>
      </c>
      <c r="DG1" s="234" t="s">
        <v>1457</v>
      </c>
      <c r="DH1" s="234" t="s">
        <v>1457</v>
      </c>
      <c r="DI1" s="234" t="s">
        <v>1457</v>
      </c>
      <c r="DJ1" s="234" t="s">
        <v>1457</v>
      </c>
      <c r="DK1" s="234" t="s">
        <v>1457</v>
      </c>
      <c r="DL1" s="234" t="s">
        <v>1457</v>
      </c>
      <c r="DM1" s="234" t="s">
        <v>1457</v>
      </c>
      <c r="DN1" s="234" t="s">
        <v>1457</v>
      </c>
      <c r="DO1" s="234" t="s">
        <v>1457</v>
      </c>
      <c r="DP1" s="234" t="s">
        <v>1457</v>
      </c>
      <c r="DQ1" s="234" t="s">
        <v>1457</v>
      </c>
      <c r="DR1" s="234" t="s">
        <v>1457</v>
      </c>
      <c r="DS1" s="234" t="s">
        <v>1457</v>
      </c>
      <c r="DT1" s="234" t="s">
        <v>1457</v>
      </c>
      <c r="DU1" s="229" t="s">
        <v>1457</v>
      </c>
      <c r="DV1" s="229" t="s">
        <v>1457</v>
      </c>
      <c r="DW1" s="229" t="s">
        <v>1457</v>
      </c>
      <c r="DX1" s="229" t="s">
        <v>1457</v>
      </c>
      <c r="DY1" s="229" t="s">
        <v>1457</v>
      </c>
      <c r="DZ1" s="229" t="s">
        <v>1457</v>
      </c>
      <c r="EA1" s="229" t="s">
        <v>1457</v>
      </c>
      <c r="EB1" s="229" t="s">
        <v>1457</v>
      </c>
      <c r="EC1" s="229" t="s">
        <v>1457</v>
      </c>
      <c r="ED1" s="229" t="s">
        <v>1457</v>
      </c>
      <c r="EE1" s="229" t="s">
        <v>1457</v>
      </c>
      <c r="EF1" s="229" t="s">
        <v>1457</v>
      </c>
      <c r="EG1" s="229" t="s">
        <v>1457</v>
      </c>
      <c r="EH1" s="229" t="s">
        <v>1457</v>
      </c>
      <c r="EI1" s="229" t="s">
        <v>1457</v>
      </c>
      <c r="EJ1" s="229" t="s">
        <v>1457</v>
      </c>
      <c r="EK1" s="229" t="s">
        <v>1457</v>
      </c>
      <c r="EL1" s="229" t="s">
        <v>1457</v>
      </c>
      <c r="EM1" s="229" t="s">
        <v>1457</v>
      </c>
      <c r="EN1" s="229" t="s">
        <v>1457</v>
      </c>
      <c r="EO1" s="229" t="s">
        <v>1457</v>
      </c>
      <c r="EP1" s="229" t="s">
        <v>1457</v>
      </c>
      <c r="EQ1" s="229" t="s">
        <v>1457</v>
      </c>
      <c r="ER1" s="229" t="s">
        <v>1457</v>
      </c>
      <c r="ES1" s="229" t="s">
        <v>1457</v>
      </c>
      <c r="ET1" s="229" t="s">
        <v>1457</v>
      </c>
      <c r="EU1" s="229" t="s">
        <v>1457</v>
      </c>
      <c r="EV1" s="229" t="s">
        <v>1457</v>
      </c>
      <c r="EW1" s="355" t="s">
        <v>1268</v>
      </c>
      <c r="EX1" s="300" t="s">
        <v>1269</v>
      </c>
      <c r="EY1" s="355" t="s">
        <v>1270</v>
      </c>
      <c r="FA1" s="231" t="s">
        <v>1399</v>
      </c>
      <c r="FB1" s="250"/>
      <c r="FC1" s="231"/>
      <c r="FE1" s="229" t="s">
        <v>1457</v>
      </c>
      <c r="FF1" s="397" t="s">
        <v>1457</v>
      </c>
    </row>
    <row r="2" spans="1:162" ht="24" customHeight="1" x14ac:dyDescent="0.4">
      <c r="C2" s="229"/>
      <c r="D2" s="356" t="s">
        <v>8</v>
      </c>
      <c r="F2" s="235"/>
      <c r="G2" s="235"/>
      <c r="BN2" s="38" t="s">
        <v>1101</v>
      </c>
      <c r="BO2" s="39"/>
      <c r="DV2" s="237" t="s">
        <v>1212</v>
      </c>
      <c r="DW2" s="238" t="s">
        <v>1127</v>
      </c>
      <c r="DX2" s="239" t="s">
        <v>1051</v>
      </c>
      <c r="DY2" s="240" t="s">
        <v>1052</v>
      </c>
      <c r="DZ2" s="240" t="s">
        <v>1093</v>
      </c>
      <c r="EA2" s="240" t="s">
        <v>1093</v>
      </c>
      <c r="EB2" s="240" t="s">
        <v>1073</v>
      </c>
      <c r="EC2" s="240" t="s">
        <v>1074</v>
      </c>
      <c r="ED2" s="240" t="s">
        <v>1093</v>
      </c>
      <c r="EE2" s="240" t="s">
        <v>1073</v>
      </c>
      <c r="EF2" s="240" t="s">
        <v>1077</v>
      </c>
      <c r="EG2" s="240" t="s">
        <v>1086</v>
      </c>
      <c r="EH2" s="240" t="s">
        <v>1059</v>
      </c>
      <c r="EI2" s="240" t="s">
        <v>1060</v>
      </c>
      <c r="EJ2" s="240" t="s">
        <v>1173</v>
      </c>
      <c r="EK2" s="239" t="s">
        <v>1177</v>
      </c>
      <c r="EL2" s="240" t="s">
        <v>1078</v>
      </c>
      <c r="EM2" s="240" t="s">
        <v>1112</v>
      </c>
      <c r="EN2" s="240" t="s">
        <v>1137</v>
      </c>
      <c r="EO2" s="357" t="s">
        <v>1281</v>
      </c>
      <c r="EP2" s="357" t="s">
        <v>1281</v>
      </c>
      <c r="EQ2" s="240" t="s">
        <v>20</v>
      </c>
      <c r="ER2" s="239" t="s">
        <v>1255</v>
      </c>
      <c r="ES2" s="240" t="s">
        <v>1267</v>
      </c>
      <c r="ET2" s="239" t="s">
        <v>1271</v>
      </c>
      <c r="EU2" s="239" t="s">
        <v>1272</v>
      </c>
      <c r="EV2" s="239" t="s">
        <v>1273</v>
      </c>
      <c r="EW2" s="34" t="s">
        <v>1061</v>
      </c>
      <c r="EX2" s="34">
        <v>129.06</v>
      </c>
      <c r="EY2" s="358">
        <v>0.12906000000000001</v>
      </c>
      <c r="FA2" s="300" t="s">
        <v>1364</v>
      </c>
      <c r="FB2" s="301" t="s">
        <v>1366</v>
      </c>
      <c r="FC2" s="302" t="s">
        <v>1398</v>
      </c>
    </row>
    <row r="3" spans="1:162" x14ac:dyDescent="0.25">
      <c r="C3" s="229"/>
      <c r="D3" s="229"/>
      <c r="F3" s="235"/>
      <c r="G3" s="235"/>
      <c r="BN3" s="234" t="s">
        <v>1117</v>
      </c>
      <c r="BO3" s="39">
        <f>IF(D196="",0,D196)</f>
        <v>0</v>
      </c>
      <c r="BP3" s="234" t="s">
        <v>1116</v>
      </c>
      <c r="DV3" s="229" t="s">
        <v>1213</v>
      </c>
      <c r="DW3" s="232" t="s">
        <v>1141</v>
      </c>
      <c r="DX3" s="34">
        <v>0</v>
      </c>
      <c r="DY3" s="229" t="s">
        <v>14</v>
      </c>
      <c r="DZ3" s="229" t="s">
        <v>14</v>
      </c>
      <c r="EA3" s="229" t="s">
        <v>1085</v>
      </c>
      <c r="EB3" s="35">
        <v>1.8</v>
      </c>
      <c r="EC3" s="35" t="s">
        <v>26</v>
      </c>
      <c r="ED3" s="229" t="s">
        <v>1085</v>
      </c>
      <c r="EE3" s="35">
        <v>1.8</v>
      </c>
      <c r="EF3" s="229" t="s">
        <v>17</v>
      </c>
      <c r="EG3" s="35" t="s">
        <v>1087</v>
      </c>
      <c r="EH3" s="36">
        <v>2015</v>
      </c>
      <c r="EI3" s="36" t="s">
        <v>1061</v>
      </c>
      <c r="EJ3" s="36">
        <v>1</v>
      </c>
      <c r="EK3" s="37">
        <v>744</v>
      </c>
      <c r="EL3" s="34" t="s">
        <v>1091</v>
      </c>
      <c r="EM3" s="34" t="s">
        <v>1217</v>
      </c>
      <c r="EN3" s="36" t="s">
        <v>1075</v>
      </c>
      <c r="EO3" s="61" t="s">
        <v>1280</v>
      </c>
      <c r="EP3" s="61" t="s">
        <v>1283</v>
      </c>
      <c r="EQ3" s="36" t="s">
        <v>1252</v>
      </c>
      <c r="ER3" s="231" t="s">
        <v>1256</v>
      </c>
      <c r="ES3" s="36" t="s">
        <v>1252</v>
      </c>
      <c r="ET3" s="231" t="s">
        <v>1265</v>
      </c>
      <c r="EU3" s="231" t="s">
        <v>1265</v>
      </c>
      <c r="EV3" s="231" t="s">
        <v>1265</v>
      </c>
      <c r="EW3" s="34" t="s">
        <v>1062</v>
      </c>
      <c r="EX3" s="34">
        <v>114.74</v>
      </c>
      <c r="EY3" s="358">
        <f t="shared" ref="EY3:EY13" si="0">EX3/1000</f>
        <v>0.11473999999999999</v>
      </c>
      <c r="FA3" s="229" t="str">
        <f>'Indata byggnad och BBR krav'!Y8</f>
        <v>El</v>
      </c>
      <c r="FB3" s="229" t="str">
        <f>'Indata byggnad och BBR krav'!Z8</f>
        <v>Generisk data</v>
      </c>
      <c r="FC3" s="229">
        <f>'Indata byggnad och BBR krav'!AA8</f>
        <v>2.1999999999999999E-2</v>
      </c>
    </row>
    <row r="4" spans="1:162" ht="16.5" customHeight="1" x14ac:dyDescent="0.25">
      <c r="C4" s="229"/>
      <c r="D4" s="229"/>
      <c r="F4" s="235"/>
      <c r="Y4" s="236" t="s">
        <v>1204</v>
      </c>
      <c r="Z4" s="396" t="s">
        <v>1206</v>
      </c>
      <c r="BN4" s="234" t="s">
        <v>1118</v>
      </c>
      <c r="BO4" s="39">
        <f>IF(D198="",0,D198)</f>
        <v>21</v>
      </c>
      <c r="BP4" s="234" t="s">
        <v>1121</v>
      </c>
      <c r="CB4" s="38"/>
      <c r="CF4" s="41"/>
      <c r="DV4" s="229" t="s">
        <v>1214</v>
      </c>
      <c r="DW4" s="232" t="s">
        <v>1142</v>
      </c>
      <c r="DX4" s="34">
        <v>1</v>
      </c>
      <c r="DY4" s="229" t="s">
        <v>15</v>
      </c>
      <c r="DZ4" s="229" t="s">
        <v>1085</v>
      </c>
      <c r="EA4" s="229" t="s">
        <v>14</v>
      </c>
      <c r="EB4" s="35">
        <v>0.7</v>
      </c>
      <c r="EC4" s="35" t="s">
        <v>25</v>
      </c>
      <c r="ED4" s="229" t="s">
        <v>25</v>
      </c>
      <c r="EE4" s="35">
        <v>0.6</v>
      </c>
      <c r="EF4" s="229" t="s">
        <v>16</v>
      </c>
      <c r="EG4" s="35" t="s">
        <v>1088</v>
      </c>
      <c r="EH4" s="36">
        <v>2016</v>
      </c>
      <c r="EI4" s="36" t="s">
        <v>1062</v>
      </c>
      <c r="EJ4" s="36">
        <v>2</v>
      </c>
      <c r="EK4" s="37">
        <v>672</v>
      </c>
      <c r="EL4" s="34" t="s">
        <v>1080</v>
      </c>
      <c r="EM4" s="34" t="s">
        <v>1218</v>
      </c>
      <c r="EN4" s="36" t="s">
        <v>1046</v>
      </c>
      <c r="EO4" s="61" t="s">
        <v>1282</v>
      </c>
      <c r="EP4" s="61" t="s">
        <v>1157</v>
      </c>
      <c r="EQ4" s="36" t="s">
        <v>1222</v>
      </c>
      <c r="ER4" s="231" t="s">
        <v>1257</v>
      </c>
      <c r="ES4" s="36" t="s">
        <v>1222</v>
      </c>
      <c r="ET4" s="231" t="s">
        <v>1274</v>
      </c>
      <c r="EU4" s="231" t="s">
        <v>1274</v>
      </c>
      <c r="EV4" s="231" t="s">
        <v>1274</v>
      </c>
      <c r="EW4" s="34" t="s">
        <v>1063</v>
      </c>
      <c r="EX4" s="34">
        <v>115.59</v>
      </c>
      <c r="EY4" s="358">
        <f t="shared" si="0"/>
        <v>0.11559</v>
      </c>
      <c r="FA4" s="229" t="str">
        <f>'Indata byggnad och BBR krav'!Y9</f>
        <v>Fjärrvärme</v>
      </c>
      <c r="FB4" s="229" t="str">
        <f>'Indata byggnad och BBR krav'!Z9</f>
        <v>Generisk data</v>
      </c>
      <c r="FC4" s="229">
        <f>'Indata byggnad och BBR krav'!AA9</f>
        <v>0.06</v>
      </c>
    </row>
    <row r="5" spans="1:162" ht="16.5" customHeight="1" x14ac:dyDescent="0.25">
      <c r="C5" s="229"/>
      <c r="D5" s="229"/>
      <c r="F5" s="235"/>
      <c r="Z5" s="233" t="s">
        <v>1206</v>
      </c>
      <c r="BN5" s="234" t="s">
        <v>1122</v>
      </c>
      <c r="BO5" s="39">
        <f>'Indata byggnad och BBR krav'!C17</f>
        <v>0</v>
      </c>
      <c r="BP5" s="234" t="s">
        <v>1129</v>
      </c>
      <c r="CY5" s="31"/>
      <c r="DC5" s="42"/>
      <c r="DD5" s="42"/>
      <c r="DE5" s="42"/>
      <c r="DF5" s="42"/>
      <c r="DL5" s="42"/>
      <c r="DM5" s="42"/>
      <c r="DN5" s="42"/>
      <c r="DO5" s="42"/>
      <c r="DW5" s="232"/>
      <c r="DX5" s="34">
        <v>2</v>
      </c>
      <c r="DY5" s="229" t="s">
        <v>1053</v>
      </c>
      <c r="DZ5" s="229" t="s">
        <v>1085</v>
      </c>
      <c r="EA5" s="229" t="s">
        <v>1095</v>
      </c>
      <c r="EB5" s="241">
        <v>0.6</v>
      </c>
      <c r="EC5" s="35"/>
      <c r="ED5" s="35"/>
      <c r="EE5" s="35"/>
      <c r="EF5" s="229" t="s">
        <v>1076</v>
      </c>
      <c r="EG5" s="229" t="s">
        <v>1089</v>
      </c>
      <c r="EH5" s="36">
        <v>2017</v>
      </c>
      <c r="EI5" s="36" t="s">
        <v>1063</v>
      </c>
      <c r="EJ5" s="36">
        <v>3</v>
      </c>
      <c r="EK5" s="37">
        <v>744</v>
      </c>
      <c r="ER5" s="231" t="s">
        <v>1254</v>
      </c>
      <c r="ET5" s="231" t="s">
        <v>1254</v>
      </c>
      <c r="EU5" s="231" t="s">
        <v>1254</v>
      </c>
      <c r="EV5" s="231" t="s">
        <v>1254</v>
      </c>
      <c r="EW5" s="34" t="s">
        <v>1064</v>
      </c>
      <c r="EX5" s="34">
        <v>98.08</v>
      </c>
      <c r="EY5" s="358">
        <f t="shared" si="0"/>
        <v>9.8080000000000001E-2</v>
      </c>
      <c r="FA5" s="229" t="str">
        <f>'Indata byggnad och BBR krav'!Y10</f>
        <v>Biobränsle</v>
      </c>
      <c r="FB5" s="229" t="str">
        <f>'Indata byggnad och BBR krav'!Z10</f>
        <v>Generisk data</v>
      </c>
      <c r="FC5" s="229">
        <f>'Indata byggnad och BBR krav'!AA10</f>
        <v>2.1999999999999999E-2</v>
      </c>
    </row>
    <row r="6" spans="1:162" s="231" customFormat="1" ht="16.5" customHeight="1" x14ac:dyDescent="0.25">
      <c r="F6" s="235"/>
      <c r="H6" s="232"/>
      <c r="K6" s="232"/>
      <c r="N6" s="232"/>
      <c r="X6" s="233"/>
      <c r="Y6" s="233"/>
      <c r="Z6" s="233" t="s">
        <v>1205</v>
      </c>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4"/>
      <c r="AZ6" s="38"/>
      <c r="BA6" s="234"/>
      <c r="BB6" s="234"/>
      <c r="BC6" s="234"/>
      <c r="BD6" s="234"/>
      <c r="BE6" s="234"/>
      <c r="BF6" s="234"/>
      <c r="BG6" s="234"/>
      <c r="BH6" s="234"/>
      <c r="BI6" s="234"/>
      <c r="BJ6" s="234"/>
      <c r="BK6" s="234"/>
      <c r="BL6" s="234"/>
      <c r="BM6" s="234"/>
      <c r="BN6" s="42" t="s">
        <v>1123</v>
      </c>
      <c r="BO6" s="39">
        <f>'Indata byggnad och BBR krav'!C18</f>
        <v>0</v>
      </c>
      <c r="BP6" s="234" t="s">
        <v>1129</v>
      </c>
      <c r="BQ6" s="234"/>
      <c r="BR6" s="234"/>
      <c r="BS6" s="234"/>
      <c r="BT6" s="234"/>
      <c r="BU6" s="234"/>
      <c r="BV6" s="234"/>
      <c r="BW6" s="234"/>
      <c r="BX6" s="234"/>
      <c r="BY6" s="234"/>
      <c r="BZ6" s="234"/>
      <c r="CA6" s="234"/>
      <c r="CB6" s="234"/>
      <c r="CC6" s="41"/>
      <c r="CD6" s="234"/>
      <c r="CE6" s="234"/>
      <c r="CF6" s="234"/>
      <c r="CG6" s="234"/>
      <c r="CH6" s="234"/>
      <c r="CI6" s="234"/>
      <c r="CJ6" s="234"/>
      <c r="CK6" s="234"/>
      <c r="CL6" s="234"/>
      <c r="CM6" s="234"/>
      <c r="CN6" s="234"/>
      <c r="CO6" s="234"/>
      <c r="CP6" s="234"/>
      <c r="CQ6" s="234"/>
      <c r="CR6" s="234"/>
      <c r="CS6" s="234"/>
      <c r="CT6" s="234"/>
      <c r="CU6" s="234"/>
      <c r="CV6" s="234"/>
      <c r="CW6" s="234"/>
      <c r="CX6" s="234"/>
      <c r="CY6" s="31"/>
      <c r="CZ6" s="234"/>
      <c r="DA6" s="234"/>
      <c r="DB6" s="234"/>
      <c r="DC6" s="234"/>
      <c r="DD6" s="38"/>
      <c r="DE6" s="234"/>
      <c r="DF6" s="234"/>
      <c r="DG6" s="234"/>
      <c r="DH6" s="234"/>
      <c r="DI6" s="234"/>
      <c r="DJ6" s="234"/>
      <c r="DK6" s="234"/>
      <c r="DL6" s="234"/>
      <c r="DM6" s="38"/>
      <c r="DN6" s="234"/>
      <c r="DO6" s="234"/>
      <c r="DP6" s="234"/>
      <c r="DQ6" s="234"/>
      <c r="DR6" s="234"/>
      <c r="DS6" s="234"/>
      <c r="DT6" s="234"/>
      <c r="DU6" s="229"/>
      <c r="DV6" s="229"/>
      <c r="DW6" s="232"/>
      <c r="DX6" s="34">
        <v>3</v>
      </c>
      <c r="DY6" s="229" t="s">
        <v>1054</v>
      </c>
      <c r="DZ6" s="229" t="s">
        <v>1095</v>
      </c>
      <c r="EA6" s="229" t="s">
        <v>1096</v>
      </c>
      <c r="EB6" s="35">
        <v>1.8</v>
      </c>
      <c r="EC6" s="35"/>
      <c r="ED6" s="35"/>
      <c r="EE6" s="35"/>
      <c r="EF6" s="229" t="s">
        <v>1083</v>
      </c>
      <c r="EG6" s="229" t="s">
        <v>1090</v>
      </c>
      <c r="EH6" s="36">
        <v>2018</v>
      </c>
      <c r="EI6" s="36" t="s">
        <v>1064</v>
      </c>
      <c r="EJ6" s="36">
        <v>4</v>
      </c>
      <c r="EK6" s="37">
        <v>720</v>
      </c>
      <c r="EL6" s="229"/>
      <c r="EM6" s="229"/>
      <c r="EN6" s="229"/>
      <c r="EO6" s="229"/>
      <c r="EP6" s="229"/>
      <c r="EQ6" s="229"/>
      <c r="ER6" s="229"/>
      <c r="ES6" s="229"/>
      <c r="EW6" s="34" t="s">
        <v>1065</v>
      </c>
      <c r="EX6" s="34">
        <v>68.42</v>
      </c>
      <c r="EY6" s="358">
        <f t="shared" si="0"/>
        <v>6.8420000000000009E-2</v>
      </c>
      <c r="EZ6" s="229"/>
      <c r="FA6" s="229" t="str">
        <f>'Indata byggnad och BBR krav'!Y11</f>
        <v>Gas (Naturgas)</v>
      </c>
      <c r="FB6" s="229" t="str">
        <f>'Indata byggnad och BBR krav'!Z11</f>
        <v>Generisk data</v>
      </c>
      <c r="FC6" s="229">
        <f>'Indata byggnad och BBR krav'!AA11</f>
        <v>0.26369999999999999</v>
      </c>
    </row>
    <row r="7" spans="1:162" s="231" customFormat="1" ht="28.5" customHeight="1" x14ac:dyDescent="0.25">
      <c r="F7" s="235"/>
      <c r="H7" s="232"/>
      <c r="K7" s="37"/>
      <c r="L7" s="34"/>
      <c r="N7" s="232"/>
      <c r="X7" s="233"/>
      <c r="Y7" s="242"/>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4"/>
      <c r="AZ7" s="38"/>
      <c r="BA7" s="234"/>
      <c r="BB7" s="234"/>
      <c r="BC7" s="234"/>
      <c r="BD7" s="234"/>
      <c r="BE7" s="234"/>
      <c r="BF7" s="234"/>
      <c r="BG7" s="234"/>
      <c r="BH7" s="234"/>
      <c r="BI7" s="234"/>
      <c r="BJ7" s="234"/>
      <c r="BK7" s="234"/>
      <c r="BL7" s="234"/>
      <c r="BM7" s="234"/>
      <c r="BN7" s="41" t="s">
        <v>1247</v>
      </c>
      <c r="BO7" s="39">
        <f>(BO5*BO3+BO6*BO4)/100</f>
        <v>0</v>
      </c>
      <c r="BP7" s="234" t="s">
        <v>1124</v>
      </c>
      <c r="BQ7" s="234"/>
      <c r="BR7" s="234"/>
      <c r="BS7" s="234"/>
      <c r="BT7" s="234"/>
      <c r="BU7" s="234"/>
      <c r="BV7" s="234"/>
      <c r="BW7" s="234"/>
      <c r="BX7" s="234"/>
      <c r="BY7" s="234"/>
      <c r="BZ7" s="234"/>
      <c r="CA7" s="234"/>
      <c r="CB7" s="234"/>
      <c r="CC7" s="41"/>
      <c r="CD7" s="39"/>
      <c r="CE7" s="234"/>
      <c r="CF7" s="234"/>
      <c r="CG7" s="234"/>
      <c r="CH7" s="234"/>
      <c r="CI7" s="41"/>
      <c r="CJ7" s="234"/>
      <c r="CK7" s="234"/>
      <c r="CL7" s="234"/>
      <c r="CM7" s="234"/>
      <c r="CN7" s="234"/>
      <c r="CO7" s="234"/>
      <c r="CP7" s="234"/>
      <c r="CQ7" s="234"/>
      <c r="CR7" s="234"/>
      <c r="CS7" s="234"/>
      <c r="CT7" s="234"/>
      <c r="CU7" s="234"/>
      <c r="CV7" s="234"/>
      <c r="CW7" s="234"/>
      <c r="CX7" s="234"/>
      <c r="CY7" s="31"/>
      <c r="CZ7" s="234"/>
      <c r="DA7" s="234"/>
      <c r="DB7" s="234"/>
      <c r="DC7" s="234"/>
      <c r="DD7" s="43"/>
      <c r="DE7" s="234"/>
      <c r="DF7" s="234"/>
      <c r="DG7" s="234"/>
      <c r="DH7" s="234"/>
      <c r="DI7" s="234"/>
      <c r="DJ7" s="234"/>
      <c r="DK7" s="234"/>
      <c r="DL7" s="234"/>
      <c r="DM7" s="43"/>
      <c r="DN7" s="234"/>
      <c r="DO7" s="234"/>
      <c r="DP7" s="234"/>
      <c r="DQ7" s="234"/>
      <c r="DR7" s="234"/>
      <c r="DS7" s="234"/>
      <c r="DT7" s="234"/>
      <c r="DU7" s="229"/>
      <c r="DV7" s="229"/>
      <c r="DW7" s="232"/>
      <c r="DX7" s="34">
        <v>4</v>
      </c>
      <c r="DY7" s="231" t="s">
        <v>1056</v>
      </c>
      <c r="DZ7" s="229" t="s">
        <v>1095</v>
      </c>
      <c r="EA7" s="231" t="s">
        <v>1097</v>
      </c>
      <c r="EB7" s="241">
        <v>1.8</v>
      </c>
      <c r="EC7" s="35"/>
      <c r="ED7" s="35"/>
      <c r="EE7" s="35"/>
      <c r="EF7" s="229"/>
      <c r="EG7" s="229"/>
      <c r="EH7" s="36">
        <v>2019</v>
      </c>
      <c r="EI7" s="36" t="s">
        <v>1065</v>
      </c>
      <c r="EJ7" s="36">
        <v>5</v>
      </c>
      <c r="EK7" s="37">
        <v>744</v>
      </c>
      <c r="EL7" s="229"/>
      <c r="EM7" s="229"/>
      <c r="EN7" s="229"/>
      <c r="EO7" s="229"/>
      <c r="EP7" s="229"/>
      <c r="EQ7" s="229"/>
      <c r="ER7" s="229"/>
      <c r="ES7" s="229"/>
      <c r="EW7" s="34" t="s">
        <v>1066</v>
      </c>
      <c r="EX7" s="34">
        <v>41.13</v>
      </c>
      <c r="EY7" s="358">
        <f t="shared" si="0"/>
        <v>4.113E-2</v>
      </c>
      <c r="EZ7" s="229"/>
      <c r="FA7" s="229" t="str">
        <f>'Indata byggnad och BBR krav'!Y12</f>
        <v>Olja</v>
      </c>
      <c r="FB7" s="229" t="str">
        <f>'Indata byggnad och BBR krav'!Z12</f>
        <v>Generisk data</v>
      </c>
      <c r="FC7" s="229">
        <f>'Indata byggnad och BBR krav'!AA12</f>
        <v>0.30130000000000001</v>
      </c>
    </row>
    <row r="8" spans="1:162" s="231" customFormat="1" ht="16.5" customHeight="1" x14ac:dyDescent="0.25">
      <c r="F8" s="40"/>
      <c r="H8" s="232"/>
      <c r="I8" s="34"/>
      <c r="J8" s="34"/>
      <c r="K8" s="37"/>
      <c r="L8" s="34"/>
      <c r="N8" s="232"/>
      <c r="X8" s="236"/>
      <c r="Y8" s="242"/>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4"/>
      <c r="AZ8" s="38"/>
      <c r="BA8" s="234"/>
      <c r="BB8" s="234"/>
      <c r="BC8" s="234"/>
      <c r="BD8" s="234"/>
      <c r="BE8" s="234"/>
      <c r="BF8" s="234"/>
      <c r="BG8" s="234"/>
      <c r="BH8" s="234"/>
      <c r="BI8" s="234"/>
      <c r="BJ8" s="234"/>
      <c r="BK8" s="234"/>
      <c r="BL8" s="234"/>
      <c r="BM8" s="234"/>
      <c r="BN8" s="41" t="s">
        <v>1125</v>
      </c>
      <c r="BO8" s="288" t="e">
        <f>IF(AND($D$177="Separat mätdata finns",$D$194&gt;10),$D$194,$BO$7)</f>
        <v>#DIV/0!</v>
      </c>
      <c r="BP8" s="234" t="s">
        <v>1124</v>
      </c>
      <c r="BQ8" s="234"/>
      <c r="BR8" s="234"/>
      <c r="BS8" s="234"/>
      <c r="BT8" s="234"/>
      <c r="BU8" s="234"/>
      <c r="BV8" s="234"/>
      <c r="BW8" s="234"/>
      <c r="BX8" s="234"/>
      <c r="BY8" s="234"/>
      <c r="BZ8" s="234"/>
      <c r="CA8" s="234"/>
      <c r="CB8" s="234"/>
      <c r="CC8" s="41"/>
      <c r="CD8" s="39"/>
      <c r="CE8" s="234"/>
      <c r="CF8" s="234"/>
      <c r="CG8" s="234"/>
      <c r="CH8" s="234"/>
      <c r="CI8" s="234"/>
      <c r="CJ8" s="234"/>
      <c r="CK8" s="234"/>
      <c r="CL8" s="234"/>
      <c r="CM8" s="234"/>
      <c r="CN8" s="234"/>
      <c r="CO8" s="234"/>
      <c r="CP8" s="234"/>
      <c r="CQ8" s="234"/>
      <c r="CR8" s="234"/>
      <c r="CS8" s="234"/>
      <c r="CT8" s="234"/>
      <c r="CU8" s="234"/>
      <c r="CV8" s="234"/>
      <c r="CW8" s="234"/>
      <c r="CX8" s="234"/>
      <c r="CY8" s="31"/>
      <c r="CZ8" s="234"/>
      <c r="DA8" s="234"/>
      <c r="DB8" s="234"/>
      <c r="DC8" s="234"/>
      <c r="DD8" s="43"/>
      <c r="DE8" s="234"/>
      <c r="DF8" s="234"/>
      <c r="DG8" s="234"/>
      <c r="DH8" s="234"/>
      <c r="DI8" s="234"/>
      <c r="DJ8" s="234"/>
      <c r="DK8" s="234"/>
      <c r="DL8" s="234"/>
      <c r="DM8" s="43"/>
      <c r="DN8" s="234"/>
      <c r="DO8" s="234"/>
      <c r="DP8" s="234"/>
      <c r="DQ8" s="234"/>
      <c r="DR8" s="234"/>
      <c r="DS8" s="234"/>
      <c r="DT8" s="234"/>
      <c r="DW8" s="232"/>
      <c r="DX8" s="34">
        <v>5</v>
      </c>
      <c r="DY8" s="231" t="s">
        <v>1057</v>
      </c>
      <c r="DZ8" s="231" t="s">
        <v>1097</v>
      </c>
      <c r="EB8" s="241"/>
      <c r="EC8" s="241"/>
      <c r="ED8" s="241"/>
      <c r="EE8" s="241"/>
      <c r="EH8" s="36">
        <v>2020</v>
      </c>
      <c r="EI8" s="34" t="s">
        <v>1066</v>
      </c>
      <c r="EJ8" s="36">
        <v>6</v>
      </c>
      <c r="EK8" s="37">
        <v>720</v>
      </c>
      <c r="EW8" s="34" t="s">
        <v>1067</v>
      </c>
      <c r="EX8" s="34">
        <v>30.96</v>
      </c>
      <c r="EY8" s="358">
        <f t="shared" si="0"/>
        <v>3.0960000000000001E-2</v>
      </c>
      <c r="FA8" s="229" t="str">
        <f>'Indata byggnad och BBR krav'!Y13</f>
        <v>Fjärrkyla</v>
      </c>
      <c r="FB8" s="229" t="str">
        <f>'Indata byggnad och BBR krav'!Z13</f>
        <v>Generisk data</v>
      </c>
      <c r="FC8" s="229">
        <f>'Indata byggnad och BBR krav'!AA13</f>
        <v>0.06</v>
      </c>
    </row>
    <row r="9" spans="1:162" s="231" customFormat="1" ht="16.5" customHeight="1" x14ac:dyDescent="0.3">
      <c r="C9" s="230" t="s">
        <v>1416</v>
      </c>
      <c r="F9" s="40"/>
      <c r="H9" s="232"/>
      <c r="I9" s="34"/>
      <c r="J9" s="34"/>
      <c r="K9" s="37"/>
      <c r="L9" s="34"/>
      <c r="N9" s="232"/>
      <c r="X9" s="233"/>
      <c r="Y9" s="24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4"/>
      <c r="AZ9" s="33" t="s">
        <v>1104</v>
      </c>
      <c r="BA9" s="234"/>
      <c r="BB9" s="234"/>
      <c r="BC9" s="234"/>
      <c r="BD9" s="234"/>
      <c r="BE9" s="234"/>
      <c r="BF9" s="234"/>
      <c r="BG9" s="234"/>
      <c r="BH9" s="33"/>
      <c r="BI9" s="234"/>
      <c r="BJ9" s="234"/>
      <c r="BK9" s="234"/>
      <c r="BL9" s="234"/>
      <c r="BM9" s="234"/>
      <c r="BN9" s="41" t="s">
        <v>1126</v>
      </c>
      <c r="BO9" s="44" t="e">
        <f>BO8-BO7</f>
        <v>#DIV/0!</v>
      </c>
      <c r="BP9" s="234" t="s">
        <v>1124</v>
      </c>
      <c r="BQ9" s="234"/>
      <c r="BR9" s="234"/>
      <c r="BS9" s="234"/>
      <c r="BT9" s="234"/>
      <c r="BU9" s="234"/>
      <c r="BV9" s="234"/>
      <c r="BW9" s="234"/>
      <c r="BX9" s="234"/>
      <c r="BY9" s="234"/>
      <c r="BZ9" s="234"/>
      <c r="CA9" s="234"/>
      <c r="CB9" s="38" t="s">
        <v>1168</v>
      </c>
      <c r="CC9" s="41"/>
      <c r="CD9" s="39"/>
      <c r="CE9" s="234"/>
      <c r="CF9" s="234"/>
      <c r="CG9" s="234"/>
      <c r="CH9" s="234"/>
      <c r="CI9" s="234"/>
      <c r="CJ9" s="38" t="s">
        <v>1109</v>
      </c>
      <c r="CK9" s="234"/>
      <c r="CL9" s="234"/>
      <c r="CM9" s="234"/>
      <c r="CN9" s="234"/>
      <c r="CO9" s="234"/>
      <c r="CP9" s="234"/>
      <c r="CQ9" s="234"/>
      <c r="CR9" s="234"/>
      <c r="CS9" s="234"/>
      <c r="CT9" s="234"/>
      <c r="CU9" s="234"/>
      <c r="CV9" s="234"/>
      <c r="CW9" s="234"/>
      <c r="CX9" s="234"/>
      <c r="CY9" s="31"/>
      <c r="CZ9" s="234"/>
      <c r="DA9" s="234"/>
      <c r="DB9" s="234"/>
      <c r="DC9" s="234"/>
      <c r="DD9" s="234"/>
      <c r="DE9" s="234"/>
      <c r="DF9" s="234"/>
      <c r="DG9" s="234"/>
      <c r="DH9" s="234"/>
      <c r="DI9" s="234"/>
      <c r="DJ9" s="234"/>
      <c r="DK9" s="234"/>
      <c r="DL9" s="234"/>
      <c r="DM9" s="234"/>
      <c r="DN9" s="234"/>
      <c r="DO9" s="234"/>
      <c r="DP9" s="234"/>
      <c r="DQ9" s="234"/>
      <c r="DR9" s="234"/>
      <c r="DS9" s="234"/>
      <c r="DT9" s="234"/>
      <c r="DW9" s="232"/>
      <c r="DY9" s="229" t="s">
        <v>1055</v>
      </c>
      <c r="DZ9" s="231" t="s">
        <v>1096</v>
      </c>
      <c r="EC9" s="241"/>
      <c r="ED9" s="241"/>
      <c r="EE9" s="241"/>
      <c r="EH9" s="36">
        <v>2021</v>
      </c>
      <c r="EI9" s="34" t="s">
        <v>1067</v>
      </c>
      <c r="EJ9" s="36">
        <v>7</v>
      </c>
      <c r="EK9" s="37">
        <v>744</v>
      </c>
      <c r="EW9" s="34" t="s">
        <v>1068</v>
      </c>
      <c r="EX9" s="34">
        <v>33.47</v>
      </c>
      <c r="EY9" s="358">
        <f t="shared" si="0"/>
        <v>3.347E-2</v>
      </c>
      <c r="FA9" s="229">
        <f>'Indata byggnad och BBR krav'!Y14</f>
        <v>0</v>
      </c>
      <c r="FB9" s="229">
        <f>'Indata byggnad och BBR krav'!Z14</f>
        <v>0</v>
      </c>
      <c r="FC9" s="229">
        <f>'Indata byggnad och BBR krav'!AA14</f>
        <v>0</v>
      </c>
    </row>
    <row r="10" spans="1:162" s="231" customFormat="1" ht="16.5" customHeight="1" x14ac:dyDescent="0.3">
      <c r="B10" s="216"/>
      <c r="C10" s="216"/>
      <c r="D10" s="210"/>
      <c r="E10" s="210"/>
      <c r="F10" s="210"/>
      <c r="G10" s="210"/>
      <c r="H10" s="210"/>
      <c r="I10" s="210"/>
      <c r="J10" s="210"/>
      <c r="K10" s="210"/>
      <c r="L10" s="210"/>
      <c r="M10" s="210"/>
      <c r="N10" s="210"/>
      <c r="O10" s="210"/>
      <c r="P10" s="210"/>
      <c r="Q10" s="210"/>
      <c r="R10" s="210"/>
      <c r="S10" s="210"/>
      <c r="T10" s="210"/>
      <c r="U10" s="210"/>
      <c r="V10" s="210"/>
      <c r="W10" s="210"/>
      <c r="X10" s="233"/>
      <c r="Y10" s="24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4"/>
      <c r="AZ10" s="38"/>
      <c r="BA10" s="234"/>
      <c r="BB10" s="234"/>
      <c r="BC10" s="234"/>
      <c r="BD10" s="234"/>
      <c r="BE10" s="234"/>
      <c r="BF10" s="234"/>
      <c r="BG10" s="234"/>
      <c r="BH10" s="33"/>
      <c r="BI10" s="234"/>
      <c r="BJ10" s="234"/>
      <c r="BK10" s="234"/>
      <c r="BL10" s="234"/>
      <c r="BM10" s="234"/>
      <c r="BN10" s="41" t="s">
        <v>1178</v>
      </c>
      <c r="BO10" s="44" t="e">
        <f>IF(BO9&gt;0,INT(BO9+0.3),IF(BO9&lt;0,INT(BO9),0))</f>
        <v>#DIV/0!</v>
      </c>
      <c r="BP10" s="234" t="s">
        <v>1124</v>
      </c>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31"/>
      <c r="CZ10" s="234"/>
      <c r="DA10" s="234"/>
      <c r="DB10" s="234"/>
      <c r="DC10" s="234"/>
      <c r="DD10" s="234"/>
      <c r="DE10" s="234"/>
      <c r="DF10" s="234"/>
      <c r="DG10" s="234"/>
      <c r="DH10" s="234"/>
      <c r="DI10" s="234"/>
      <c r="DJ10" s="234"/>
      <c r="DK10" s="234"/>
      <c r="DL10" s="234"/>
      <c r="DM10" s="234"/>
      <c r="DN10" s="234"/>
      <c r="DO10" s="234"/>
      <c r="DP10" s="234"/>
      <c r="DQ10" s="234"/>
      <c r="DR10" s="234"/>
      <c r="DS10" s="234"/>
      <c r="DT10" s="234"/>
      <c r="DW10" s="232"/>
      <c r="DY10" s="231" t="s">
        <v>1058</v>
      </c>
      <c r="DZ10" s="231" t="s">
        <v>1095</v>
      </c>
      <c r="EC10" s="241"/>
      <c r="ED10" s="241"/>
      <c r="EE10" s="241"/>
      <c r="EH10" s="36">
        <v>2022</v>
      </c>
      <c r="EI10" s="34" t="s">
        <v>1068</v>
      </c>
      <c r="EJ10" s="36">
        <v>8</v>
      </c>
      <c r="EK10" s="37">
        <v>744</v>
      </c>
      <c r="EW10" s="34" t="s">
        <v>1069</v>
      </c>
      <c r="EX10" s="34">
        <v>54.63</v>
      </c>
      <c r="EY10" s="358">
        <f t="shared" si="0"/>
        <v>5.4630000000000005E-2</v>
      </c>
      <c r="FA10" s="229"/>
      <c r="FB10" s="229"/>
      <c r="FC10" s="229"/>
    </row>
    <row r="11" spans="1:162" s="231" customFormat="1" ht="16.5" customHeight="1" x14ac:dyDescent="0.25">
      <c r="A11" s="210"/>
      <c r="B11" s="382">
        <v>1</v>
      </c>
      <c r="C11" s="383" t="s">
        <v>1259</v>
      </c>
      <c r="D11" s="384"/>
      <c r="E11" s="385"/>
      <c r="F11" s="384"/>
      <c r="G11" s="384"/>
      <c r="H11" s="384"/>
      <c r="I11" s="384"/>
      <c r="J11" s="384"/>
      <c r="K11" s="384"/>
      <c r="L11" s="384"/>
      <c r="M11" s="385"/>
      <c r="N11" s="385"/>
      <c r="O11" s="385"/>
      <c r="P11" s="385"/>
      <c r="Q11" s="385"/>
      <c r="R11" s="385"/>
      <c r="S11" s="385"/>
      <c r="T11" s="385"/>
      <c r="U11" s="385"/>
      <c r="V11" s="385"/>
      <c r="W11" s="386"/>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4"/>
      <c r="AZ11" s="38"/>
      <c r="BA11" s="234"/>
      <c r="BB11" s="234"/>
      <c r="BC11" s="234"/>
      <c r="BD11" s="234"/>
      <c r="BE11" s="234"/>
      <c r="BF11" s="234"/>
      <c r="BG11" s="234"/>
      <c r="BH11" s="38"/>
      <c r="BI11" s="234"/>
      <c r="BJ11" s="234"/>
      <c r="BK11" s="234"/>
      <c r="BL11" s="234"/>
      <c r="BM11" s="234"/>
      <c r="BN11" s="234" t="s">
        <v>1119</v>
      </c>
      <c r="BO11" s="181" t="e">
        <f ca="1">IF(BO10&gt;1,OFFSET(Sänkningsvärde!$DI$359,BO10,0),IF(BO10&lt;-1,OFFSET(Sänkningsvärde!$DI$359,BO10-1,0),0))</f>
        <v>#DIV/0!</v>
      </c>
      <c r="BP11" s="310" t="s">
        <v>1248</v>
      </c>
      <c r="BQ11" s="234"/>
      <c r="BR11" s="234"/>
      <c r="BS11" s="234"/>
      <c r="BT11" s="234"/>
      <c r="BU11" s="234"/>
      <c r="BV11" s="234"/>
      <c r="BW11" s="234"/>
      <c r="BX11" s="234"/>
      <c r="BY11" s="234"/>
      <c r="BZ11" s="234"/>
      <c r="CA11" s="234"/>
      <c r="CB11" s="234"/>
      <c r="CC11" s="41" t="s">
        <v>1203</v>
      </c>
      <c r="CD11" s="46">
        <f>BD171</f>
        <v>0</v>
      </c>
      <c r="CE11" s="234"/>
      <c r="CF11" s="234"/>
      <c r="CG11" s="234"/>
      <c r="CH11" s="234"/>
      <c r="CI11" s="234"/>
      <c r="CJ11" s="41" t="s">
        <v>1304</v>
      </c>
      <c r="CK11" s="47">
        <f>$AH$142</f>
        <v>0</v>
      </c>
      <c r="CL11" s="234"/>
      <c r="CM11" s="234"/>
      <c r="CN11" s="234"/>
      <c r="CO11" s="234"/>
      <c r="CP11" s="234"/>
      <c r="CQ11" s="234"/>
      <c r="CR11" s="234"/>
      <c r="CS11" s="234"/>
      <c r="CT11" s="234"/>
      <c r="CU11" s="234"/>
      <c r="CV11" s="234"/>
      <c r="CW11" s="234"/>
      <c r="CX11" s="234"/>
      <c r="CY11" s="31"/>
      <c r="CZ11" s="234"/>
      <c r="DA11" s="234"/>
      <c r="DB11" s="234"/>
      <c r="DC11" s="234"/>
      <c r="DD11" s="290" t="s">
        <v>1392</v>
      </c>
      <c r="DE11" s="45"/>
      <c r="DF11" s="234"/>
      <c r="DG11" s="234"/>
      <c r="DH11" s="234"/>
      <c r="DI11" s="234"/>
      <c r="DJ11" s="234"/>
      <c r="DK11" s="234"/>
      <c r="DL11" s="234"/>
      <c r="DM11" s="290" t="s">
        <v>1393</v>
      </c>
      <c r="DN11" s="45"/>
      <c r="DO11" s="234"/>
      <c r="DP11" s="234"/>
      <c r="DQ11" s="234"/>
      <c r="DR11" s="234"/>
      <c r="DS11" s="234"/>
      <c r="DT11" s="234"/>
      <c r="EI11" s="34" t="s">
        <v>1069</v>
      </c>
      <c r="EJ11" s="36">
        <v>9</v>
      </c>
      <c r="EK11" s="37">
        <v>720</v>
      </c>
      <c r="EW11" s="34" t="s">
        <v>1070</v>
      </c>
      <c r="EX11" s="34">
        <v>90.89</v>
      </c>
      <c r="EY11" s="358">
        <f t="shared" si="0"/>
        <v>9.0889999999999999E-2</v>
      </c>
      <c r="FA11" s="229"/>
      <c r="FB11" s="229"/>
      <c r="FC11" s="229"/>
    </row>
    <row r="12" spans="1:162" s="231" customFormat="1" ht="16.5" customHeight="1" x14ac:dyDescent="0.25">
      <c r="A12" s="210"/>
      <c r="X12" s="233"/>
      <c r="Y12" s="242"/>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4"/>
      <c r="AZ12" s="38"/>
      <c r="BA12" s="234"/>
      <c r="BB12" s="234"/>
      <c r="BC12" s="234"/>
      <c r="BD12" s="234"/>
      <c r="BE12" s="234"/>
      <c r="BF12" s="234"/>
      <c r="BG12" s="234"/>
      <c r="BH12" s="38"/>
      <c r="BI12" s="234"/>
      <c r="BJ12" s="234"/>
      <c r="BK12" s="234"/>
      <c r="BL12" s="234"/>
      <c r="BM12" s="234"/>
      <c r="BN12" s="234" t="s">
        <v>1120</v>
      </c>
      <c r="BO12" s="181" t="e">
        <f ca="1">1-BO11</f>
        <v>#DIV/0!</v>
      </c>
      <c r="BP12" s="175"/>
      <c r="BQ12" s="234"/>
      <c r="BR12" s="234"/>
      <c r="BS12" s="234"/>
      <c r="BT12" s="234"/>
      <c r="BU12" s="234"/>
      <c r="BV12" s="234"/>
      <c r="BW12" s="234"/>
      <c r="BX12" s="234"/>
      <c r="BY12" s="234"/>
      <c r="BZ12" s="234"/>
      <c r="CA12" s="234"/>
      <c r="CB12" s="234"/>
      <c r="CC12" s="234"/>
      <c r="CD12" s="234"/>
      <c r="CE12" s="234"/>
      <c r="CF12" s="234"/>
      <c r="CG12" s="234"/>
      <c r="CH12" s="234"/>
      <c r="CI12" s="234"/>
      <c r="CJ12" s="43"/>
      <c r="CK12" s="234"/>
      <c r="CL12" s="234"/>
      <c r="CM12" s="49"/>
      <c r="CN12" s="234"/>
      <c r="CO12" s="234"/>
      <c r="CP12" s="234"/>
      <c r="CQ12" s="234"/>
      <c r="CR12" s="234"/>
      <c r="CS12" s="234"/>
      <c r="CT12" s="234"/>
      <c r="CU12" s="38" t="s">
        <v>1102</v>
      </c>
      <c r="CV12" s="234"/>
      <c r="CW12" s="234"/>
      <c r="CX12" s="234"/>
      <c r="CY12" s="234"/>
      <c r="CZ12" s="234"/>
      <c r="DA12" s="234"/>
      <c r="DB12" s="234"/>
      <c r="DC12" s="234"/>
      <c r="DD12" s="38" t="s">
        <v>1110</v>
      </c>
      <c r="DE12" s="234"/>
      <c r="DF12" s="234"/>
      <c r="DG12" s="234"/>
      <c r="DH12" s="234"/>
      <c r="DI12" s="234"/>
      <c r="DJ12" s="234"/>
      <c r="DK12" s="234"/>
      <c r="DL12" s="234"/>
      <c r="DM12" s="38" t="s">
        <v>1110</v>
      </c>
      <c r="DN12" s="234"/>
      <c r="DO12" s="234"/>
      <c r="DP12" s="234"/>
      <c r="DQ12" s="234"/>
      <c r="DR12" s="234"/>
      <c r="DS12" s="234"/>
      <c r="DT12" s="234"/>
      <c r="EI12" s="34" t="s">
        <v>1070</v>
      </c>
      <c r="EJ12" s="36">
        <v>10</v>
      </c>
      <c r="EK12" s="37">
        <v>744</v>
      </c>
      <c r="EW12" s="34" t="s">
        <v>1071</v>
      </c>
      <c r="EX12" s="34">
        <v>106.04</v>
      </c>
      <c r="EY12" s="358">
        <f t="shared" si="0"/>
        <v>0.10604000000000001</v>
      </c>
      <c r="FA12" s="229"/>
      <c r="FB12" s="229"/>
      <c r="FC12" s="229"/>
    </row>
    <row r="13" spans="1:162" s="231" customFormat="1" ht="16.5" customHeight="1" x14ac:dyDescent="0.3">
      <c r="B13" s="232"/>
      <c r="C13" s="232"/>
      <c r="D13" s="232"/>
      <c r="E13" s="232"/>
      <c r="F13" s="505" t="s">
        <v>1138</v>
      </c>
      <c r="G13" s="505"/>
      <c r="H13" s="232"/>
      <c r="I13" s="238" t="s">
        <v>1047</v>
      </c>
      <c r="J13" s="232"/>
      <c r="K13" s="232"/>
      <c r="L13" s="238" t="s">
        <v>1048</v>
      </c>
      <c r="M13" s="232"/>
      <c r="N13" s="232"/>
      <c r="O13" s="238" t="s">
        <v>1049</v>
      </c>
      <c r="P13" s="232"/>
      <c r="Q13" s="232"/>
      <c r="R13" s="232"/>
      <c r="S13" s="232"/>
      <c r="T13" s="232"/>
      <c r="U13" s="232"/>
      <c r="V13" s="232"/>
      <c r="W13" s="232"/>
      <c r="X13" s="233"/>
      <c r="Y13" s="32" t="s">
        <v>1103</v>
      </c>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4"/>
      <c r="AZ13" s="38"/>
      <c r="BA13" s="234"/>
      <c r="BB13" s="234"/>
      <c r="BC13" s="234"/>
      <c r="BD13" s="234"/>
      <c r="BE13" s="234"/>
      <c r="BF13" s="234"/>
      <c r="BG13" s="234"/>
      <c r="BH13" s="50" t="s">
        <v>1170</v>
      </c>
      <c r="BI13" s="234"/>
      <c r="BJ13" s="234"/>
      <c r="BK13" s="234"/>
      <c r="BL13" s="234"/>
      <c r="BM13" s="234"/>
      <c r="BN13" s="234"/>
      <c r="BO13" s="234"/>
      <c r="BP13" s="234"/>
      <c r="BQ13" s="234"/>
      <c r="BR13" s="234"/>
      <c r="BS13" s="49"/>
      <c r="BT13" s="234"/>
      <c r="BU13" s="234"/>
      <c r="BV13" s="234"/>
      <c r="BW13" s="234"/>
      <c r="BX13" s="234"/>
      <c r="BY13" s="49"/>
      <c r="BZ13" s="49"/>
      <c r="CA13" s="51" t="s">
        <v>1093</v>
      </c>
      <c r="CB13" s="52" t="s">
        <v>14</v>
      </c>
      <c r="CC13" s="52" t="s">
        <v>1085</v>
      </c>
      <c r="CD13" s="52" t="s">
        <v>1100</v>
      </c>
      <c r="CE13" s="52" t="s">
        <v>1096</v>
      </c>
      <c r="CF13" s="52" t="s">
        <v>1097</v>
      </c>
      <c r="CG13" s="234"/>
      <c r="CH13" s="234"/>
      <c r="CI13" s="51" t="s">
        <v>1093</v>
      </c>
      <c r="CJ13" s="52" t="s">
        <v>14</v>
      </c>
      <c r="CK13" s="52" t="s">
        <v>1085</v>
      </c>
      <c r="CL13" s="52" t="s">
        <v>1100</v>
      </c>
      <c r="CM13" s="52" t="s">
        <v>1096</v>
      </c>
      <c r="CN13" s="52" t="s">
        <v>1097</v>
      </c>
      <c r="CO13" s="234"/>
      <c r="CP13" s="49"/>
      <c r="CQ13" s="49"/>
      <c r="CR13" s="49"/>
      <c r="CS13" s="49"/>
      <c r="CT13" s="234"/>
      <c r="CU13" s="43"/>
      <c r="CV13" s="234"/>
      <c r="CW13" s="234"/>
      <c r="CX13" s="49"/>
      <c r="CY13" s="234"/>
      <c r="CZ13" s="234"/>
      <c r="DA13" s="234"/>
      <c r="DB13" s="49"/>
      <c r="DC13" s="234"/>
      <c r="DD13" s="43"/>
      <c r="DE13" s="234"/>
      <c r="DF13" s="234"/>
      <c r="DG13" s="49"/>
      <c r="DH13" s="234"/>
      <c r="DI13" s="234"/>
      <c r="DJ13" s="234"/>
      <c r="DK13" s="234"/>
      <c r="DL13" s="234"/>
      <c r="DM13" s="43"/>
      <c r="DN13" s="234"/>
      <c r="DO13" s="234"/>
      <c r="DP13" s="49"/>
      <c r="DQ13" s="234"/>
      <c r="DR13" s="234"/>
      <c r="DS13" s="234"/>
      <c r="DT13" s="234"/>
      <c r="EI13" s="34" t="s">
        <v>1071</v>
      </c>
      <c r="EJ13" s="36">
        <v>11</v>
      </c>
      <c r="EK13" s="37">
        <v>720</v>
      </c>
      <c r="EW13" s="34" t="s">
        <v>1072</v>
      </c>
      <c r="EX13" s="300">
        <v>117.01</v>
      </c>
      <c r="EY13" s="359">
        <f t="shared" si="0"/>
        <v>0.11701</v>
      </c>
      <c r="FA13" s="229"/>
      <c r="FB13" s="229"/>
      <c r="FC13" s="229"/>
    </row>
    <row r="14" spans="1:162" s="231" customFormat="1" ht="16.5" customHeight="1" x14ac:dyDescent="0.25">
      <c r="A14" s="232"/>
      <c r="B14" s="232"/>
      <c r="C14" s="53" t="s">
        <v>1050</v>
      </c>
      <c r="D14" s="446">
        <v>1</v>
      </c>
      <c r="E14" s="232"/>
      <c r="F14" s="54" t="s">
        <v>9</v>
      </c>
      <c r="G14" s="368">
        <v>2017</v>
      </c>
      <c r="H14" s="37"/>
      <c r="I14" s="55" t="s">
        <v>1208</v>
      </c>
      <c r="J14" s="368" t="s">
        <v>14</v>
      </c>
      <c r="K14" s="37"/>
      <c r="L14" s="55" t="s">
        <v>1208</v>
      </c>
      <c r="M14" s="368" t="s">
        <v>15</v>
      </c>
      <c r="N14" s="37"/>
      <c r="O14" s="55" t="s">
        <v>1208</v>
      </c>
      <c r="P14" s="368" t="s">
        <v>1053</v>
      </c>
      <c r="Q14" s="37"/>
      <c r="R14" s="37"/>
      <c r="S14" s="37"/>
      <c r="T14" s="37"/>
      <c r="U14" s="37"/>
      <c r="V14" s="37"/>
      <c r="W14" s="232"/>
      <c r="X14" s="245"/>
      <c r="Y14" s="245"/>
      <c r="Z14" s="245"/>
      <c r="AA14" s="245"/>
      <c r="AB14" s="245"/>
      <c r="AC14" s="245"/>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57"/>
      <c r="AZ14" s="38"/>
      <c r="BA14" s="234"/>
      <c r="BB14" s="234"/>
      <c r="BC14" s="234"/>
      <c r="BD14" s="234"/>
      <c r="BE14" s="234"/>
      <c r="BF14" s="234"/>
      <c r="BG14" s="38"/>
      <c r="BH14" s="58" t="s">
        <v>1045</v>
      </c>
      <c r="BI14" s="49" t="s">
        <v>1173</v>
      </c>
      <c r="BJ14" s="234"/>
      <c r="BK14" s="234"/>
      <c r="BL14" s="49"/>
      <c r="BM14" s="51" t="s">
        <v>1093</v>
      </c>
      <c r="BN14" s="52" t="s">
        <v>14</v>
      </c>
      <c r="BO14" s="52" t="s">
        <v>1085</v>
      </c>
      <c r="BP14" s="52" t="s">
        <v>1100</v>
      </c>
      <c r="BQ14" s="52" t="s">
        <v>1096</v>
      </c>
      <c r="BR14" s="52" t="s">
        <v>1097</v>
      </c>
      <c r="BS14" s="49"/>
      <c r="BT14" s="59" t="s">
        <v>1181</v>
      </c>
      <c r="BU14" s="49"/>
      <c r="BV14" s="49"/>
      <c r="BW14" s="49"/>
      <c r="BX14" s="49"/>
      <c r="BY14" s="49"/>
      <c r="BZ14" s="49"/>
      <c r="CA14" s="234" t="s">
        <v>13</v>
      </c>
      <c r="CB14" s="52">
        <f>IF($Y$31&gt;0,$Y$32/$Y$31,0)</f>
        <v>0</v>
      </c>
      <c r="CC14" s="47">
        <f>IF(Z31&gt;0,Z32/Z31,0)</f>
        <v>0</v>
      </c>
      <c r="CD14" s="52">
        <f>IF(AA31&gt;0,AA32/AA31,0)</f>
        <v>0</v>
      </c>
      <c r="CE14" s="52">
        <f>IF(AB31&gt;0,AB32/AB31,0)</f>
        <v>0</v>
      </c>
      <c r="CF14" s="52">
        <f>IF(AC31&gt;0,AC32/AC31,0)</f>
        <v>0</v>
      </c>
      <c r="CG14" s="234"/>
      <c r="CH14" s="234"/>
      <c r="CI14" s="41" t="s">
        <v>13</v>
      </c>
      <c r="CJ14" s="52">
        <f>IF(Y31&gt;0,Y32/Y31,0)</f>
        <v>0</v>
      </c>
      <c r="CK14" s="47">
        <f>IF(Z31&gt;0,Z32/Z31,0)</f>
        <v>0</v>
      </c>
      <c r="CL14" s="52">
        <f>IF(AA31&gt;0,AA32/AA31,0)</f>
        <v>0</v>
      </c>
      <c r="CM14" s="52">
        <f>IF(AB31&gt;0,AB32/AB31,0)</f>
        <v>0</v>
      </c>
      <c r="CN14" s="52">
        <f>IF(AC31&gt;0,AC32/AC31,0)</f>
        <v>0</v>
      </c>
      <c r="CO14" s="234"/>
      <c r="CP14" s="49"/>
      <c r="CQ14" s="49"/>
      <c r="CR14" s="49"/>
      <c r="CS14" s="49"/>
      <c r="CT14" s="51" t="s">
        <v>1093</v>
      </c>
      <c r="CU14" s="52" t="s">
        <v>14</v>
      </c>
      <c r="CV14" s="52" t="s">
        <v>1085</v>
      </c>
      <c r="CW14" s="52" t="s">
        <v>1100</v>
      </c>
      <c r="CX14" s="52" t="s">
        <v>1096</v>
      </c>
      <c r="CY14" s="52" t="s">
        <v>1097</v>
      </c>
      <c r="CZ14" s="234"/>
      <c r="DA14" s="234"/>
      <c r="DB14" s="49"/>
      <c r="DC14" s="51" t="s">
        <v>1093</v>
      </c>
      <c r="DD14" s="52" t="s">
        <v>14</v>
      </c>
      <c r="DE14" s="52" t="s">
        <v>1085</v>
      </c>
      <c r="DF14" s="52" t="s">
        <v>1100</v>
      </c>
      <c r="DG14" s="52" t="s">
        <v>1096</v>
      </c>
      <c r="DH14" s="52" t="s">
        <v>1097</v>
      </c>
      <c r="DI14" s="234"/>
      <c r="DJ14" s="234"/>
      <c r="DK14" s="234"/>
      <c r="DL14" s="51" t="s">
        <v>1093</v>
      </c>
      <c r="DM14" s="52" t="s">
        <v>14</v>
      </c>
      <c r="DN14" s="52" t="s">
        <v>1085</v>
      </c>
      <c r="DO14" s="52" t="s">
        <v>1100</v>
      </c>
      <c r="DP14" s="52" t="s">
        <v>1096</v>
      </c>
      <c r="DQ14" s="52" t="s">
        <v>1097</v>
      </c>
      <c r="DR14" s="234"/>
      <c r="DS14" s="234"/>
      <c r="DT14" s="234"/>
      <c r="EI14" s="34" t="s">
        <v>1072</v>
      </c>
      <c r="EJ14" s="36">
        <v>12</v>
      </c>
      <c r="EK14" s="37">
        <v>744</v>
      </c>
      <c r="EX14" s="360">
        <f>SUM(EX2:EX13)</f>
        <v>1000.02</v>
      </c>
      <c r="EY14" s="360">
        <f>SUM(EY2:EY13)</f>
        <v>1.0000199999999999</v>
      </c>
    </row>
    <row r="15" spans="1:162" s="231" customFormat="1" ht="16.5" customHeight="1" x14ac:dyDescent="0.25">
      <c r="A15" s="232"/>
      <c r="B15" s="232"/>
      <c r="C15" s="217" t="s">
        <v>1356</v>
      </c>
      <c r="D15" s="232"/>
      <c r="E15" s="232"/>
      <c r="F15" s="54" t="s">
        <v>19</v>
      </c>
      <c r="G15" s="368" t="s">
        <v>1061</v>
      </c>
      <c r="H15" s="37"/>
      <c r="I15" s="53" t="s">
        <v>13</v>
      </c>
      <c r="J15" s="372">
        <v>0.98</v>
      </c>
      <c r="K15" s="246"/>
      <c r="L15" s="55" t="s">
        <v>13</v>
      </c>
      <c r="M15" s="372">
        <v>2</v>
      </c>
      <c r="N15" s="246"/>
      <c r="O15" s="55" t="s">
        <v>13</v>
      </c>
      <c r="P15" s="372">
        <v>1</v>
      </c>
      <c r="Q15" s="246"/>
      <c r="R15" s="246"/>
      <c r="S15" s="246"/>
      <c r="T15" s="246"/>
      <c r="U15" s="246"/>
      <c r="V15" s="246"/>
      <c r="W15" s="232"/>
      <c r="X15" s="245"/>
      <c r="Y15" s="245"/>
      <c r="Z15" s="245"/>
      <c r="AA15" s="245"/>
      <c r="AB15" s="245"/>
      <c r="AC15" s="245"/>
      <c r="AD15" s="233"/>
      <c r="AE15" s="233"/>
      <c r="AF15" s="233"/>
      <c r="AG15" s="233"/>
      <c r="AH15" s="233"/>
      <c r="AI15" s="233"/>
      <c r="AJ15" s="233"/>
      <c r="AK15" s="233"/>
      <c r="AL15" s="233"/>
      <c r="AM15" s="233"/>
      <c r="AN15" s="242" t="s">
        <v>1453</v>
      </c>
      <c r="AO15" s="233"/>
      <c r="AP15" s="233"/>
      <c r="AQ15" s="233"/>
      <c r="AR15" s="233"/>
      <c r="AS15" s="233"/>
      <c r="AT15" s="242" t="s">
        <v>1452</v>
      </c>
      <c r="AU15" s="233"/>
      <c r="AV15" s="233"/>
      <c r="AW15" s="233"/>
      <c r="AX15" s="233"/>
      <c r="AY15" s="57"/>
      <c r="AZ15" s="38"/>
      <c r="BA15" s="234"/>
      <c r="BB15" s="234"/>
      <c r="BC15" s="234"/>
      <c r="BD15" s="234"/>
      <c r="BE15" s="234"/>
      <c r="BF15" s="234"/>
      <c r="BG15" s="41" t="s">
        <v>1175</v>
      </c>
      <c r="BH15" s="49" t="str">
        <f>D179</f>
        <v>nov</v>
      </c>
      <c r="BI15" s="49">
        <f>MATCH(BH15,$EI$3:$EI$14,0)</f>
        <v>11</v>
      </c>
      <c r="BJ15" s="234"/>
      <c r="BK15" s="234"/>
      <c r="BL15" s="49"/>
      <c r="BM15" s="49"/>
      <c r="BN15" s="49"/>
      <c r="BO15" s="49"/>
      <c r="BP15" s="49"/>
      <c r="BQ15" s="49"/>
      <c r="BR15" s="49"/>
      <c r="BS15" s="49"/>
      <c r="BT15" s="39" t="s">
        <v>14</v>
      </c>
      <c r="BU15" s="39" t="s">
        <v>1085</v>
      </c>
      <c r="BV15" s="39" t="s">
        <v>1100</v>
      </c>
      <c r="BW15" s="39" t="s">
        <v>1096</v>
      </c>
      <c r="BX15" s="39" t="s">
        <v>1097</v>
      </c>
      <c r="BY15" s="49"/>
      <c r="BZ15" s="49"/>
      <c r="CA15" s="41" t="s">
        <v>1305</v>
      </c>
      <c r="CB15" s="47" t="e">
        <f ca="1">IF(BN31&gt;0,($CD$11/CB14)/1000*BN32,0)</f>
        <v>#DIV/0!</v>
      </c>
      <c r="CC15" s="47" t="e">
        <f ca="1">IF(BO31&gt;0,($CD$11/CC14)/1000*BO32,0)</f>
        <v>#DIV/0!</v>
      </c>
      <c r="CD15" s="47" t="e">
        <f ca="1">IF(BP31&gt;0,($CD$11/CD14)/1000*BP32,0)</f>
        <v>#DIV/0!</v>
      </c>
      <c r="CE15" s="47" t="e">
        <f ca="1">IF(BQ31&gt;0,($CD$11/CE14)/1000*BQ32,0)</f>
        <v>#DIV/0!</v>
      </c>
      <c r="CF15" s="47" t="e">
        <f ca="1">IF(BR31&gt;0,($CD$11/CF14)/1000*BR32,0)</f>
        <v>#DIV/0!</v>
      </c>
      <c r="CG15" s="234"/>
      <c r="CH15" s="234"/>
      <c r="CI15" s="41" t="s">
        <v>1305</v>
      </c>
      <c r="CJ15" s="47" t="e">
        <f ca="1">IF(CB31&gt;0,($CK$11/CJ14)*CB32,0)</f>
        <v>#DIV/0!</v>
      </c>
      <c r="CK15" s="47" t="e">
        <f ca="1">IF(CC31&gt;0,($CK$11/CK14)*CC32,0)</f>
        <v>#DIV/0!</v>
      </c>
      <c r="CL15" s="47" t="e">
        <f ca="1">IF(CD31&gt;0,($CK$11/CL14)*CD32,0)</f>
        <v>#DIV/0!</v>
      </c>
      <c r="CM15" s="47" t="e">
        <f ca="1">IF(CE31&gt;0,($CK$11/CM14)*CE32,0)</f>
        <v>#DIV/0!</v>
      </c>
      <c r="CN15" s="47" t="e">
        <f ca="1">IF(CF31&gt;0,($CK$11/CN14)*CF32,0)</f>
        <v>#DIV/0!</v>
      </c>
      <c r="CO15" s="234"/>
      <c r="CP15" s="49"/>
      <c r="CQ15" s="49"/>
      <c r="CR15" s="49"/>
      <c r="CS15" s="49"/>
      <c r="CT15" s="234"/>
      <c r="CU15" s="234"/>
      <c r="CV15" s="234"/>
      <c r="CW15" s="234"/>
      <c r="CX15" s="234"/>
      <c r="CY15" s="234"/>
      <c r="CZ15" s="234"/>
      <c r="DA15" s="234"/>
      <c r="DB15" s="49"/>
      <c r="DC15" s="41" t="s">
        <v>1286</v>
      </c>
      <c r="DD15" s="47">
        <v>1</v>
      </c>
      <c r="DE15" s="47">
        <v>1.6</v>
      </c>
      <c r="DF15" s="47">
        <v>1</v>
      </c>
      <c r="DG15" s="47">
        <v>1</v>
      </c>
      <c r="DH15" s="47">
        <v>1</v>
      </c>
      <c r="DI15" s="234"/>
      <c r="DJ15" s="234"/>
      <c r="DK15" s="234"/>
      <c r="DL15" s="41" t="s">
        <v>1286</v>
      </c>
      <c r="DM15" s="47">
        <v>1</v>
      </c>
      <c r="DN15" s="47">
        <v>1.6</v>
      </c>
      <c r="DO15" s="47">
        <v>1</v>
      </c>
      <c r="DP15" s="47">
        <v>1</v>
      </c>
      <c r="DQ15" s="47">
        <v>1</v>
      </c>
      <c r="DR15" s="234"/>
      <c r="DS15" s="234"/>
      <c r="DT15" s="234"/>
      <c r="EI15" s="36" t="s">
        <v>1061</v>
      </c>
      <c r="EJ15" s="36">
        <v>13</v>
      </c>
      <c r="EK15" s="34"/>
    </row>
    <row r="16" spans="1:162" s="231" customFormat="1" ht="16.5" customHeight="1" x14ac:dyDescent="0.25">
      <c r="A16" s="232"/>
      <c r="B16" s="232"/>
      <c r="C16" s="506"/>
      <c r="D16" s="507"/>
      <c r="E16" s="232"/>
      <c r="F16" s="238"/>
      <c r="G16" s="238"/>
      <c r="H16" s="37"/>
      <c r="I16" s="54" t="s">
        <v>1136</v>
      </c>
      <c r="J16" s="368" t="s">
        <v>1075</v>
      </c>
      <c r="K16" s="350"/>
      <c r="L16" s="54" t="s">
        <v>1136</v>
      </c>
      <c r="M16" s="368" t="s">
        <v>1046</v>
      </c>
      <c r="N16" s="60"/>
      <c r="O16" s="54" t="s">
        <v>1136</v>
      </c>
      <c r="P16" s="368" t="s">
        <v>1046</v>
      </c>
      <c r="Q16" s="37"/>
      <c r="R16" s="37"/>
      <c r="S16" s="37"/>
      <c r="T16" s="37"/>
      <c r="U16" s="37"/>
      <c r="V16" s="37"/>
      <c r="W16" s="232"/>
      <c r="X16" s="245"/>
      <c r="Y16" s="242" t="s">
        <v>1099</v>
      </c>
      <c r="Z16" s="247"/>
      <c r="AA16" s="247"/>
      <c r="AB16" s="233"/>
      <c r="AC16" s="233"/>
      <c r="AD16" s="233"/>
      <c r="AE16" s="233"/>
      <c r="AF16" s="233"/>
      <c r="AG16" s="242" t="s">
        <v>1436</v>
      </c>
      <c r="AH16" s="233"/>
      <c r="AI16" s="233"/>
      <c r="AJ16" s="233"/>
      <c r="AK16" s="233"/>
      <c r="AL16" s="233"/>
      <c r="AM16" s="233"/>
      <c r="AN16" s="244" t="s">
        <v>1314</v>
      </c>
      <c r="AO16" s="233"/>
      <c r="AP16" s="233"/>
      <c r="AQ16" s="233"/>
      <c r="AR16" s="233"/>
      <c r="AS16" s="233"/>
      <c r="AT16" s="242"/>
      <c r="AU16" s="233"/>
      <c r="AV16" s="233"/>
      <c r="AW16" s="503" t="s">
        <v>1454</v>
      </c>
      <c r="AX16" s="233"/>
      <c r="AY16" s="57"/>
      <c r="AZ16" s="38" t="s">
        <v>1099</v>
      </c>
      <c r="BA16" s="49"/>
      <c r="BB16" s="49"/>
      <c r="BC16" s="234"/>
      <c r="BD16" s="234"/>
      <c r="BE16" s="234"/>
      <c r="BF16" s="234"/>
      <c r="BG16" s="41" t="s">
        <v>1176</v>
      </c>
      <c r="BH16" s="49" t="str">
        <f>D180</f>
        <v>feb</v>
      </c>
      <c r="BI16" s="49">
        <f>MATCH(BH16,EI3:EI14,0)</f>
        <v>2</v>
      </c>
      <c r="BJ16" s="234"/>
      <c r="BK16" s="234"/>
      <c r="BL16" s="234"/>
      <c r="BM16" s="49"/>
      <c r="BN16" s="49"/>
      <c r="BO16" s="49"/>
      <c r="BP16" s="49"/>
      <c r="BQ16" s="234"/>
      <c r="BR16" s="234"/>
      <c r="BS16" s="49"/>
      <c r="BT16" s="39" t="s">
        <v>1182</v>
      </c>
      <c r="BU16" s="39" t="s">
        <v>1182</v>
      </c>
      <c r="BV16" s="39" t="s">
        <v>1182</v>
      </c>
      <c r="BW16" s="39" t="s">
        <v>1182</v>
      </c>
      <c r="BX16" s="39" t="s">
        <v>1182</v>
      </c>
      <c r="BY16" s="49"/>
      <c r="BZ16" s="234"/>
      <c r="CA16" s="234"/>
      <c r="CB16" s="234"/>
      <c r="CC16" s="234"/>
      <c r="CD16" s="234"/>
      <c r="CE16" s="234"/>
      <c r="CF16" s="234"/>
      <c r="CG16" s="234"/>
      <c r="CH16" s="234"/>
      <c r="CI16" s="234"/>
      <c r="CJ16" s="234"/>
      <c r="CK16" s="234"/>
      <c r="CL16" s="234"/>
      <c r="CM16" s="234"/>
      <c r="CN16" s="234"/>
      <c r="CO16" s="234"/>
      <c r="CP16" s="49"/>
      <c r="CQ16" s="49"/>
      <c r="CR16" s="49"/>
      <c r="CS16" s="49"/>
      <c r="CT16" s="57"/>
      <c r="CU16" s="49"/>
      <c r="CV16" s="49"/>
      <c r="CW16" s="49"/>
      <c r="CX16" s="49"/>
      <c r="CY16" s="234"/>
      <c r="CZ16" s="234"/>
      <c r="DA16" s="234"/>
      <c r="DB16" s="49"/>
      <c r="DC16" s="41" t="s">
        <v>1287</v>
      </c>
      <c r="DD16" s="52">
        <v>0.7</v>
      </c>
      <c r="DE16" s="52">
        <v>1.8</v>
      </c>
      <c r="DF16" s="52">
        <v>0.6</v>
      </c>
      <c r="DG16" s="52">
        <v>1.8</v>
      </c>
      <c r="DH16" s="52">
        <v>1.8</v>
      </c>
      <c r="DI16" s="234"/>
      <c r="DJ16" s="234"/>
      <c r="DK16" s="234"/>
      <c r="DL16" s="41" t="s">
        <v>1287</v>
      </c>
      <c r="DM16" s="52">
        <v>0.7</v>
      </c>
      <c r="DN16" s="52">
        <v>1.8</v>
      </c>
      <c r="DO16" s="52">
        <v>0.6</v>
      </c>
      <c r="DP16" s="52">
        <v>1.8</v>
      </c>
      <c r="DQ16" s="52">
        <v>1.8</v>
      </c>
      <c r="DR16" s="234"/>
      <c r="DS16" s="234"/>
      <c r="DT16" s="234"/>
      <c r="EI16" s="36" t="s">
        <v>1062</v>
      </c>
      <c r="EJ16" s="36">
        <v>14</v>
      </c>
      <c r="EK16" s="36"/>
    </row>
    <row r="17" spans="1:156" s="231" customFormat="1" ht="16.5" customHeight="1" x14ac:dyDescent="0.25">
      <c r="A17" s="232"/>
      <c r="B17" s="62"/>
      <c r="C17" s="508"/>
      <c r="D17" s="509"/>
      <c r="E17" s="62"/>
      <c r="F17" s="62"/>
      <c r="G17" s="63"/>
      <c r="H17" s="63"/>
      <c r="I17" s="64"/>
      <c r="J17" s="65" t="s">
        <v>1132</v>
      </c>
      <c r="K17" s="65"/>
      <c r="L17" s="65"/>
      <c r="M17" s="65" t="s">
        <v>1132</v>
      </c>
      <c r="N17" s="65"/>
      <c r="O17" s="65"/>
      <c r="P17" s="65" t="s">
        <v>1132</v>
      </c>
      <c r="Q17" s="66"/>
      <c r="R17" s="66"/>
      <c r="S17" s="66"/>
      <c r="T17" s="66"/>
      <c r="U17" s="66"/>
      <c r="V17" s="66"/>
      <c r="W17" s="62"/>
      <c r="X17" s="233"/>
      <c r="Y17" s="242"/>
      <c r="Z17" s="247"/>
      <c r="AA17" s="247"/>
      <c r="AB17" s="233"/>
      <c r="AC17" s="233"/>
      <c r="AD17" s="233"/>
      <c r="AE17" s="233"/>
      <c r="AF17" s="233"/>
      <c r="AG17" s="244" t="s">
        <v>1437</v>
      </c>
      <c r="AH17" s="247"/>
      <c r="AI17" s="247"/>
      <c r="AJ17" s="233"/>
      <c r="AK17" s="233"/>
      <c r="AL17" s="233"/>
      <c r="AM17" s="233"/>
      <c r="AN17" s="242"/>
      <c r="AO17" s="233"/>
      <c r="AP17" s="233"/>
      <c r="AQ17" s="233"/>
      <c r="AR17" s="233"/>
      <c r="AS17" s="233"/>
      <c r="AT17" s="503" t="s">
        <v>1448</v>
      </c>
      <c r="AU17" s="503" t="s">
        <v>1313</v>
      </c>
      <c r="AV17" s="233"/>
      <c r="AW17" s="503"/>
      <c r="AX17" s="233"/>
      <c r="AY17" s="234"/>
      <c r="AZ17" s="49"/>
      <c r="BA17" s="49"/>
      <c r="BB17" s="49"/>
      <c r="BC17" s="234"/>
      <c r="BD17" s="234"/>
      <c r="BE17" s="234"/>
      <c r="BF17" s="234"/>
      <c r="BG17" s="234"/>
      <c r="BH17" s="234"/>
      <c r="BI17" s="234"/>
      <c r="BJ17" s="234"/>
      <c r="BK17" s="234"/>
      <c r="BL17" s="234"/>
      <c r="BM17" s="234"/>
      <c r="BN17" s="234"/>
      <c r="BO17" s="234"/>
      <c r="BP17" s="234"/>
      <c r="BQ17" s="234"/>
      <c r="BR17" s="234"/>
      <c r="BS17" s="234"/>
      <c r="BT17" s="67" t="e">
        <f ca="1">IF($BM$19=1,BN19,0)+IF($BM$20=1,BN20,0)+IF($BM$21=1,BN21,0)+IF($BM$22=1,BN22,0)+IF($BM$23=1,BN23,0)+IF($BM$24=1,BN24,0)+IF($BM$25=1,BN25,0)+IF($BM$26=1,BN26,0)+IF($BM$27=1,BN27,0)+IF($BM$28=1,BN28,0)+IF($BM$29=1,BN29,0)+IF($BM$30=1,BN30,0)</f>
        <v>#DIV/0!</v>
      </c>
      <c r="BU17" s="67" t="e">
        <f ca="1">IF($BM$19=1,BO19,0)+IF($BM$20=1,BO20,0)+IF($BM$21=1,BO21,0)+IF($BM$22=1,BO22,0)+IF($BM$23=1,BO23,0)+IF($BM$24=1,BO24,0)+IF($BM$25=1,BO25,0)+IF($BM$26=1,BO26,0)+IF($BM$27=1,BO27,0)+IF($BM$28=1,BO28,0)+IF($BM$29=1,BO29,0)+IF($BM$30=1,BO30,0)</f>
        <v>#DIV/0!</v>
      </c>
      <c r="BV17" s="67" t="e">
        <f ca="1">IF($BM$19=1,BP19,0)+IF($BM$20=1,BP20,0)+IF($BM$21=1,BP21,0)+IF($BM$22=1,BP22,0)+IF($BM$23=1,BP23,0)+IF($BM$24=1,BP24,0)+IF($BM$25=1,BP25,0)+IF($BM$26=1,BP26,0)+IF($BM$27=1,BP27,0)+IF($BM$28=1,BP28,0)+IF($BM$29=1,BP29,0)+IF($BM$30=1,BP30,0)</f>
        <v>#DIV/0!</v>
      </c>
      <c r="BW17" s="67" t="e">
        <f ca="1">IF($BM$19=1,BQ19,0)+IF($BM$20=1,BQ20,0)+IF($BM$21=1,BQ21,0)+IF($BM$22=1,BQ22,0)+IF($BM$23=1,BQ23,0)+IF($BM$24=1,BQ24,0)+IF($BM$25=1,BQ25,0)+IF($BM$26=1,BQ26,0)+IF($BM$27=1,BQ27,0)+IF($BM$28=1,BQ28,0)+IF($BM$29=1,BQ29,0)+IF($BM$30=1,BQ30,0)</f>
        <v>#DIV/0!</v>
      </c>
      <c r="BX17" s="67" t="e">
        <f ca="1">IF($BM$19=1,BR19,0)+IF($BM$20=1,BR20,0)+IF($BM$21=1,BR21,0)+IF($BM$22=1,BR22,0)+IF($BM$23=1,BR23,0)+IF($BM$24=1,BR24,0)+IF($BM$25=1,BR25,0)+IF($BM$26=1,BR26,0)+IF($BM$27=1,BR27,0)+IF($BM$28=1,BR28,0)+IF($BM$29=1,BR29,0)+IF($BM$30=1,BR30,0)</f>
        <v>#DIV/0!</v>
      </c>
      <c r="BY17" s="234"/>
      <c r="BZ17" s="234"/>
      <c r="CA17" s="234"/>
      <c r="CB17" s="234"/>
      <c r="CC17" s="234"/>
      <c r="CD17" s="234"/>
      <c r="CE17" s="234"/>
      <c r="CF17" s="234"/>
      <c r="CG17" s="234"/>
      <c r="CH17" s="234"/>
      <c r="CI17" s="234"/>
      <c r="CJ17" s="234"/>
      <c r="CK17" s="234"/>
      <c r="CL17" s="234"/>
      <c r="CM17" s="234"/>
      <c r="CN17" s="234"/>
      <c r="CO17" s="57"/>
      <c r="CP17" s="57"/>
      <c r="CQ17" s="68" t="s">
        <v>1186</v>
      </c>
      <c r="CR17" s="57"/>
      <c r="CS17" s="57"/>
      <c r="CT17" s="57"/>
      <c r="CU17" s="39" t="s">
        <v>14</v>
      </c>
      <c r="CV17" s="39" t="s">
        <v>1085</v>
      </c>
      <c r="CW17" s="39" t="s">
        <v>1100</v>
      </c>
      <c r="CX17" s="39" t="s">
        <v>1096</v>
      </c>
      <c r="CY17" s="39" t="s">
        <v>1097</v>
      </c>
      <c r="CZ17" s="234"/>
      <c r="DA17" s="234"/>
      <c r="DB17" s="57"/>
      <c r="DC17" s="57"/>
      <c r="DD17" s="57"/>
      <c r="DE17" s="57"/>
      <c r="DF17" s="57"/>
      <c r="DG17" s="57"/>
      <c r="DH17" s="57"/>
      <c r="DI17" s="234"/>
      <c r="DJ17" s="234"/>
      <c r="DK17" s="234"/>
      <c r="DL17" s="57"/>
      <c r="DM17" s="57"/>
      <c r="DN17" s="57"/>
      <c r="DO17" s="57"/>
      <c r="DP17" s="57"/>
      <c r="DQ17" s="57"/>
      <c r="DR17" s="234"/>
      <c r="DS17" s="234"/>
      <c r="DT17" s="234"/>
      <c r="EI17" s="36" t="s">
        <v>1063</v>
      </c>
      <c r="EJ17" s="36">
        <v>15</v>
      </c>
      <c r="EK17" s="36"/>
    </row>
    <row r="18" spans="1:156" s="231" customFormat="1" ht="16.5" customHeight="1" x14ac:dyDescent="0.25">
      <c r="A18" s="62"/>
      <c r="B18" s="232"/>
      <c r="C18" s="508"/>
      <c r="D18" s="509"/>
      <c r="E18" s="232"/>
      <c r="F18" s="391" t="s">
        <v>1044</v>
      </c>
      <c r="G18" s="391" t="s">
        <v>1045</v>
      </c>
      <c r="H18" s="70"/>
      <c r="I18" s="71" t="s">
        <v>1075</v>
      </c>
      <c r="J18" s="391" t="str">
        <f>J16</f>
        <v>Levererad energi</v>
      </c>
      <c r="K18" s="70"/>
      <c r="L18" s="71" t="s">
        <v>1075</v>
      </c>
      <c r="M18" s="442" t="str">
        <f>M16</f>
        <v>Producerad energi</v>
      </c>
      <c r="N18" s="9"/>
      <c r="O18" s="444" t="s">
        <v>1075</v>
      </c>
      <c r="P18" s="442" t="str">
        <f>P16</f>
        <v>Producerad energi</v>
      </c>
      <c r="Q18" s="37"/>
      <c r="R18" s="37"/>
      <c r="S18" s="37"/>
      <c r="T18" s="37"/>
      <c r="U18" s="37"/>
      <c r="V18" s="37"/>
      <c r="W18" s="232"/>
      <c r="X18" s="233"/>
      <c r="Y18" s="287" t="s">
        <v>14</v>
      </c>
      <c r="Z18" s="287" t="s">
        <v>1085</v>
      </c>
      <c r="AA18" s="287" t="s">
        <v>1100</v>
      </c>
      <c r="AB18" s="287" t="s">
        <v>1096</v>
      </c>
      <c r="AC18" s="287" t="s">
        <v>1097</v>
      </c>
      <c r="AD18" s="249" t="s">
        <v>1094</v>
      </c>
      <c r="AE18" s="244"/>
      <c r="AF18" s="233"/>
      <c r="AG18" s="287" t="s">
        <v>14</v>
      </c>
      <c r="AH18" s="287" t="s">
        <v>1085</v>
      </c>
      <c r="AI18" s="287" t="s">
        <v>1100</v>
      </c>
      <c r="AJ18" s="287" t="s">
        <v>1096</v>
      </c>
      <c r="AK18" s="287" t="s">
        <v>1097</v>
      </c>
      <c r="AL18" s="249" t="s">
        <v>1094</v>
      </c>
      <c r="AM18" s="236"/>
      <c r="AN18" s="287" t="s">
        <v>14</v>
      </c>
      <c r="AO18" s="287" t="s">
        <v>1085</v>
      </c>
      <c r="AP18" s="287" t="s">
        <v>1100</v>
      </c>
      <c r="AQ18" s="287" t="s">
        <v>1096</v>
      </c>
      <c r="AR18" s="287" t="s">
        <v>1097</v>
      </c>
      <c r="AS18" s="249" t="s">
        <v>1094</v>
      </c>
      <c r="AT18" s="504"/>
      <c r="AU18" s="504"/>
      <c r="AV18" s="244" t="s">
        <v>1370</v>
      </c>
      <c r="AW18" s="504"/>
      <c r="AX18" s="244" t="s">
        <v>1370</v>
      </c>
      <c r="AY18" s="234"/>
      <c r="AZ18" s="39" t="s">
        <v>14</v>
      </c>
      <c r="BA18" s="39" t="s">
        <v>1085</v>
      </c>
      <c r="BB18" s="39" t="s">
        <v>1100</v>
      </c>
      <c r="BC18" s="39" t="s">
        <v>1096</v>
      </c>
      <c r="BD18" s="39" t="s">
        <v>1097</v>
      </c>
      <c r="BE18" s="58" t="s">
        <v>1094</v>
      </c>
      <c r="BF18" s="234"/>
      <c r="BG18" s="234"/>
      <c r="BH18" s="58" t="s">
        <v>1045</v>
      </c>
      <c r="BI18" s="49" t="s">
        <v>1173</v>
      </c>
      <c r="BJ18" s="49" t="s">
        <v>1180</v>
      </c>
      <c r="BK18" s="31" t="s">
        <v>1174</v>
      </c>
      <c r="BL18" s="39" t="s">
        <v>1179</v>
      </c>
      <c r="BM18" s="49" t="s">
        <v>1180</v>
      </c>
      <c r="BN18" s="39" t="s">
        <v>14</v>
      </c>
      <c r="BO18" s="39" t="s">
        <v>1085</v>
      </c>
      <c r="BP18" s="39" t="s">
        <v>1100</v>
      </c>
      <c r="BQ18" s="39" t="s">
        <v>1096</v>
      </c>
      <c r="BR18" s="39" t="s">
        <v>1097</v>
      </c>
      <c r="BS18" s="58" t="s">
        <v>1094</v>
      </c>
      <c r="BT18" s="58" t="s">
        <v>1169</v>
      </c>
      <c r="BU18" s="58" t="s">
        <v>1169</v>
      </c>
      <c r="BV18" s="58" t="s">
        <v>1169</v>
      </c>
      <c r="BW18" s="58" t="s">
        <v>1169</v>
      </c>
      <c r="BX18" s="58" t="s">
        <v>1169</v>
      </c>
      <c r="BY18" s="58"/>
      <c r="BZ18" s="39" t="s">
        <v>1179</v>
      </c>
      <c r="CA18" s="49" t="s">
        <v>1180</v>
      </c>
      <c r="CB18" s="39" t="s">
        <v>14</v>
      </c>
      <c r="CC18" s="39" t="s">
        <v>1085</v>
      </c>
      <c r="CD18" s="39" t="s">
        <v>1100</v>
      </c>
      <c r="CE18" s="39" t="s">
        <v>1096</v>
      </c>
      <c r="CF18" s="39" t="s">
        <v>1097</v>
      </c>
      <c r="CG18" s="58" t="s">
        <v>1094</v>
      </c>
      <c r="CH18" s="234"/>
      <c r="CI18" s="234"/>
      <c r="CJ18" s="39" t="s">
        <v>14</v>
      </c>
      <c r="CK18" s="39" t="s">
        <v>1085</v>
      </c>
      <c r="CL18" s="39" t="s">
        <v>1100</v>
      </c>
      <c r="CM18" s="39" t="s">
        <v>1096</v>
      </c>
      <c r="CN18" s="39" t="s">
        <v>1097</v>
      </c>
      <c r="CO18" s="58" t="s">
        <v>1094</v>
      </c>
      <c r="CP18" s="58"/>
      <c r="CQ18" s="58" t="s">
        <v>1113</v>
      </c>
      <c r="CR18" s="58" t="str">
        <f ca="1">Normalår!I4</f>
        <v>Ale</v>
      </c>
      <c r="CS18" s="58" t="s">
        <v>1115</v>
      </c>
      <c r="CT18" s="234"/>
      <c r="CU18" s="234" t="s">
        <v>1075</v>
      </c>
      <c r="CV18" s="234" t="s">
        <v>1075</v>
      </c>
      <c r="CW18" s="234" t="s">
        <v>1075</v>
      </c>
      <c r="CX18" s="234" t="s">
        <v>1075</v>
      </c>
      <c r="CY18" s="234" t="s">
        <v>1075</v>
      </c>
      <c r="CZ18" s="58" t="s">
        <v>1094</v>
      </c>
      <c r="DA18" s="234"/>
      <c r="DB18" s="58"/>
      <c r="DC18" s="234"/>
      <c r="DD18" s="39" t="s">
        <v>14</v>
      </c>
      <c r="DE18" s="39" t="s">
        <v>1085</v>
      </c>
      <c r="DF18" s="39" t="s">
        <v>1100</v>
      </c>
      <c r="DG18" s="39" t="s">
        <v>1096</v>
      </c>
      <c r="DH18" s="39" t="s">
        <v>1097</v>
      </c>
      <c r="DI18" s="58" t="s">
        <v>1094</v>
      </c>
      <c r="DJ18" s="234"/>
      <c r="DK18" s="234"/>
      <c r="DL18" s="234"/>
      <c r="DM18" s="39" t="s">
        <v>14</v>
      </c>
      <c r="DN18" s="39" t="s">
        <v>1085</v>
      </c>
      <c r="DO18" s="39" t="s">
        <v>1100</v>
      </c>
      <c r="DP18" s="39" t="s">
        <v>1096</v>
      </c>
      <c r="DQ18" s="39" t="s">
        <v>1097</v>
      </c>
      <c r="DR18" s="58" t="s">
        <v>1094</v>
      </c>
      <c r="DS18" s="234"/>
      <c r="DT18" s="234"/>
      <c r="EI18" s="36" t="s">
        <v>1064</v>
      </c>
      <c r="EJ18" s="36">
        <v>16</v>
      </c>
      <c r="EK18" s="36"/>
    </row>
    <row r="19" spans="1:156" s="231" customFormat="1" ht="16.5" customHeight="1" x14ac:dyDescent="0.25">
      <c r="A19" s="232"/>
      <c r="B19" s="250"/>
      <c r="C19" s="510"/>
      <c r="D19" s="511"/>
      <c r="E19" s="251"/>
      <c r="F19" s="387">
        <f>G14</f>
        <v>2017</v>
      </c>
      <c r="G19" s="387" t="str">
        <f t="shared" ref="G19:G30" ca="1" si="1">OFFSET($EI$2,$EI$28+ROW(F19)-ROW($F$19),0)</f>
        <v>jan</v>
      </c>
      <c r="H19" s="70"/>
      <c r="I19" s="72">
        <f>IF($D$14&gt;0,IF($I$18=$J$18,J19,J19/$J$15),0)</f>
        <v>0</v>
      </c>
      <c r="J19" s="388"/>
      <c r="K19" s="73"/>
      <c r="L19" s="72">
        <f t="shared" ref="L19:L30" si="2">IF($D$14&gt;1,IF($L$18=$M$18,M19,M19/$M$15),0)</f>
        <v>0</v>
      </c>
      <c r="M19" s="388"/>
      <c r="N19" s="23"/>
      <c r="O19" s="445">
        <f t="shared" ref="O19:O30" si="3">IF($D$14&gt;2,IF($O$18=$P$18,P19,P19/$P$15),0)</f>
        <v>0</v>
      </c>
      <c r="P19" s="388"/>
      <c r="Q19" s="74"/>
      <c r="R19" s="74"/>
      <c r="S19" s="74"/>
      <c r="T19" s="74"/>
      <c r="U19" s="74"/>
      <c r="V19" s="74"/>
      <c r="W19" s="232"/>
      <c r="X19" s="233"/>
      <c r="Y19" s="252">
        <f t="shared" ref="Y19:Y30" si="4">IF($J$14=$Y$18,I19,0)+IF($M$14=$Y$18,L19,0)+IF($P$14=$Y$18,O19,0)</f>
        <v>0</v>
      </c>
      <c r="Z19" s="252">
        <f t="shared" ref="Z19:Z30" si="5">IF(OR($J$14="El-panna",$J$14="Värmepump"),I19,0)+IF(OR($M$14="El-panna",$M$14="Värmepump"),L19,0)+IF(OR($P$14="El-panna",$P$14="Värmepump"),O19,0)</f>
        <v>0</v>
      </c>
      <c r="AA19" s="252">
        <f t="shared" ref="AA19:AA30" si="6">IF(OR($J$14="Flispanna",$J$14="Pelletspanna",$J$14="Vedpanna"),I19,0)+IF(OR($M$14="Flispanna",$M$14="Pelletspanna",$M$14="Vedpanna"),L19,0)+IF(OR($P$14="Flispanna",$P$14="Pelletspanna",$P$14="Vedpanna"),O19,0)</f>
        <v>0</v>
      </c>
      <c r="AB19" s="252">
        <f t="shared" ref="AB19:AB30" si="7">IF($J$14="Gaspanna",I19,0)+IF($M$14="Gaspanna",L19,0)+IF($P$14="Gaspanna",O19,0)</f>
        <v>0</v>
      </c>
      <c r="AC19" s="252">
        <f t="shared" ref="AC19:AC30" si="8">IF($J$14="Oljepanna",I19,0)+IF($M$14="Oljepanna",L19,0)+IF($P$14="Oljepanna",O19,0)</f>
        <v>0</v>
      </c>
      <c r="AD19" s="248">
        <f t="shared" ref="AD19:AD30" si="9">Y19+Z19+AA19+AB19+AC19</f>
        <v>0</v>
      </c>
      <c r="AE19" s="361"/>
      <c r="AF19" s="233"/>
      <c r="AG19" s="252">
        <f>Y19+AG65</f>
        <v>0</v>
      </c>
      <c r="AH19" s="252">
        <f t="shared" ref="AH19:AK30" si="10">Z19+AH65</f>
        <v>0</v>
      </c>
      <c r="AI19" s="252">
        <f t="shared" si="10"/>
        <v>0</v>
      </c>
      <c r="AJ19" s="252">
        <f t="shared" si="10"/>
        <v>0</v>
      </c>
      <c r="AK19" s="252">
        <f t="shared" si="10"/>
        <v>0</v>
      </c>
      <c r="AL19" s="248">
        <f t="shared" ref="AL19:AL30" si="11">AG19+AH19+AI19+AJ19+AK19</f>
        <v>0</v>
      </c>
      <c r="AM19" s="188"/>
      <c r="AN19" s="248">
        <f>IF(Y19&gt;0,Y19*($Y$32/$Y$31),0)+IF(AG65&gt;0,AG65*($Y$57/$Y$56),0)</f>
        <v>0</v>
      </c>
      <c r="AO19" s="248">
        <f>IF(Z19&gt;0,Z19*($Z$32/$Z$31),0)+IF(AH65&gt;0,AH65*($Z$57/$Z$56),0)</f>
        <v>0</v>
      </c>
      <c r="AP19" s="248">
        <f>IF(AA19&gt;0,AA19*($AA$32/$AA$31),0)+IF(AI65&gt;0,AI65*($AA$57/$AA$56),0)</f>
        <v>0</v>
      </c>
      <c r="AQ19" s="248">
        <f>IF(AB19&gt;0,AB19*($AB$32/$AB$31),0)+IF(AJ65&gt;0,AJ65*($AB$57/$AB$56),0)</f>
        <v>0</v>
      </c>
      <c r="AR19" s="248">
        <f>IF(AC19&gt;0,AC19*($AC$32/$AC$31),0)+IF(AK65&gt;0,AK65*($AC$57/$AC$56),0)</f>
        <v>0</v>
      </c>
      <c r="AS19" s="248">
        <f>AN19+AO19+AP19+AQ19+AR19</f>
        <v>0</v>
      </c>
      <c r="AT19" s="259">
        <f>IF($AN$33&gt;0,(AN19-$AN$33*(AF130+AH130+AD130))/$AN$32,0)+IF($AO$33&gt;0,(AO19-$AO$33*(AF130+AH130+AD130))/$AO$32,0)+IF($AP$33&gt;0,(AP19-$AP$33*(AF130+AH130+AD130))/$AP$32,0)+IF($AQ$33&gt;0,(AQ19-$AQ$33*(AF130+AH130+AD130))/$AQ$32,0)+IF($AR$33&gt;0,(AR19-$AR$33*(AF130+AH130+AD130))/$AR$32,0)</f>
        <v>0</v>
      </c>
      <c r="AU19" s="191">
        <f>AT19-Z130</f>
        <v>0</v>
      </c>
      <c r="AV19" s="362" t="str">
        <f>IF(AT19&lt;0,"Fel i indata","")</f>
        <v/>
      </c>
      <c r="AW19" s="248">
        <f>IF($AO$33&gt;0,((AO19/$AO$32)-Z130),0)</f>
        <v>0</v>
      </c>
      <c r="AX19" s="362" t="str">
        <f>IF(OR(AU19&lt;0,AW19&lt;0),"Fel i indata","")</f>
        <v/>
      </c>
      <c r="AY19" s="234"/>
      <c r="AZ19" s="75">
        <f t="shared" ref="AZ19:AZ30" si="12">Y19</f>
        <v>0</v>
      </c>
      <c r="BA19" s="75">
        <f t="shared" ref="BA19:BA30" si="13">Z19</f>
        <v>0</v>
      </c>
      <c r="BB19" s="75">
        <f t="shared" ref="BB19:BB30" si="14">AA19</f>
        <v>0</v>
      </c>
      <c r="BC19" s="75">
        <f t="shared" ref="BC19:BC30" si="15">AB19</f>
        <v>0</v>
      </c>
      <c r="BD19" s="75">
        <f t="shared" ref="BD19:BD30" si="16">AC19</f>
        <v>0</v>
      </c>
      <c r="BE19" s="47">
        <f>AZ19+BA19+BB19+BC19+BD19</f>
        <v>0</v>
      </c>
      <c r="BF19" s="49"/>
      <c r="BG19" s="234"/>
      <c r="BH19" s="58" t="str">
        <f t="shared" ref="BH19:BH30" ca="1" si="17">OFFSET($EI$2,$BI$15+ROW(BH19)-ROW($BH$19),0)</f>
        <v>nov</v>
      </c>
      <c r="BI19" s="76">
        <f t="shared" ref="BI19:BI30" ca="1" si="18">MATCH(BH19,$EI$3:$EI$14,0)</f>
        <v>11</v>
      </c>
      <c r="BJ19" s="76">
        <f t="shared" ref="BJ19:BJ30" ca="1" si="19">IF(OR(BI19&gt;=$BI$15,BI19&lt;=$BI$16),1,0)</f>
        <v>1</v>
      </c>
      <c r="BK19" s="76">
        <f t="shared" ref="BK19:BK30" ca="1" si="20">IF(BJ19=1,VLOOKUP(BH19,$EI$3:$EK$14,3,FALSE),0)</f>
        <v>720</v>
      </c>
      <c r="BL19" s="77" t="str">
        <f t="shared" ref="BL19:BL30" ca="1" si="21">G19</f>
        <v>jan</v>
      </c>
      <c r="BM19" s="78">
        <f ca="1">VLOOKUP(BL19,$BH$19:$BJ$30,3,FALSE)</f>
        <v>1</v>
      </c>
      <c r="BN19" s="75" t="e">
        <f ca="1">IF($BM19=1,AZ19*$BO$12,AZ19)</f>
        <v>#DIV/0!</v>
      </c>
      <c r="BO19" s="75" t="e">
        <f t="shared" ref="BO19:BR30" ca="1" si="22">IF($BM19=1,BA19*$BO$12,BA19)</f>
        <v>#DIV/0!</v>
      </c>
      <c r="BP19" s="75" t="e">
        <f ca="1">IF($BM19=1,BB19*$BO$12,BB19)</f>
        <v>#DIV/0!</v>
      </c>
      <c r="BQ19" s="75" t="e">
        <f t="shared" ca="1" si="22"/>
        <v>#DIV/0!</v>
      </c>
      <c r="BR19" s="75" t="e">
        <f t="shared" ca="1" si="22"/>
        <v>#DIV/0!</v>
      </c>
      <c r="BS19" s="47" t="e">
        <f ca="1">BN19+BO19+BP19+BQ19+BR19</f>
        <v>#DIV/0!</v>
      </c>
      <c r="BT19" s="79" t="e">
        <f t="shared" ref="BT19:BT30" ca="1" si="23">IF(AND(BN19&gt;0,BM19=1),BN19/$BT$17,0)</f>
        <v>#DIV/0!</v>
      </c>
      <c r="BU19" s="79" t="e">
        <f t="shared" ref="BU19:BU30" ca="1" si="24">IF(AND(BO19&gt;0,BM19=1),BO19/$BU$17,0)</f>
        <v>#DIV/0!</v>
      </c>
      <c r="BV19" s="79" t="e">
        <f t="shared" ref="BV19:BV30" ca="1" si="25">IF(AND(BP19&gt;0,BM19=1),BP19/$BV$17,0)</f>
        <v>#DIV/0!</v>
      </c>
      <c r="BW19" s="79" t="e">
        <f t="shared" ref="BW19:BW30" ca="1" si="26">IF(AND(BQ19&gt;0,BM19=1),BQ19/$BW$17,0)</f>
        <v>#DIV/0!</v>
      </c>
      <c r="BX19" s="79" t="e">
        <f t="shared" ref="BX19:BX30" ca="1" si="27">IF(AND(BR19&gt;0,BM19=1),BR19/$BX$17,0)</f>
        <v>#DIV/0!</v>
      </c>
      <c r="BY19" s="79"/>
      <c r="BZ19" s="77" t="str">
        <f ca="1">BL19</f>
        <v>jan</v>
      </c>
      <c r="CA19" s="78">
        <f ca="1">BM19</f>
        <v>1</v>
      </c>
      <c r="CB19" s="75" t="e">
        <f t="shared" ref="CB19:CB30" ca="1" si="28">BN19+$CB$15*BT19</f>
        <v>#DIV/0!</v>
      </c>
      <c r="CC19" s="75" t="e">
        <f t="shared" ref="CC19:CC30" ca="1" si="29">BO19+$CC$15*BU19</f>
        <v>#DIV/0!</v>
      </c>
      <c r="CD19" s="75" t="e">
        <f t="shared" ref="CD19:CD30" ca="1" si="30">BP19+$CD$15*BV19</f>
        <v>#DIV/0!</v>
      </c>
      <c r="CE19" s="75" t="e">
        <f t="shared" ref="CE19:CE30" ca="1" si="31">BQ19+$CE$15*BW19</f>
        <v>#DIV/0!</v>
      </c>
      <c r="CF19" s="75" t="e">
        <f t="shared" ref="CF19:CF30" ca="1" si="32">BR19+$CF$15*BX19</f>
        <v>#DIV/0!</v>
      </c>
      <c r="CG19" s="47" t="e">
        <f ca="1">CB19+CC19+CD19+CE19+CF19</f>
        <v>#DIV/0!</v>
      </c>
      <c r="CH19" s="234"/>
      <c r="CI19" s="57"/>
      <c r="CJ19" s="47" t="e">
        <f t="shared" ref="CJ19:CJ30" ca="1" si="33">IF(CB19&gt;0,CB19+$AH$130/$CJ$14*$CB$32,0)</f>
        <v>#DIV/0!</v>
      </c>
      <c r="CK19" s="47" t="e">
        <f t="shared" ref="CK19:CK30" ca="1" si="34">IF(CC19&gt;0,CC19+$AH$130/$CK$14*$CC$32,0)</f>
        <v>#DIV/0!</v>
      </c>
      <c r="CL19" s="47" t="e">
        <f t="shared" ref="CL19:CL30" ca="1" si="35">IF(CD19&gt;0,CD19+$AH$130/$CL$14*$CD$32,0)</f>
        <v>#DIV/0!</v>
      </c>
      <c r="CM19" s="47" t="e">
        <f t="shared" ref="CM19:CM30" ca="1" si="36">IF(CE19&gt;0,CE19+$AH$130/$CM$14*$CE$32,0)</f>
        <v>#DIV/0!</v>
      </c>
      <c r="CN19" s="47" t="e">
        <f t="shared" ref="CN19:CN30" ca="1" si="37">IF(CF19&gt;0,CF19+$AH$130/$CN$14*$CF$32,0)</f>
        <v>#DIV/0!</v>
      </c>
      <c r="CO19" s="47" t="e">
        <f ca="1">CJ19+CK19+CL19+CM19+CN19</f>
        <v>#DIV/0!</v>
      </c>
      <c r="CP19" s="49"/>
      <c r="CQ19" s="52" t="str">
        <f t="shared" ref="CQ19:CQ30" ca="1" si="38">F19 &amp; TEXT(MATCH(G19,$EI$3:$EI$14,0),"00")</f>
        <v>201701</v>
      </c>
      <c r="CR19" s="52">
        <f ca="1">MATCH(Mätvärden!CQ19,Normalår!$R$5:$R$76,0)-1</f>
        <v>24</v>
      </c>
      <c r="CS19" s="80">
        <f ca="1">OFFSET(Normalår!$S$5,CR19,0)</f>
        <v>0.90928635413556269</v>
      </c>
      <c r="CT19" s="234"/>
      <c r="CU19" s="75" t="e">
        <f ca="1">CJ19*CS19</f>
        <v>#DIV/0!</v>
      </c>
      <c r="CV19" s="75" t="e">
        <f ca="1">CK19*CS19</f>
        <v>#DIV/0!</v>
      </c>
      <c r="CW19" s="75" t="e">
        <f ca="1">CL19*CS19</f>
        <v>#DIV/0!</v>
      </c>
      <c r="CX19" s="75" t="e">
        <f ca="1">CM19*CS19</f>
        <v>#DIV/0!</v>
      </c>
      <c r="CY19" s="75" t="e">
        <f ca="1">CN19*CS19</f>
        <v>#DIV/0!</v>
      </c>
      <c r="CZ19" s="47" t="e">
        <f ca="1">CU19+CV19+CW19+CX19+CY19</f>
        <v>#DIV/0!</v>
      </c>
      <c r="DA19" s="234"/>
      <c r="DB19" s="234"/>
      <c r="DC19" s="234"/>
      <c r="DD19" s="47" t="e">
        <f ca="1">CU19</f>
        <v>#DIV/0!</v>
      </c>
      <c r="DE19" s="47" t="e">
        <f ca="1">CV19</f>
        <v>#DIV/0!</v>
      </c>
      <c r="DF19" s="47" t="e">
        <f ca="1">CW19</f>
        <v>#DIV/0!</v>
      </c>
      <c r="DG19" s="47" t="e">
        <f ca="1">CX19</f>
        <v>#DIV/0!</v>
      </c>
      <c r="DH19" s="47" t="e">
        <f ca="1">CY19</f>
        <v>#DIV/0!</v>
      </c>
      <c r="DI19" s="47" t="e">
        <f ca="1">DD19+DE19+DF19+DG19+DH19</f>
        <v>#DIV/0!</v>
      </c>
      <c r="DJ19" s="234"/>
      <c r="DK19" s="234"/>
      <c r="DL19" s="234"/>
      <c r="DM19" s="47" t="e">
        <f t="shared" ref="DM19:DM30" ca="1" si="39">CU19</f>
        <v>#DIV/0!</v>
      </c>
      <c r="DN19" s="47" t="e">
        <f t="shared" ref="DN19:DN30" ca="1" si="40">CV19</f>
        <v>#DIV/0!</v>
      </c>
      <c r="DO19" s="47" t="e">
        <f t="shared" ref="DO19:DO30" ca="1" si="41">CW19</f>
        <v>#DIV/0!</v>
      </c>
      <c r="DP19" s="47" t="e">
        <f t="shared" ref="DP19:DP30" ca="1" si="42">CX19</f>
        <v>#DIV/0!</v>
      </c>
      <c r="DQ19" s="47" t="e">
        <f t="shared" ref="DQ19:DQ30" ca="1" si="43">CY19</f>
        <v>#DIV/0!</v>
      </c>
      <c r="DR19" s="47" t="e">
        <f ca="1">DM19+DN19+DO19+DP19+DQ19</f>
        <v>#DIV/0!</v>
      </c>
      <c r="DS19" s="234"/>
      <c r="DT19" s="234"/>
      <c r="EI19" s="36" t="s">
        <v>1065</v>
      </c>
      <c r="EJ19" s="36">
        <v>17</v>
      </c>
      <c r="EK19" s="36"/>
    </row>
    <row r="20" spans="1:156" s="231" customFormat="1" ht="16.5" customHeight="1" x14ac:dyDescent="0.25">
      <c r="A20" s="232"/>
      <c r="B20" s="250"/>
      <c r="C20" s="218"/>
      <c r="D20" s="218"/>
      <c r="E20" s="232"/>
      <c r="F20" s="387">
        <f ca="1">IF(G20="jan",F19+1,F19)</f>
        <v>2017</v>
      </c>
      <c r="G20" s="387" t="str">
        <f t="shared" ca="1" si="1"/>
        <v>feb</v>
      </c>
      <c r="H20" s="70"/>
      <c r="I20" s="72">
        <f t="shared" ref="I20:I30" si="44">IF($D$14&gt;0,IF($I$18=$J$18,J20,J20/$J$15),0)</f>
        <v>0</v>
      </c>
      <c r="J20" s="388"/>
      <c r="K20" s="73"/>
      <c r="L20" s="72">
        <f t="shared" si="2"/>
        <v>0</v>
      </c>
      <c r="M20" s="388"/>
      <c r="N20" s="73"/>
      <c r="O20" s="72">
        <f t="shared" si="3"/>
        <v>0</v>
      </c>
      <c r="P20" s="388"/>
      <c r="Q20" s="74"/>
      <c r="R20" s="74"/>
      <c r="S20" s="74"/>
      <c r="T20" s="74"/>
      <c r="U20" s="74"/>
      <c r="V20" s="74"/>
      <c r="W20" s="232"/>
      <c r="X20" s="233"/>
      <c r="Y20" s="252">
        <f t="shared" si="4"/>
        <v>0</v>
      </c>
      <c r="Z20" s="252">
        <f t="shared" si="5"/>
        <v>0</v>
      </c>
      <c r="AA20" s="252">
        <f t="shared" si="6"/>
        <v>0</v>
      </c>
      <c r="AB20" s="252">
        <f t="shared" si="7"/>
        <v>0</v>
      </c>
      <c r="AC20" s="252">
        <f t="shared" si="8"/>
        <v>0</v>
      </c>
      <c r="AD20" s="248">
        <f t="shared" si="9"/>
        <v>0</v>
      </c>
      <c r="AE20" s="361"/>
      <c r="AF20" s="233"/>
      <c r="AG20" s="252">
        <f t="shared" ref="AG20:AG30" si="45">Y20+AG66</f>
        <v>0</v>
      </c>
      <c r="AH20" s="252">
        <f t="shared" si="10"/>
        <v>0</v>
      </c>
      <c r="AI20" s="252">
        <f t="shared" si="10"/>
        <v>0</v>
      </c>
      <c r="AJ20" s="252">
        <f t="shared" si="10"/>
        <v>0</v>
      </c>
      <c r="AK20" s="252">
        <f t="shared" si="10"/>
        <v>0</v>
      </c>
      <c r="AL20" s="248">
        <f t="shared" si="11"/>
        <v>0</v>
      </c>
      <c r="AM20" s="188"/>
      <c r="AN20" s="248">
        <f t="shared" ref="AN20:AN30" si="46">IF(Y20&gt;0,Y20*($Y$32/$Y$31),0)+IF(AG66&gt;0,AG66*($Y$57/$Y$56),0)</f>
        <v>0</v>
      </c>
      <c r="AO20" s="248">
        <f t="shared" ref="AO20:AO30" si="47">IF(Z20&gt;0,Z20*($Z$32/$Z$31),0)+IF(AH66&gt;0,AH66*($Z$57/$Z$56),0)</f>
        <v>0</v>
      </c>
      <c r="AP20" s="248">
        <f t="shared" ref="AP20:AP30" si="48">IF(AA20&gt;0,AA20*($AA$32/$AA$31),0)+IF(AI66&gt;0,AI66*($AA$57/$AA$56),0)</f>
        <v>0</v>
      </c>
      <c r="AQ20" s="248">
        <f t="shared" ref="AQ20:AQ30" si="49">IF(AB20&gt;0,AB20*($AB$32/$AB$31),0)+IF(AJ66&gt;0,AJ66*($AB$57/$AB$56),0)</f>
        <v>0</v>
      </c>
      <c r="AR20" s="248">
        <f t="shared" ref="AR20:AR30" si="50">IF(AC20&gt;0,AC20*($AC$32/$AC$31),0)+IF(AK66&gt;0,AK66*($AC$57/$AC$56),0)</f>
        <v>0</v>
      </c>
      <c r="AS20" s="248">
        <f t="shared" ref="AS20:AS30" si="51">AN20+AO20+AP20+AQ20+AR20</f>
        <v>0</v>
      </c>
      <c r="AT20" s="259">
        <f>IF($AN$33&gt;0,(AN20-$AN$33*(AF131+AH131+AD131))/$AN$32,0)+IF($AO$33&gt;0,(AO20-$AO$33*(AF131+AH131+AD131))/$AO$32,0)+IF($AP$33&gt;0,(AP20-$AP$33*(AF131+AH131+AD131))/$AP$32,0)+IF($AQ$33&gt;0,(AQ20-$AQ$33*(AF131+AH131+AD131))/$AQ$32,0)+IF($AR$33&gt;0,(AR20-$AR$33*(AF131+AH131+AD131))/$AR$32,0)</f>
        <v>0</v>
      </c>
      <c r="AU20" s="191">
        <f t="shared" ref="AU20:AU30" si="52">AT20-Z131</f>
        <v>0</v>
      </c>
      <c r="AV20" s="362" t="str">
        <f t="shared" ref="AV20:AV29" si="53">IF(AT20&lt;0,"Fel i indata","")</f>
        <v/>
      </c>
      <c r="AW20" s="248">
        <f t="shared" ref="AW20:AW30" si="54">IF($AO$33&gt;0,((AO20/$AO$32)-Z131),0)</f>
        <v>0</v>
      </c>
      <c r="AX20" s="362" t="str">
        <f t="shared" ref="AX20:AX30" si="55">IF(OR(AU20&lt;0,AW20&lt;0),"Fel i indata","")</f>
        <v/>
      </c>
      <c r="AY20" s="49"/>
      <c r="AZ20" s="75">
        <f t="shared" si="12"/>
        <v>0</v>
      </c>
      <c r="BA20" s="75">
        <f t="shared" si="13"/>
        <v>0</v>
      </c>
      <c r="BB20" s="75">
        <f t="shared" si="14"/>
        <v>0</v>
      </c>
      <c r="BC20" s="75">
        <f t="shared" si="15"/>
        <v>0</v>
      </c>
      <c r="BD20" s="75">
        <f t="shared" si="16"/>
        <v>0</v>
      </c>
      <c r="BE20" s="47">
        <f t="shared" ref="BE20:BE30" si="56">AZ20+BA20+BB20+BC20+BD20</f>
        <v>0</v>
      </c>
      <c r="BF20" s="49"/>
      <c r="BG20" s="234"/>
      <c r="BH20" s="58" t="str">
        <f t="shared" ca="1" si="17"/>
        <v>dec</v>
      </c>
      <c r="BI20" s="76">
        <f t="shared" ca="1" si="18"/>
        <v>12</v>
      </c>
      <c r="BJ20" s="76">
        <f t="shared" ca="1" si="19"/>
        <v>1</v>
      </c>
      <c r="BK20" s="76">
        <f t="shared" ca="1" si="20"/>
        <v>744</v>
      </c>
      <c r="BL20" s="77" t="str">
        <f t="shared" ca="1" si="21"/>
        <v>feb</v>
      </c>
      <c r="BM20" s="78">
        <f t="shared" ref="BM20:BM30" ca="1" si="57">VLOOKUP(BL20,$BH$19:$BJ$30,3,FALSE)</f>
        <v>1</v>
      </c>
      <c r="BN20" s="75" t="e">
        <f t="shared" ref="BN20:BN30" ca="1" si="58">IF($BM20=1,AZ20*$BO$12,AZ20)</f>
        <v>#DIV/0!</v>
      </c>
      <c r="BO20" s="75" t="e">
        <f t="shared" ca="1" si="22"/>
        <v>#DIV/0!</v>
      </c>
      <c r="BP20" s="75" t="e">
        <f t="shared" ca="1" si="22"/>
        <v>#DIV/0!</v>
      </c>
      <c r="BQ20" s="75" t="e">
        <f t="shared" ca="1" si="22"/>
        <v>#DIV/0!</v>
      </c>
      <c r="BR20" s="75" t="e">
        <f t="shared" ca="1" si="22"/>
        <v>#DIV/0!</v>
      </c>
      <c r="BS20" s="47" t="e">
        <f t="shared" ref="BS20:BS30" ca="1" si="59">BN20+BO20+BP20+BQ20+BR20</f>
        <v>#DIV/0!</v>
      </c>
      <c r="BT20" s="79" t="e">
        <f t="shared" ca="1" si="23"/>
        <v>#DIV/0!</v>
      </c>
      <c r="BU20" s="79" t="e">
        <f t="shared" ca="1" si="24"/>
        <v>#DIV/0!</v>
      </c>
      <c r="BV20" s="79" t="e">
        <f t="shared" ca="1" si="25"/>
        <v>#DIV/0!</v>
      </c>
      <c r="BW20" s="79" t="e">
        <f t="shared" ca="1" si="26"/>
        <v>#DIV/0!</v>
      </c>
      <c r="BX20" s="79" t="e">
        <f t="shared" ca="1" si="27"/>
        <v>#DIV/0!</v>
      </c>
      <c r="BY20" s="79"/>
      <c r="BZ20" s="77" t="str">
        <f t="shared" ref="BZ20:BZ30" ca="1" si="60">BL20</f>
        <v>feb</v>
      </c>
      <c r="CA20" s="78">
        <f t="shared" ref="CA20:CA30" ca="1" si="61">BM20</f>
        <v>1</v>
      </c>
      <c r="CB20" s="75" t="e">
        <f t="shared" ca="1" si="28"/>
        <v>#DIV/0!</v>
      </c>
      <c r="CC20" s="75" t="e">
        <f t="shared" ca="1" si="29"/>
        <v>#DIV/0!</v>
      </c>
      <c r="CD20" s="75" t="e">
        <f t="shared" ca="1" si="30"/>
        <v>#DIV/0!</v>
      </c>
      <c r="CE20" s="75" t="e">
        <f t="shared" ca="1" si="31"/>
        <v>#DIV/0!</v>
      </c>
      <c r="CF20" s="75" t="e">
        <f t="shared" ca="1" si="32"/>
        <v>#DIV/0!</v>
      </c>
      <c r="CG20" s="47" t="e">
        <f t="shared" ref="CG20:CG30" ca="1" si="62">CB20+CC20+CD20+CE20+CF20</f>
        <v>#DIV/0!</v>
      </c>
      <c r="CH20" s="234"/>
      <c r="CI20" s="57"/>
      <c r="CJ20" s="47" t="e">
        <f t="shared" ca="1" si="33"/>
        <v>#DIV/0!</v>
      </c>
      <c r="CK20" s="47" t="e">
        <f t="shared" ca="1" si="34"/>
        <v>#DIV/0!</v>
      </c>
      <c r="CL20" s="47" t="e">
        <f t="shared" ca="1" si="35"/>
        <v>#DIV/0!</v>
      </c>
      <c r="CM20" s="47" t="e">
        <f t="shared" ca="1" si="36"/>
        <v>#DIV/0!</v>
      </c>
      <c r="CN20" s="47" t="e">
        <f t="shared" ca="1" si="37"/>
        <v>#DIV/0!</v>
      </c>
      <c r="CO20" s="47" t="e">
        <f t="shared" ref="CO20:CO30" ca="1" si="63">CJ20+CK20+CL20+CM20+CN20</f>
        <v>#DIV/0!</v>
      </c>
      <c r="CP20" s="49"/>
      <c r="CQ20" s="52" t="str">
        <f t="shared" ca="1" si="38"/>
        <v>201702</v>
      </c>
      <c r="CR20" s="52">
        <f ca="1">MATCH(Mätvärden!CQ20,Normalår!$R$5:$R$76,0)-1</f>
        <v>25</v>
      </c>
      <c r="CS20" s="80">
        <f ca="1">OFFSET(Normalår!$S$5,CR20,0)</f>
        <v>1.0804414469650523</v>
      </c>
      <c r="CT20" s="234"/>
      <c r="CU20" s="75" t="e">
        <f t="shared" ref="CU20:CU30" ca="1" si="64">CJ20*CS20</f>
        <v>#DIV/0!</v>
      </c>
      <c r="CV20" s="75" t="e">
        <f t="shared" ref="CV20:CV30" ca="1" si="65">CK20*CS20</f>
        <v>#DIV/0!</v>
      </c>
      <c r="CW20" s="75" t="e">
        <f t="shared" ref="CW20:CW30" ca="1" si="66">CL20*CS20</f>
        <v>#DIV/0!</v>
      </c>
      <c r="CX20" s="75" t="e">
        <f t="shared" ref="CX20:CX30" ca="1" si="67">CM20*CS20</f>
        <v>#DIV/0!</v>
      </c>
      <c r="CY20" s="75" t="e">
        <f t="shared" ref="CY20:CY28" ca="1" si="68">CN20*CS20</f>
        <v>#DIV/0!</v>
      </c>
      <c r="CZ20" s="47" t="e">
        <f t="shared" ref="CZ20:CZ30" ca="1" si="69">CU20+CV20+CW20+CX20+CY20</f>
        <v>#DIV/0!</v>
      </c>
      <c r="DA20" s="234"/>
      <c r="DB20" s="234"/>
      <c r="DC20" s="234"/>
      <c r="DD20" s="47" t="e">
        <f t="shared" ref="DD20:DD30" ca="1" si="70">CU20</f>
        <v>#DIV/0!</v>
      </c>
      <c r="DE20" s="47" t="e">
        <f t="shared" ref="DE20:DE30" ca="1" si="71">CV20</f>
        <v>#DIV/0!</v>
      </c>
      <c r="DF20" s="47" t="e">
        <f t="shared" ref="DF20:DF30" ca="1" si="72">CW20</f>
        <v>#DIV/0!</v>
      </c>
      <c r="DG20" s="47" t="e">
        <f t="shared" ref="DG20:DG30" ca="1" si="73">CX20</f>
        <v>#DIV/0!</v>
      </c>
      <c r="DH20" s="47" t="e">
        <f t="shared" ref="DH20:DH30" ca="1" si="74">CY20</f>
        <v>#DIV/0!</v>
      </c>
      <c r="DI20" s="47" t="e">
        <f t="shared" ref="DI20:DI30" ca="1" si="75">DD20+DE20+DF20+DG20+DH20</f>
        <v>#DIV/0!</v>
      </c>
      <c r="DJ20" s="234"/>
      <c r="DK20" s="234"/>
      <c r="DL20" s="234"/>
      <c r="DM20" s="47" t="e">
        <f t="shared" ca="1" si="39"/>
        <v>#DIV/0!</v>
      </c>
      <c r="DN20" s="47" t="e">
        <f t="shared" ca="1" si="40"/>
        <v>#DIV/0!</v>
      </c>
      <c r="DO20" s="47" t="e">
        <f t="shared" ca="1" si="41"/>
        <v>#DIV/0!</v>
      </c>
      <c r="DP20" s="47" t="e">
        <f t="shared" ca="1" si="42"/>
        <v>#DIV/0!</v>
      </c>
      <c r="DQ20" s="47" t="e">
        <f t="shared" ca="1" si="43"/>
        <v>#DIV/0!</v>
      </c>
      <c r="DR20" s="47" t="e">
        <f t="shared" ref="DR20:DR30" ca="1" si="76">DM20+DN20+DO20+DP20+DQ20</f>
        <v>#DIV/0!</v>
      </c>
      <c r="DS20" s="234"/>
      <c r="DT20" s="234"/>
      <c r="EI20" s="34" t="s">
        <v>1066</v>
      </c>
      <c r="EJ20" s="36">
        <v>18</v>
      </c>
      <c r="EK20" s="36"/>
    </row>
    <row r="21" spans="1:156" s="61" customFormat="1" ht="16.5" customHeight="1" x14ac:dyDescent="0.25">
      <c r="A21" s="232"/>
      <c r="B21" s="250"/>
      <c r="C21" s="218"/>
      <c r="D21" s="218"/>
      <c r="E21" s="232"/>
      <c r="F21" s="387">
        <f t="shared" ref="F21:F30" ca="1" si="77">IF(G21="jan",F20+1,F20)</f>
        <v>2017</v>
      </c>
      <c r="G21" s="387" t="str">
        <f t="shared" ca="1" si="1"/>
        <v>mars</v>
      </c>
      <c r="H21" s="70"/>
      <c r="I21" s="72">
        <f t="shared" si="44"/>
        <v>0</v>
      </c>
      <c r="J21" s="388"/>
      <c r="K21" s="73"/>
      <c r="L21" s="72">
        <f t="shared" si="2"/>
        <v>0</v>
      </c>
      <c r="M21" s="388"/>
      <c r="N21" s="73"/>
      <c r="O21" s="72">
        <f t="shared" si="3"/>
        <v>0</v>
      </c>
      <c r="P21" s="388"/>
      <c r="Q21" s="74"/>
      <c r="R21" s="74"/>
      <c r="S21" s="74"/>
      <c r="T21" s="74"/>
      <c r="U21" s="74"/>
      <c r="V21" s="74"/>
      <c r="W21" s="232"/>
      <c r="X21" s="233"/>
      <c r="Y21" s="252">
        <f t="shared" si="4"/>
        <v>0</v>
      </c>
      <c r="Z21" s="252">
        <f t="shared" si="5"/>
        <v>0</v>
      </c>
      <c r="AA21" s="252">
        <f t="shared" si="6"/>
        <v>0</v>
      </c>
      <c r="AB21" s="252">
        <f t="shared" si="7"/>
        <v>0</v>
      </c>
      <c r="AC21" s="252">
        <f t="shared" si="8"/>
        <v>0</v>
      </c>
      <c r="AD21" s="248">
        <f t="shared" si="9"/>
        <v>0</v>
      </c>
      <c r="AE21" s="361"/>
      <c r="AF21" s="233"/>
      <c r="AG21" s="252">
        <f t="shared" si="45"/>
        <v>0</v>
      </c>
      <c r="AH21" s="252">
        <f t="shared" si="10"/>
        <v>0</v>
      </c>
      <c r="AI21" s="252">
        <f t="shared" si="10"/>
        <v>0</v>
      </c>
      <c r="AJ21" s="252">
        <f t="shared" si="10"/>
        <v>0</v>
      </c>
      <c r="AK21" s="252">
        <f t="shared" si="10"/>
        <v>0</v>
      </c>
      <c r="AL21" s="248">
        <f t="shared" si="11"/>
        <v>0</v>
      </c>
      <c r="AM21" s="188"/>
      <c r="AN21" s="248">
        <f t="shared" si="46"/>
        <v>0</v>
      </c>
      <c r="AO21" s="248">
        <f t="shared" si="47"/>
        <v>0</v>
      </c>
      <c r="AP21" s="248">
        <f t="shared" si="48"/>
        <v>0</v>
      </c>
      <c r="AQ21" s="248">
        <f t="shared" si="49"/>
        <v>0</v>
      </c>
      <c r="AR21" s="248">
        <f t="shared" si="50"/>
        <v>0</v>
      </c>
      <c r="AS21" s="248">
        <f t="shared" si="51"/>
        <v>0</v>
      </c>
      <c r="AT21" s="259">
        <f t="shared" ref="AT21:AT30" si="78">IF($AN$33&gt;0,(AN21-$AN$33*(AF132+AH132+AD132))/$AN$32,0)+IF($AO$33&gt;0,(AO21-$AO$33*(AF132+AH132+AD132))/$AO$32,0)+IF($AP$33&gt;0,(AP21-$AP$33*(AF132+AH132+AD132))/$AP$32,0)+IF($AQ$33&gt;0,(AQ21-$AQ$33*(AF132+AH132+AD132))/$AQ$32,0)+IF($AR$33&gt;0,(AR21-$AR$33*(AF132+AH132+AD132))/$AR$32,0)</f>
        <v>0</v>
      </c>
      <c r="AU21" s="191">
        <f t="shared" si="52"/>
        <v>0</v>
      </c>
      <c r="AV21" s="362" t="str">
        <f t="shared" si="53"/>
        <v/>
      </c>
      <c r="AW21" s="248">
        <f t="shared" si="54"/>
        <v>0</v>
      </c>
      <c r="AX21" s="362" t="str">
        <f t="shared" si="55"/>
        <v/>
      </c>
      <c r="AY21" s="49"/>
      <c r="AZ21" s="75">
        <f t="shared" si="12"/>
        <v>0</v>
      </c>
      <c r="BA21" s="75">
        <f t="shared" si="13"/>
        <v>0</v>
      </c>
      <c r="BB21" s="75">
        <f t="shared" si="14"/>
        <v>0</v>
      </c>
      <c r="BC21" s="75">
        <f t="shared" si="15"/>
        <v>0</v>
      </c>
      <c r="BD21" s="75">
        <f t="shared" si="16"/>
        <v>0</v>
      </c>
      <c r="BE21" s="47">
        <f t="shared" si="56"/>
        <v>0</v>
      </c>
      <c r="BF21" s="49"/>
      <c r="BG21" s="234"/>
      <c r="BH21" s="58" t="str">
        <f t="shared" ca="1" si="17"/>
        <v>jan</v>
      </c>
      <c r="BI21" s="76">
        <f t="shared" ca="1" si="18"/>
        <v>1</v>
      </c>
      <c r="BJ21" s="76">
        <f t="shared" ca="1" si="19"/>
        <v>1</v>
      </c>
      <c r="BK21" s="76">
        <f t="shared" ca="1" si="20"/>
        <v>744</v>
      </c>
      <c r="BL21" s="77" t="str">
        <f t="shared" ca="1" si="21"/>
        <v>mars</v>
      </c>
      <c r="BM21" s="78">
        <f t="shared" ca="1" si="57"/>
        <v>0</v>
      </c>
      <c r="BN21" s="75">
        <f t="shared" ca="1" si="58"/>
        <v>0</v>
      </c>
      <c r="BO21" s="75">
        <f t="shared" ca="1" si="22"/>
        <v>0</v>
      </c>
      <c r="BP21" s="75">
        <f t="shared" ca="1" si="22"/>
        <v>0</v>
      </c>
      <c r="BQ21" s="75">
        <f t="shared" ca="1" si="22"/>
        <v>0</v>
      </c>
      <c r="BR21" s="75">
        <f t="shared" ca="1" si="22"/>
        <v>0</v>
      </c>
      <c r="BS21" s="47">
        <f t="shared" ca="1" si="59"/>
        <v>0</v>
      </c>
      <c r="BT21" s="79">
        <f t="shared" ca="1" si="23"/>
        <v>0</v>
      </c>
      <c r="BU21" s="79">
        <f t="shared" ca="1" si="24"/>
        <v>0</v>
      </c>
      <c r="BV21" s="79">
        <f t="shared" ca="1" si="25"/>
        <v>0</v>
      </c>
      <c r="BW21" s="79">
        <f t="shared" ca="1" si="26"/>
        <v>0</v>
      </c>
      <c r="BX21" s="79">
        <f t="shared" ca="1" si="27"/>
        <v>0</v>
      </c>
      <c r="BY21" s="79"/>
      <c r="BZ21" s="77" t="str">
        <f t="shared" ca="1" si="60"/>
        <v>mars</v>
      </c>
      <c r="CA21" s="78">
        <f t="shared" ca="1" si="61"/>
        <v>0</v>
      </c>
      <c r="CB21" s="75" t="e">
        <f t="shared" ca="1" si="28"/>
        <v>#DIV/0!</v>
      </c>
      <c r="CC21" s="75" t="e">
        <f t="shared" ca="1" si="29"/>
        <v>#DIV/0!</v>
      </c>
      <c r="CD21" s="75" t="e">
        <f t="shared" ca="1" si="30"/>
        <v>#DIV/0!</v>
      </c>
      <c r="CE21" s="75" t="e">
        <f t="shared" ca="1" si="31"/>
        <v>#DIV/0!</v>
      </c>
      <c r="CF21" s="75" t="e">
        <f t="shared" ca="1" si="32"/>
        <v>#DIV/0!</v>
      </c>
      <c r="CG21" s="47" t="e">
        <f t="shared" ca="1" si="62"/>
        <v>#DIV/0!</v>
      </c>
      <c r="CH21" s="234"/>
      <c r="CI21" s="57"/>
      <c r="CJ21" s="47" t="e">
        <f t="shared" ca="1" si="33"/>
        <v>#DIV/0!</v>
      </c>
      <c r="CK21" s="47" t="e">
        <f t="shared" ca="1" si="34"/>
        <v>#DIV/0!</v>
      </c>
      <c r="CL21" s="47" t="e">
        <f t="shared" ca="1" si="35"/>
        <v>#DIV/0!</v>
      </c>
      <c r="CM21" s="47" t="e">
        <f t="shared" ca="1" si="36"/>
        <v>#DIV/0!</v>
      </c>
      <c r="CN21" s="47" t="e">
        <f t="shared" ca="1" si="37"/>
        <v>#DIV/0!</v>
      </c>
      <c r="CO21" s="47" t="e">
        <f t="shared" ca="1" si="63"/>
        <v>#DIV/0!</v>
      </c>
      <c r="CP21" s="49"/>
      <c r="CQ21" s="52" t="str">
        <f t="shared" ca="1" si="38"/>
        <v>201703</v>
      </c>
      <c r="CR21" s="52">
        <f ca="1">MATCH(Mätvärden!CQ21,Normalår!$R$5:$R$76,0)-1</f>
        <v>26</v>
      </c>
      <c r="CS21" s="80">
        <f ca="1">OFFSET(Normalår!$S$5,CR21,0)</f>
        <v>1.104072732648385</v>
      </c>
      <c r="CT21" s="234"/>
      <c r="CU21" s="75" t="e">
        <f t="shared" ca="1" si="64"/>
        <v>#DIV/0!</v>
      </c>
      <c r="CV21" s="75" t="e">
        <f t="shared" ca="1" si="65"/>
        <v>#DIV/0!</v>
      </c>
      <c r="CW21" s="75" t="e">
        <f t="shared" ca="1" si="66"/>
        <v>#DIV/0!</v>
      </c>
      <c r="CX21" s="75" t="e">
        <f t="shared" ca="1" si="67"/>
        <v>#DIV/0!</v>
      </c>
      <c r="CY21" s="75" t="e">
        <f t="shared" ca="1" si="68"/>
        <v>#DIV/0!</v>
      </c>
      <c r="CZ21" s="47" t="e">
        <f t="shared" ca="1" si="69"/>
        <v>#DIV/0!</v>
      </c>
      <c r="DA21" s="234"/>
      <c r="DB21" s="234"/>
      <c r="DC21" s="234"/>
      <c r="DD21" s="47" t="e">
        <f t="shared" ca="1" si="70"/>
        <v>#DIV/0!</v>
      </c>
      <c r="DE21" s="47" t="e">
        <f t="shared" ca="1" si="71"/>
        <v>#DIV/0!</v>
      </c>
      <c r="DF21" s="47" t="e">
        <f t="shared" ca="1" si="72"/>
        <v>#DIV/0!</v>
      </c>
      <c r="DG21" s="47" t="e">
        <f t="shared" ca="1" si="73"/>
        <v>#DIV/0!</v>
      </c>
      <c r="DH21" s="47" t="e">
        <f t="shared" ca="1" si="74"/>
        <v>#DIV/0!</v>
      </c>
      <c r="DI21" s="47" t="e">
        <f t="shared" ca="1" si="75"/>
        <v>#DIV/0!</v>
      </c>
      <c r="DJ21" s="234"/>
      <c r="DK21" s="234"/>
      <c r="DL21" s="234"/>
      <c r="DM21" s="47" t="e">
        <f t="shared" ca="1" si="39"/>
        <v>#DIV/0!</v>
      </c>
      <c r="DN21" s="47" t="e">
        <f t="shared" ca="1" si="40"/>
        <v>#DIV/0!</v>
      </c>
      <c r="DO21" s="47" t="e">
        <f t="shared" ca="1" si="41"/>
        <v>#DIV/0!</v>
      </c>
      <c r="DP21" s="47" t="e">
        <f t="shared" ca="1" si="42"/>
        <v>#DIV/0!</v>
      </c>
      <c r="DQ21" s="47" t="e">
        <f t="shared" ca="1" si="43"/>
        <v>#DIV/0!</v>
      </c>
      <c r="DR21" s="47" t="e">
        <f t="shared" ca="1" si="76"/>
        <v>#DIV/0!</v>
      </c>
      <c r="DS21" s="234"/>
      <c r="DT21" s="234"/>
      <c r="DU21" s="231"/>
      <c r="DV21" s="231"/>
      <c r="DW21" s="231"/>
      <c r="DX21" s="231"/>
      <c r="DY21" s="231"/>
      <c r="DZ21" s="231"/>
      <c r="EA21" s="231"/>
      <c r="EB21" s="231"/>
      <c r="EC21" s="231"/>
      <c r="ED21" s="231"/>
      <c r="EE21" s="231"/>
      <c r="EF21" s="231"/>
      <c r="EG21" s="231"/>
      <c r="EH21" s="231"/>
      <c r="EI21" s="34" t="s">
        <v>1067</v>
      </c>
      <c r="EJ21" s="36">
        <v>19</v>
      </c>
      <c r="EK21" s="36"/>
      <c r="EL21" s="231"/>
      <c r="EM21" s="231"/>
      <c r="EN21" s="231"/>
      <c r="EO21" s="231"/>
      <c r="EP21" s="231"/>
      <c r="EQ21" s="231"/>
      <c r="ER21" s="231"/>
      <c r="ES21" s="231"/>
      <c r="ET21" s="231"/>
      <c r="EU21" s="231"/>
      <c r="EV21" s="231"/>
      <c r="EW21" s="231"/>
      <c r="EX21" s="231"/>
      <c r="EY21" s="231"/>
      <c r="EZ21" s="231"/>
    </row>
    <row r="22" spans="1:156" s="231" customFormat="1" ht="16.5" customHeight="1" x14ac:dyDescent="0.25">
      <c r="A22" s="232"/>
      <c r="B22" s="250"/>
      <c r="E22" s="232"/>
      <c r="F22" s="387">
        <f t="shared" ca="1" si="77"/>
        <v>2017</v>
      </c>
      <c r="G22" s="387" t="str">
        <f t="shared" ca="1" si="1"/>
        <v>apr</v>
      </c>
      <c r="H22" s="70"/>
      <c r="I22" s="72">
        <f t="shared" si="44"/>
        <v>0</v>
      </c>
      <c r="J22" s="388"/>
      <c r="K22" s="73"/>
      <c r="L22" s="72">
        <f t="shared" si="2"/>
        <v>0</v>
      </c>
      <c r="M22" s="388"/>
      <c r="N22" s="73"/>
      <c r="O22" s="72">
        <f t="shared" si="3"/>
        <v>0</v>
      </c>
      <c r="P22" s="388"/>
      <c r="Q22" s="74"/>
      <c r="R22" s="74"/>
      <c r="S22" s="74"/>
      <c r="T22" s="74"/>
      <c r="U22" s="74"/>
      <c r="V22" s="74"/>
      <c r="W22" s="232"/>
      <c r="X22" s="233"/>
      <c r="Y22" s="252">
        <f t="shared" si="4"/>
        <v>0</v>
      </c>
      <c r="Z22" s="252">
        <f t="shared" si="5"/>
        <v>0</v>
      </c>
      <c r="AA22" s="252">
        <f t="shared" si="6"/>
        <v>0</v>
      </c>
      <c r="AB22" s="252">
        <f t="shared" si="7"/>
        <v>0</v>
      </c>
      <c r="AC22" s="252">
        <f t="shared" si="8"/>
        <v>0</v>
      </c>
      <c r="AD22" s="248">
        <f t="shared" si="9"/>
        <v>0</v>
      </c>
      <c r="AE22" s="361"/>
      <c r="AF22" s="233"/>
      <c r="AG22" s="252">
        <f t="shared" si="45"/>
        <v>0</v>
      </c>
      <c r="AH22" s="252">
        <f t="shared" si="10"/>
        <v>0</v>
      </c>
      <c r="AI22" s="252">
        <f t="shared" si="10"/>
        <v>0</v>
      </c>
      <c r="AJ22" s="252">
        <f t="shared" si="10"/>
        <v>0</v>
      </c>
      <c r="AK22" s="252">
        <f t="shared" si="10"/>
        <v>0</v>
      </c>
      <c r="AL22" s="248">
        <f t="shared" si="11"/>
        <v>0</v>
      </c>
      <c r="AM22" s="188"/>
      <c r="AN22" s="248">
        <f t="shared" si="46"/>
        <v>0</v>
      </c>
      <c r="AO22" s="248">
        <f t="shared" si="47"/>
        <v>0</v>
      </c>
      <c r="AP22" s="248">
        <f t="shared" si="48"/>
        <v>0</v>
      </c>
      <c r="AQ22" s="248">
        <f t="shared" si="49"/>
        <v>0</v>
      </c>
      <c r="AR22" s="248">
        <f t="shared" si="50"/>
        <v>0</v>
      </c>
      <c r="AS22" s="248">
        <f t="shared" si="51"/>
        <v>0</v>
      </c>
      <c r="AT22" s="259">
        <f t="shared" si="78"/>
        <v>0</v>
      </c>
      <c r="AU22" s="191">
        <f t="shared" si="52"/>
        <v>0</v>
      </c>
      <c r="AV22" s="362" t="str">
        <f t="shared" si="53"/>
        <v/>
      </c>
      <c r="AW22" s="248">
        <f t="shared" si="54"/>
        <v>0</v>
      </c>
      <c r="AX22" s="362" t="str">
        <f t="shared" si="55"/>
        <v/>
      </c>
      <c r="AY22" s="49"/>
      <c r="AZ22" s="75">
        <f t="shared" si="12"/>
        <v>0</v>
      </c>
      <c r="BA22" s="75">
        <f t="shared" si="13"/>
        <v>0</v>
      </c>
      <c r="BB22" s="75">
        <f t="shared" si="14"/>
        <v>0</v>
      </c>
      <c r="BC22" s="75">
        <f t="shared" si="15"/>
        <v>0</v>
      </c>
      <c r="BD22" s="75">
        <f t="shared" si="16"/>
        <v>0</v>
      </c>
      <c r="BE22" s="47">
        <f t="shared" si="56"/>
        <v>0</v>
      </c>
      <c r="BF22" s="49"/>
      <c r="BG22" s="234"/>
      <c r="BH22" s="58" t="str">
        <f t="shared" ca="1" si="17"/>
        <v>feb</v>
      </c>
      <c r="BI22" s="76">
        <f t="shared" ca="1" si="18"/>
        <v>2</v>
      </c>
      <c r="BJ22" s="76">
        <f t="shared" ca="1" si="19"/>
        <v>1</v>
      </c>
      <c r="BK22" s="76">
        <f t="shared" ca="1" si="20"/>
        <v>672</v>
      </c>
      <c r="BL22" s="77" t="str">
        <f t="shared" ca="1" si="21"/>
        <v>apr</v>
      </c>
      <c r="BM22" s="78">
        <f t="shared" ca="1" si="57"/>
        <v>0</v>
      </c>
      <c r="BN22" s="75">
        <f t="shared" ca="1" si="58"/>
        <v>0</v>
      </c>
      <c r="BO22" s="75">
        <f t="shared" ca="1" si="22"/>
        <v>0</v>
      </c>
      <c r="BP22" s="75">
        <f t="shared" ca="1" si="22"/>
        <v>0</v>
      </c>
      <c r="BQ22" s="75">
        <f t="shared" ca="1" si="22"/>
        <v>0</v>
      </c>
      <c r="BR22" s="75">
        <f t="shared" ca="1" si="22"/>
        <v>0</v>
      </c>
      <c r="BS22" s="47">
        <f t="shared" ca="1" si="59"/>
        <v>0</v>
      </c>
      <c r="BT22" s="79">
        <f t="shared" ca="1" si="23"/>
        <v>0</v>
      </c>
      <c r="BU22" s="79">
        <f t="shared" ca="1" si="24"/>
        <v>0</v>
      </c>
      <c r="BV22" s="79">
        <f t="shared" ca="1" si="25"/>
        <v>0</v>
      </c>
      <c r="BW22" s="79">
        <f t="shared" ca="1" si="26"/>
        <v>0</v>
      </c>
      <c r="BX22" s="79">
        <f t="shared" ca="1" si="27"/>
        <v>0</v>
      </c>
      <c r="BY22" s="79"/>
      <c r="BZ22" s="77" t="str">
        <f t="shared" ca="1" si="60"/>
        <v>apr</v>
      </c>
      <c r="CA22" s="78">
        <f t="shared" ca="1" si="61"/>
        <v>0</v>
      </c>
      <c r="CB22" s="75" t="e">
        <f t="shared" ca="1" si="28"/>
        <v>#DIV/0!</v>
      </c>
      <c r="CC22" s="75" t="e">
        <f t="shared" ca="1" si="29"/>
        <v>#DIV/0!</v>
      </c>
      <c r="CD22" s="75" t="e">
        <f t="shared" ca="1" si="30"/>
        <v>#DIV/0!</v>
      </c>
      <c r="CE22" s="75" t="e">
        <f t="shared" ca="1" si="31"/>
        <v>#DIV/0!</v>
      </c>
      <c r="CF22" s="75" t="e">
        <f t="shared" ca="1" si="32"/>
        <v>#DIV/0!</v>
      </c>
      <c r="CG22" s="47" t="e">
        <f t="shared" ca="1" si="62"/>
        <v>#DIV/0!</v>
      </c>
      <c r="CH22" s="234"/>
      <c r="CI22" s="57"/>
      <c r="CJ22" s="47" t="e">
        <f t="shared" ca="1" si="33"/>
        <v>#DIV/0!</v>
      </c>
      <c r="CK22" s="47" t="e">
        <f t="shared" ca="1" si="34"/>
        <v>#DIV/0!</v>
      </c>
      <c r="CL22" s="47" t="e">
        <f t="shared" ca="1" si="35"/>
        <v>#DIV/0!</v>
      </c>
      <c r="CM22" s="47" t="e">
        <f t="shared" ca="1" si="36"/>
        <v>#DIV/0!</v>
      </c>
      <c r="CN22" s="47" t="e">
        <f t="shared" ca="1" si="37"/>
        <v>#DIV/0!</v>
      </c>
      <c r="CO22" s="47" t="e">
        <f t="shared" ca="1" si="63"/>
        <v>#DIV/0!</v>
      </c>
      <c r="CP22" s="49"/>
      <c r="CQ22" s="52" t="str">
        <f t="shared" ca="1" si="38"/>
        <v>201704</v>
      </c>
      <c r="CR22" s="52">
        <f ca="1">MATCH(Mätvärden!CQ22,Normalår!$R$5:$R$76,0)-1</f>
        <v>27</v>
      </c>
      <c r="CS22" s="80">
        <f ca="1">OFFSET(Normalår!$S$5,CR22,0)</f>
        <v>0.96512856639661859</v>
      </c>
      <c r="CT22" s="234"/>
      <c r="CU22" s="75" t="e">
        <f t="shared" ca="1" si="64"/>
        <v>#DIV/0!</v>
      </c>
      <c r="CV22" s="75" t="e">
        <f t="shared" ca="1" si="65"/>
        <v>#DIV/0!</v>
      </c>
      <c r="CW22" s="75" t="e">
        <f t="shared" ca="1" si="66"/>
        <v>#DIV/0!</v>
      </c>
      <c r="CX22" s="75" t="e">
        <f t="shared" ca="1" si="67"/>
        <v>#DIV/0!</v>
      </c>
      <c r="CY22" s="75" t="e">
        <f t="shared" ca="1" si="68"/>
        <v>#DIV/0!</v>
      </c>
      <c r="CZ22" s="47" t="e">
        <f t="shared" ca="1" si="69"/>
        <v>#DIV/0!</v>
      </c>
      <c r="DA22" s="234"/>
      <c r="DB22" s="81"/>
      <c r="DC22" s="234"/>
      <c r="DD22" s="47" t="e">
        <f t="shared" ca="1" si="70"/>
        <v>#DIV/0!</v>
      </c>
      <c r="DE22" s="47" t="e">
        <f t="shared" ca="1" si="71"/>
        <v>#DIV/0!</v>
      </c>
      <c r="DF22" s="47" t="e">
        <f t="shared" ca="1" si="72"/>
        <v>#DIV/0!</v>
      </c>
      <c r="DG22" s="47" t="e">
        <f t="shared" ca="1" si="73"/>
        <v>#DIV/0!</v>
      </c>
      <c r="DH22" s="47" t="e">
        <f t="shared" ca="1" si="74"/>
        <v>#DIV/0!</v>
      </c>
      <c r="DI22" s="47" t="e">
        <f t="shared" ca="1" si="75"/>
        <v>#DIV/0!</v>
      </c>
      <c r="DJ22" s="234"/>
      <c r="DK22" s="234"/>
      <c r="DL22" s="234"/>
      <c r="DM22" s="47" t="e">
        <f t="shared" ca="1" si="39"/>
        <v>#DIV/0!</v>
      </c>
      <c r="DN22" s="47" t="e">
        <f t="shared" ca="1" si="40"/>
        <v>#DIV/0!</v>
      </c>
      <c r="DO22" s="47" t="e">
        <f t="shared" ca="1" si="41"/>
        <v>#DIV/0!</v>
      </c>
      <c r="DP22" s="47" t="e">
        <f t="shared" ca="1" si="42"/>
        <v>#DIV/0!</v>
      </c>
      <c r="DQ22" s="47" t="e">
        <f t="shared" ca="1" si="43"/>
        <v>#DIV/0!</v>
      </c>
      <c r="DR22" s="47" t="e">
        <f t="shared" ca="1" si="76"/>
        <v>#DIV/0!</v>
      </c>
      <c r="DS22" s="234"/>
      <c r="DT22" s="234"/>
      <c r="EI22" s="34" t="s">
        <v>1068</v>
      </c>
      <c r="EJ22" s="36">
        <v>20</v>
      </c>
      <c r="EK22" s="36"/>
    </row>
    <row r="23" spans="1:156" s="231" customFormat="1" ht="16.5" customHeight="1" x14ac:dyDescent="0.25">
      <c r="A23" s="232"/>
      <c r="B23" s="250"/>
      <c r="C23" s="250"/>
      <c r="D23" s="250"/>
      <c r="E23" s="232"/>
      <c r="F23" s="387">
        <f t="shared" ca="1" si="77"/>
        <v>2017</v>
      </c>
      <c r="G23" s="387" t="str">
        <f t="shared" ca="1" si="1"/>
        <v>maj</v>
      </c>
      <c r="H23" s="70"/>
      <c r="I23" s="72">
        <f t="shared" si="44"/>
        <v>0</v>
      </c>
      <c r="J23" s="388"/>
      <c r="K23" s="73"/>
      <c r="L23" s="72">
        <f t="shared" si="2"/>
        <v>0</v>
      </c>
      <c r="M23" s="388"/>
      <c r="N23" s="73"/>
      <c r="O23" s="72">
        <f t="shared" si="3"/>
        <v>0</v>
      </c>
      <c r="P23" s="388"/>
      <c r="Q23" s="74"/>
      <c r="R23" s="74"/>
      <c r="S23" s="74"/>
      <c r="T23" s="74"/>
      <c r="U23" s="74"/>
      <c r="V23" s="74"/>
      <c r="W23" s="232"/>
      <c r="X23" s="233"/>
      <c r="Y23" s="252">
        <f t="shared" si="4"/>
        <v>0</v>
      </c>
      <c r="Z23" s="252">
        <f t="shared" si="5"/>
        <v>0</v>
      </c>
      <c r="AA23" s="252">
        <f t="shared" si="6"/>
        <v>0</v>
      </c>
      <c r="AB23" s="252">
        <f t="shared" si="7"/>
        <v>0</v>
      </c>
      <c r="AC23" s="252">
        <f t="shared" si="8"/>
        <v>0</v>
      </c>
      <c r="AD23" s="248">
        <f t="shared" si="9"/>
        <v>0</v>
      </c>
      <c r="AE23" s="361"/>
      <c r="AF23" s="233"/>
      <c r="AG23" s="252">
        <f t="shared" si="45"/>
        <v>0</v>
      </c>
      <c r="AH23" s="252">
        <f t="shared" si="10"/>
        <v>0</v>
      </c>
      <c r="AI23" s="252">
        <f t="shared" si="10"/>
        <v>0</v>
      </c>
      <c r="AJ23" s="252">
        <f t="shared" si="10"/>
        <v>0</v>
      </c>
      <c r="AK23" s="252">
        <f t="shared" si="10"/>
        <v>0</v>
      </c>
      <c r="AL23" s="248">
        <f t="shared" si="11"/>
        <v>0</v>
      </c>
      <c r="AM23" s="188"/>
      <c r="AN23" s="248">
        <f t="shared" si="46"/>
        <v>0</v>
      </c>
      <c r="AO23" s="248">
        <f t="shared" si="47"/>
        <v>0</v>
      </c>
      <c r="AP23" s="248">
        <f t="shared" si="48"/>
        <v>0</v>
      </c>
      <c r="AQ23" s="248">
        <f t="shared" si="49"/>
        <v>0</v>
      </c>
      <c r="AR23" s="248">
        <f t="shared" si="50"/>
        <v>0</v>
      </c>
      <c r="AS23" s="248">
        <f t="shared" si="51"/>
        <v>0</v>
      </c>
      <c r="AT23" s="259">
        <f t="shared" si="78"/>
        <v>0</v>
      </c>
      <c r="AU23" s="191">
        <f t="shared" si="52"/>
        <v>0</v>
      </c>
      <c r="AV23" s="362" t="str">
        <f t="shared" si="53"/>
        <v/>
      </c>
      <c r="AW23" s="248">
        <f t="shared" si="54"/>
        <v>0</v>
      </c>
      <c r="AX23" s="362" t="str">
        <f t="shared" si="55"/>
        <v/>
      </c>
      <c r="AY23" s="49"/>
      <c r="AZ23" s="75">
        <f t="shared" si="12"/>
        <v>0</v>
      </c>
      <c r="BA23" s="75">
        <f t="shared" si="13"/>
        <v>0</v>
      </c>
      <c r="BB23" s="75">
        <f t="shared" si="14"/>
        <v>0</v>
      </c>
      <c r="BC23" s="75">
        <f t="shared" si="15"/>
        <v>0</v>
      </c>
      <c r="BD23" s="75">
        <f t="shared" si="16"/>
        <v>0</v>
      </c>
      <c r="BE23" s="47">
        <f t="shared" si="56"/>
        <v>0</v>
      </c>
      <c r="BF23" s="49"/>
      <c r="BG23" s="234"/>
      <c r="BH23" s="58" t="str">
        <f t="shared" ca="1" si="17"/>
        <v>mars</v>
      </c>
      <c r="BI23" s="76">
        <f t="shared" ca="1" si="18"/>
        <v>3</v>
      </c>
      <c r="BJ23" s="76">
        <f t="shared" ca="1" si="19"/>
        <v>0</v>
      </c>
      <c r="BK23" s="76">
        <f t="shared" ca="1" si="20"/>
        <v>0</v>
      </c>
      <c r="BL23" s="77" t="str">
        <f t="shared" ca="1" si="21"/>
        <v>maj</v>
      </c>
      <c r="BM23" s="78">
        <f t="shared" ca="1" si="57"/>
        <v>0</v>
      </c>
      <c r="BN23" s="75">
        <f t="shared" ca="1" si="58"/>
        <v>0</v>
      </c>
      <c r="BO23" s="75">
        <f t="shared" ca="1" si="22"/>
        <v>0</v>
      </c>
      <c r="BP23" s="75">
        <f t="shared" ca="1" si="22"/>
        <v>0</v>
      </c>
      <c r="BQ23" s="75">
        <f t="shared" ca="1" si="22"/>
        <v>0</v>
      </c>
      <c r="BR23" s="75">
        <f t="shared" ca="1" si="22"/>
        <v>0</v>
      </c>
      <c r="BS23" s="47">
        <f t="shared" ca="1" si="59"/>
        <v>0</v>
      </c>
      <c r="BT23" s="79">
        <f t="shared" ca="1" si="23"/>
        <v>0</v>
      </c>
      <c r="BU23" s="79">
        <f t="shared" ca="1" si="24"/>
        <v>0</v>
      </c>
      <c r="BV23" s="79">
        <f t="shared" ca="1" si="25"/>
        <v>0</v>
      </c>
      <c r="BW23" s="79">
        <f t="shared" ca="1" si="26"/>
        <v>0</v>
      </c>
      <c r="BX23" s="79">
        <f t="shared" ca="1" si="27"/>
        <v>0</v>
      </c>
      <c r="BY23" s="79"/>
      <c r="BZ23" s="77" t="str">
        <f t="shared" ca="1" si="60"/>
        <v>maj</v>
      </c>
      <c r="CA23" s="78">
        <f t="shared" ca="1" si="61"/>
        <v>0</v>
      </c>
      <c r="CB23" s="75" t="e">
        <f t="shared" ca="1" si="28"/>
        <v>#DIV/0!</v>
      </c>
      <c r="CC23" s="75" t="e">
        <f t="shared" ca="1" si="29"/>
        <v>#DIV/0!</v>
      </c>
      <c r="CD23" s="75" t="e">
        <f t="shared" ca="1" si="30"/>
        <v>#DIV/0!</v>
      </c>
      <c r="CE23" s="75" t="e">
        <f t="shared" ca="1" si="31"/>
        <v>#DIV/0!</v>
      </c>
      <c r="CF23" s="75" t="e">
        <f t="shared" ca="1" si="32"/>
        <v>#DIV/0!</v>
      </c>
      <c r="CG23" s="47" t="e">
        <f t="shared" ca="1" si="62"/>
        <v>#DIV/0!</v>
      </c>
      <c r="CH23" s="234"/>
      <c r="CI23" s="57"/>
      <c r="CJ23" s="47" t="e">
        <f t="shared" ca="1" si="33"/>
        <v>#DIV/0!</v>
      </c>
      <c r="CK23" s="47" t="e">
        <f t="shared" ca="1" si="34"/>
        <v>#DIV/0!</v>
      </c>
      <c r="CL23" s="47" t="e">
        <f t="shared" ca="1" si="35"/>
        <v>#DIV/0!</v>
      </c>
      <c r="CM23" s="47" t="e">
        <f t="shared" ca="1" si="36"/>
        <v>#DIV/0!</v>
      </c>
      <c r="CN23" s="47" t="e">
        <f t="shared" ca="1" si="37"/>
        <v>#DIV/0!</v>
      </c>
      <c r="CO23" s="47" t="e">
        <f t="shared" ca="1" si="63"/>
        <v>#DIV/0!</v>
      </c>
      <c r="CP23" s="49"/>
      <c r="CQ23" s="52" t="str">
        <f t="shared" ca="1" si="38"/>
        <v>201705</v>
      </c>
      <c r="CR23" s="52">
        <f ca="1">MATCH(Mätvärden!CQ23,Normalår!$R$5:$R$76,0)-1</f>
        <v>28</v>
      </c>
      <c r="CS23" s="80">
        <f ca="1">OFFSET(Normalår!$S$5,CR23,0)</f>
        <v>1</v>
      </c>
      <c r="CT23" s="234"/>
      <c r="CU23" s="75" t="e">
        <f t="shared" ca="1" si="64"/>
        <v>#DIV/0!</v>
      </c>
      <c r="CV23" s="75" t="e">
        <f t="shared" ca="1" si="65"/>
        <v>#DIV/0!</v>
      </c>
      <c r="CW23" s="75" t="e">
        <f t="shared" ca="1" si="66"/>
        <v>#DIV/0!</v>
      </c>
      <c r="CX23" s="75" t="e">
        <f t="shared" ca="1" si="67"/>
        <v>#DIV/0!</v>
      </c>
      <c r="CY23" s="75" t="e">
        <f t="shared" ca="1" si="68"/>
        <v>#DIV/0!</v>
      </c>
      <c r="CZ23" s="47" t="e">
        <f t="shared" ca="1" si="69"/>
        <v>#DIV/0!</v>
      </c>
      <c r="DA23" s="234"/>
      <c r="DB23" s="81"/>
      <c r="DC23" s="234"/>
      <c r="DD23" s="47" t="e">
        <f t="shared" ca="1" si="70"/>
        <v>#DIV/0!</v>
      </c>
      <c r="DE23" s="47" t="e">
        <f t="shared" ca="1" si="71"/>
        <v>#DIV/0!</v>
      </c>
      <c r="DF23" s="47" t="e">
        <f t="shared" ca="1" si="72"/>
        <v>#DIV/0!</v>
      </c>
      <c r="DG23" s="47" t="e">
        <f t="shared" ca="1" si="73"/>
        <v>#DIV/0!</v>
      </c>
      <c r="DH23" s="47" t="e">
        <f t="shared" ca="1" si="74"/>
        <v>#DIV/0!</v>
      </c>
      <c r="DI23" s="47" t="e">
        <f t="shared" ca="1" si="75"/>
        <v>#DIV/0!</v>
      </c>
      <c r="DJ23" s="234"/>
      <c r="DK23" s="234"/>
      <c r="DL23" s="234"/>
      <c r="DM23" s="47" t="e">
        <f t="shared" ca="1" si="39"/>
        <v>#DIV/0!</v>
      </c>
      <c r="DN23" s="47" t="e">
        <f t="shared" ca="1" si="40"/>
        <v>#DIV/0!</v>
      </c>
      <c r="DO23" s="47" t="e">
        <f t="shared" ca="1" si="41"/>
        <v>#DIV/0!</v>
      </c>
      <c r="DP23" s="47" t="e">
        <f t="shared" ca="1" si="42"/>
        <v>#DIV/0!</v>
      </c>
      <c r="DQ23" s="47" t="e">
        <f t="shared" ca="1" si="43"/>
        <v>#DIV/0!</v>
      </c>
      <c r="DR23" s="47" t="e">
        <f t="shared" ca="1" si="76"/>
        <v>#DIV/0!</v>
      </c>
      <c r="DS23" s="234"/>
      <c r="DT23" s="234"/>
      <c r="DU23" s="61"/>
      <c r="DV23" s="61"/>
      <c r="DW23" s="61"/>
      <c r="DX23" s="61"/>
      <c r="DY23" s="61"/>
      <c r="DZ23" s="61"/>
      <c r="EA23" s="61"/>
      <c r="EB23" s="61"/>
      <c r="EC23" s="61"/>
      <c r="ED23" s="61"/>
      <c r="EE23" s="61"/>
      <c r="EF23" s="61"/>
      <c r="EG23" s="61"/>
      <c r="EH23" s="61"/>
      <c r="EI23" s="69" t="s">
        <v>1069</v>
      </c>
      <c r="EJ23" s="69">
        <v>21</v>
      </c>
      <c r="EK23" s="69"/>
      <c r="EL23" s="61"/>
      <c r="EM23" s="61"/>
      <c r="EN23" s="61"/>
      <c r="EO23" s="61"/>
      <c r="EP23" s="61"/>
      <c r="EQ23" s="61"/>
      <c r="ER23" s="61"/>
      <c r="ES23" s="61"/>
      <c r="ET23" s="61"/>
      <c r="EU23" s="61"/>
      <c r="EV23" s="61"/>
      <c r="EW23" s="61"/>
      <c r="EX23" s="61"/>
      <c r="EY23" s="61"/>
      <c r="EZ23" s="61"/>
    </row>
    <row r="24" spans="1:156" s="231" customFormat="1" ht="16.5" customHeight="1" x14ac:dyDescent="0.25">
      <c r="A24" s="232"/>
      <c r="B24" s="250"/>
      <c r="C24" s="250"/>
      <c r="D24" s="250"/>
      <c r="E24" s="232"/>
      <c r="F24" s="387">
        <f t="shared" ca="1" si="77"/>
        <v>2017</v>
      </c>
      <c r="G24" s="387" t="str">
        <f t="shared" ca="1" si="1"/>
        <v xml:space="preserve">jun </v>
      </c>
      <c r="H24" s="70"/>
      <c r="I24" s="72">
        <f t="shared" si="44"/>
        <v>0</v>
      </c>
      <c r="J24" s="388"/>
      <c r="K24" s="73"/>
      <c r="L24" s="72">
        <f t="shared" si="2"/>
        <v>0</v>
      </c>
      <c r="M24" s="388"/>
      <c r="N24" s="73"/>
      <c r="O24" s="72">
        <f t="shared" si="3"/>
        <v>0</v>
      </c>
      <c r="P24" s="388"/>
      <c r="Q24" s="74"/>
      <c r="R24" s="74"/>
      <c r="S24" s="74"/>
      <c r="T24" s="74"/>
      <c r="U24" s="74"/>
      <c r="V24" s="74"/>
      <c r="W24" s="232"/>
      <c r="X24" s="233"/>
      <c r="Y24" s="252">
        <f t="shared" si="4"/>
        <v>0</v>
      </c>
      <c r="Z24" s="252">
        <f t="shared" si="5"/>
        <v>0</v>
      </c>
      <c r="AA24" s="252">
        <f t="shared" si="6"/>
        <v>0</v>
      </c>
      <c r="AB24" s="252">
        <f t="shared" si="7"/>
        <v>0</v>
      </c>
      <c r="AC24" s="252">
        <f t="shared" si="8"/>
        <v>0</v>
      </c>
      <c r="AD24" s="248">
        <f t="shared" si="9"/>
        <v>0</v>
      </c>
      <c r="AE24" s="361"/>
      <c r="AF24" s="233"/>
      <c r="AG24" s="252">
        <f t="shared" si="45"/>
        <v>0</v>
      </c>
      <c r="AH24" s="252">
        <f t="shared" si="10"/>
        <v>0</v>
      </c>
      <c r="AI24" s="252">
        <f t="shared" si="10"/>
        <v>0</v>
      </c>
      <c r="AJ24" s="252">
        <f t="shared" si="10"/>
        <v>0</v>
      </c>
      <c r="AK24" s="252">
        <f t="shared" si="10"/>
        <v>0</v>
      </c>
      <c r="AL24" s="248">
        <f t="shared" si="11"/>
        <v>0</v>
      </c>
      <c r="AM24" s="188"/>
      <c r="AN24" s="248">
        <f t="shared" si="46"/>
        <v>0</v>
      </c>
      <c r="AO24" s="248">
        <f t="shared" si="47"/>
        <v>0</v>
      </c>
      <c r="AP24" s="248">
        <f t="shared" si="48"/>
        <v>0</v>
      </c>
      <c r="AQ24" s="248">
        <f t="shared" si="49"/>
        <v>0</v>
      </c>
      <c r="AR24" s="248">
        <f t="shared" si="50"/>
        <v>0</v>
      </c>
      <c r="AS24" s="248">
        <f t="shared" si="51"/>
        <v>0</v>
      </c>
      <c r="AT24" s="259">
        <f t="shared" si="78"/>
        <v>0</v>
      </c>
      <c r="AU24" s="191">
        <f t="shared" si="52"/>
        <v>0</v>
      </c>
      <c r="AV24" s="362" t="str">
        <f t="shared" si="53"/>
        <v/>
      </c>
      <c r="AW24" s="248">
        <f t="shared" si="54"/>
        <v>0</v>
      </c>
      <c r="AX24" s="362" t="str">
        <f t="shared" si="55"/>
        <v/>
      </c>
      <c r="AY24" s="49"/>
      <c r="AZ24" s="75">
        <f t="shared" si="12"/>
        <v>0</v>
      </c>
      <c r="BA24" s="75">
        <f t="shared" si="13"/>
        <v>0</v>
      </c>
      <c r="BB24" s="75">
        <f t="shared" si="14"/>
        <v>0</v>
      </c>
      <c r="BC24" s="75">
        <f t="shared" si="15"/>
        <v>0</v>
      </c>
      <c r="BD24" s="75">
        <f t="shared" si="16"/>
        <v>0</v>
      </c>
      <c r="BE24" s="47">
        <f t="shared" si="56"/>
        <v>0</v>
      </c>
      <c r="BF24" s="49"/>
      <c r="BG24" s="234"/>
      <c r="BH24" s="58" t="str">
        <f t="shared" ca="1" si="17"/>
        <v>apr</v>
      </c>
      <c r="BI24" s="76">
        <f t="shared" ca="1" si="18"/>
        <v>4</v>
      </c>
      <c r="BJ24" s="76">
        <f t="shared" ca="1" si="19"/>
        <v>0</v>
      </c>
      <c r="BK24" s="76">
        <f t="shared" ca="1" si="20"/>
        <v>0</v>
      </c>
      <c r="BL24" s="77" t="str">
        <f t="shared" ca="1" si="21"/>
        <v xml:space="preserve">jun </v>
      </c>
      <c r="BM24" s="78">
        <f t="shared" ca="1" si="57"/>
        <v>0</v>
      </c>
      <c r="BN24" s="75">
        <f t="shared" ca="1" si="58"/>
        <v>0</v>
      </c>
      <c r="BO24" s="75">
        <f t="shared" ca="1" si="22"/>
        <v>0</v>
      </c>
      <c r="BP24" s="75">
        <f t="shared" ca="1" si="22"/>
        <v>0</v>
      </c>
      <c r="BQ24" s="75">
        <f t="shared" ca="1" si="22"/>
        <v>0</v>
      </c>
      <c r="BR24" s="75">
        <f t="shared" ca="1" si="22"/>
        <v>0</v>
      </c>
      <c r="BS24" s="47">
        <f t="shared" ca="1" si="59"/>
        <v>0</v>
      </c>
      <c r="BT24" s="79">
        <f t="shared" ca="1" si="23"/>
        <v>0</v>
      </c>
      <c r="BU24" s="79">
        <f t="shared" ca="1" si="24"/>
        <v>0</v>
      </c>
      <c r="BV24" s="79">
        <f t="shared" ca="1" si="25"/>
        <v>0</v>
      </c>
      <c r="BW24" s="79">
        <f t="shared" ca="1" si="26"/>
        <v>0</v>
      </c>
      <c r="BX24" s="79">
        <f t="shared" ca="1" si="27"/>
        <v>0</v>
      </c>
      <c r="BY24" s="79"/>
      <c r="BZ24" s="77" t="str">
        <f t="shared" ca="1" si="60"/>
        <v xml:space="preserve">jun </v>
      </c>
      <c r="CA24" s="78">
        <f t="shared" ca="1" si="61"/>
        <v>0</v>
      </c>
      <c r="CB24" s="75" t="e">
        <f t="shared" ca="1" si="28"/>
        <v>#DIV/0!</v>
      </c>
      <c r="CC24" s="75" t="e">
        <f t="shared" ca="1" si="29"/>
        <v>#DIV/0!</v>
      </c>
      <c r="CD24" s="75" t="e">
        <f t="shared" ca="1" si="30"/>
        <v>#DIV/0!</v>
      </c>
      <c r="CE24" s="75" t="e">
        <f t="shared" ca="1" si="31"/>
        <v>#DIV/0!</v>
      </c>
      <c r="CF24" s="75" t="e">
        <f t="shared" ca="1" si="32"/>
        <v>#DIV/0!</v>
      </c>
      <c r="CG24" s="47" t="e">
        <f t="shared" ca="1" si="62"/>
        <v>#DIV/0!</v>
      </c>
      <c r="CH24" s="234"/>
      <c r="CI24" s="57"/>
      <c r="CJ24" s="47" t="e">
        <f t="shared" ca="1" si="33"/>
        <v>#DIV/0!</v>
      </c>
      <c r="CK24" s="47" t="e">
        <f t="shared" ca="1" si="34"/>
        <v>#DIV/0!</v>
      </c>
      <c r="CL24" s="47" t="e">
        <f t="shared" ca="1" si="35"/>
        <v>#DIV/0!</v>
      </c>
      <c r="CM24" s="47" t="e">
        <f t="shared" ca="1" si="36"/>
        <v>#DIV/0!</v>
      </c>
      <c r="CN24" s="47" t="e">
        <f t="shared" ca="1" si="37"/>
        <v>#DIV/0!</v>
      </c>
      <c r="CO24" s="47" t="e">
        <f t="shared" ca="1" si="63"/>
        <v>#DIV/0!</v>
      </c>
      <c r="CP24" s="49"/>
      <c r="CQ24" s="52" t="str">
        <f t="shared" ca="1" si="38"/>
        <v>201706</v>
      </c>
      <c r="CR24" s="52">
        <f ca="1">MATCH(Mätvärden!CQ24,Normalår!$R$5:$R$76,0)-1</f>
        <v>29</v>
      </c>
      <c r="CS24" s="80">
        <f ca="1">OFFSET(Normalår!$S$5,CR24,0)</f>
        <v>1</v>
      </c>
      <c r="CT24" s="234"/>
      <c r="CU24" s="75" t="e">
        <f t="shared" ca="1" si="64"/>
        <v>#DIV/0!</v>
      </c>
      <c r="CV24" s="75" t="e">
        <f t="shared" ca="1" si="65"/>
        <v>#DIV/0!</v>
      </c>
      <c r="CW24" s="75" t="e">
        <f t="shared" ca="1" si="66"/>
        <v>#DIV/0!</v>
      </c>
      <c r="CX24" s="75" t="e">
        <f t="shared" ca="1" si="67"/>
        <v>#DIV/0!</v>
      </c>
      <c r="CY24" s="75" t="e">
        <f ca="1">CN24*CS24</f>
        <v>#DIV/0!</v>
      </c>
      <c r="CZ24" s="47" t="e">
        <f t="shared" ca="1" si="69"/>
        <v>#DIV/0!</v>
      </c>
      <c r="DA24" s="234"/>
      <c r="DB24" s="81"/>
      <c r="DC24" s="234"/>
      <c r="DD24" s="47" t="e">
        <f t="shared" ca="1" si="70"/>
        <v>#DIV/0!</v>
      </c>
      <c r="DE24" s="47" t="e">
        <f t="shared" ca="1" si="71"/>
        <v>#DIV/0!</v>
      </c>
      <c r="DF24" s="47" t="e">
        <f t="shared" ca="1" si="72"/>
        <v>#DIV/0!</v>
      </c>
      <c r="DG24" s="47" t="e">
        <f t="shared" ca="1" si="73"/>
        <v>#DIV/0!</v>
      </c>
      <c r="DH24" s="47" t="e">
        <f t="shared" ca="1" si="74"/>
        <v>#DIV/0!</v>
      </c>
      <c r="DI24" s="47" t="e">
        <f t="shared" ca="1" si="75"/>
        <v>#DIV/0!</v>
      </c>
      <c r="DJ24" s="234"/>
      <c r="DK24" s="234"/>
      <c r="DL24" s="234"/>
      <c r="DM24" s="47" t="e">
        <f t="shared" ca="1" si="39"/>
        <v>#DIV/0!</v>
      </c>
      <c r="DN24" s="47" t="e">
        <f t="shared" ca="1" si="40"/>
        <v>#DIV/0!</v>
      </c>
      <c r="DO24" s="47" t="e">
        <f t="shared" ca="1" si="41"/>
        <v>#DIV/0!</v>
      </c>
      <c r="DP24" s="47" t="e">
        <f t="shared" ca="1" si="42"/>
        <v>#DIV/0!</v>
      </c>
      <c r="DQ24" s="47" t="e">
        <f t="shared" ca="1" si="43"/>
        <v>#DIV/0!</v>
      </c>
      <c r="DR24" s="47" t="e">
        <f t="shared" ca="1" si="76"/>
        <v>#DIV/0!</v>
      </c>
      <c r="DS24" s="234"/>
      <c r="DT24" s="234"/>
      <c r="EI24" s="34" t="s">
        <v>1070</v>
      </c>
      <c r="EJ24" s="36">
        <v>22</v>
      </c>
      <c r="EK24" s="36"/>
    </row>
    <row r="25" spans="1:156" s="231" customFormat="1" ht="16.5" customHeight="1" x14ac:dyDescent="0.25">
      <c r="A25" s="232"/>
      <c r="B25" s="250"/>
      <c r="C25" s="250"/>
      <c r="D25" s="250"/>
      <c r="E25" s="232"/>
      <c r="F25" s="387">
        <f t="shared" ca="1" si="77"/>
        <v>2017</v>
      </c>
      <c r="G25" s="387" t="str">
        <f t="shared" ca="1" si="1"/>
        <v>jul</v>
      </c>
      <c r="H25" s="70"/>
      <c r="I25" s="72">
        <f t="shared" si="44"/>
        <v>0</v>
      </c>
      <c r="J25" s="388"/>
      <c r="K25" s="73"/>
      <c r="L25" s="72">
        <f t="shared" si="2"/>
        <v>0</v>
      </c>
      <c r="M25" s="388"/>
      <c r="N25" s="73"/>
      <c r="O25" s="72">
        <f t="shared" si="3"/>
        <v>0</v>
      </c>
      <c r="P25" s="388"/>
      <c r="Q25" s="74"/>
      <c r="R25" s="74"/>
      <c r="S25" s="74"/>
      <c r="T25" s="74"/>
      <c r="U25" s="74"/>
      <c r="V25" s="74"/>
      <c r="W25" s="232"/>
      <c r="X25" s="233"/>
      <c r="Y25" s="252">
        <f t="shared" si="4"/>
        <v>0</v>
      </c>
      <c r="Z25" s="252">
        <f t="shared" si="5"/>
        <v>0</v>
      </c>
      <c r="AA25" s="252">
        <f t="shared" si="6"/>
        <v>0</v>
      </c>
      <c r="AB25" s="252">
        <f t="shared" si="7"/>
        <v>0</v>
      </c>
      <c r="AC25" s="252">
        <f t="shared" si="8"/>
        <v>0</v>
      </c>
      <c r="AD25" s="248">
        <f t="shared" si="9"/>
        <v>0</v>
      </c>
      <c r="AE25" s="361"/>
      <c r="AF25" s="233"/>
      <c r="AG25" s="252">
        <f t="shared" si="45"/>
        <v>0</v>
      </c>
      <c r="AH25" s="252">
        <f t="shared" si="10"/>
        <v>0</v>
      </c>
      <c r="AI25" s="252">
        <f t="shared" si="10"/>
        <v>0</v>
      </c>
      <c r="AJ25" s="252">
        <f t="shared" si="10"/>
        <v>0</v>
      </c>
      <c r="AK25" s="252">
        <f t="shared" si="10"/>
        <v>0</v>
      </c>
      <c r="AL25" s="248">
        <f t="shared" si="11"/>
        <v>0</v>
      </c>
      <c r="AM25" s="188"/>
      <c r="AN25" s="248">
        <f t="shared" si="46"/>
        <v>0</v>
      </c>
      <c r="AO25" s="248">
        <f t="shared" si="47"/>
        <v>0</v>
      </c>
      <c r="AP25" s="248">
        <f t="shared" si="48"/>
        <v>0</v>
      </c>
      <c r="AQ25" s="248">
        <f t="shared" si="49"/>
        <v>0</v>
      </c>
      <c r="AR25" s="248">
        <f t="shared" si="50"/>
        <v>0</v>
      </c>
      <c r="AS25" s="248">
        <f t="shared" si="51"/>
        <v>0</v>
      </c>
      <c r="AT25" s="259">
        <f t="shared" si="78"/>
        <v>0</v>
      </c>
      <c r="AU25" s="191">
        <f t="shared" si="52"/>
        <v>0</v>
      </c>
      <c r="AV25" s="362" t="str">
        <f t="shared" si="53"/>
        <v/>
      </c>
      <c r="AW25" s="248">
        <f t="shared" si="54"/>
        <v>0</v>
      </c>
      <c r="AX25" s="362" t="str">
        <f t="shared" si="55"/>
        <v/>
      </c>
      <c r="AY25" s="49"/>
      <c r="AZ25" s="75">
        <f t="shared" si="12"/>
        <v>0</v>
      </c>
      <c r="BA25" s="75">
        <f t="shared" si="13"/>
        <v>0</v>
      </c>
      <c r="BB25" s="75">
        <f t="shared" si="14"/>
        <v>0</v>
      </c>
      <c r="BC25" s="75">
        <f t="shared" si="15"/>
        <v>0</v>
      </c>
      <c r="BD25" s="75">
        <f t="shared" si="16"/>
        <v>0</v>
      </c>
      <c r="BE25" s="47">
        <f t="shared" si="56"/>
        <v>0</v>
      </c>
      <c r="BF25" s="49"/>
      <c r="BG25" s="234"/>
      <c r="BH25" s="58" t="str">
        <f t="shared" ca="1" si="17"/>
        <v>maj</v>
      </c>
      <c r="BI25" s="76">
        <f t="shared" ca="1" si="18"/>
        <v>5</v>
      </c>
      <c r="BJ25" s="76">
        <f t="shared" ca="1" si="19"/>
        <v>0</v>
      </c>
      <c r="BK25" s="76">
        <f t="shared" ca="1" si="20"/>
        <v>0</v>
      </c>
      <c r="BL25" s="77" t="str">
        <f t="shared" ca="1" si="21"/>
        <v>jul</v>
      </c>
      <c r="BM25" s="78">
        <f t="shared" ca="1" si="57"/>
        <v>0</v>
      </c>
      <c r="BN25" s="75">
        <f t="shared" ca="1" si="58"/>
        <v>0</v>
      </c>
      <c r="BO25" s="75">
        <f t="shared" ca="1" si="22"/>
        <v>0</v>
      </c>
      <c r="BP25" s="75">
        <f t="shared" ca="1" si="22"/>
        <v>0</v>
      </c>
      <c r="BQ25" s="75">
        <f t="shared" ca="1" si="22"/>
        <v>0</v>
      </c>
      <c r="BR25" s="75">
        <f t="shared" ca="1" si="22"/>
        <v>0</v>
      </c>
      <c r="BS25" s="47">
        <f t="shared" ca="1" si="59"/>
        <v>0</v>
      </c>
      <c r="BT25" s="79">
        <f t="shared" ca="1" si="23"/>
        <v>0</v>
      </c>
      <c r="BU25" s="79">
        <f t="shared" ca="1" si="24"/>
        <v>0</v>
      </c>
      <c r="BV25" s="79">
        <f t="shared" ca="1" si="25"/>
        <v>0</v>
      </c>
      <c r="BW25" s="79">
        <f t="shared" ca="1" si="26"/>
        <v>0</v>
      </c>
      <c r="BX25" s="79">
        <f t="shared" ca="1" si="27"/>
        <v>0</v>
      </c>
      <c r="BY25" s="79"/>
      <c r="BZ25" s="77" t="str">
        <f t="shared" ca="1" si="60"/>
        <v>jul</v>
      </c>
      <c r="CA25" s="78">
        <f t="shared" ca="1" si="61"/>
        <v>0</v>
      </c>
      <c r="CB25" s="75" t="e">
        <f t="shared" ca="1" si="28"/>
        <v>#DIV/0!</v>
      </c>
      <c r="CC25" s="75" t="e">
        <f t="shared" ca="1" si="29"/>
        <v>#DIV/0!</v>
      </c>
      <c r="CD25" s="75" t="e">
        <f t="shared" ca="1" si="30"/>
        <v>#DIV/0!</v>
      </c>
      <c r="CE25" s="75" t="e">
        <f t="shared" ca="1" si="31"/>
        <v>#DIV/0!</v>
      </c>
      <c r="CF25" s="75" t="e">
        <f t="shared" ca="1" si="32"/>
        <v>#DIV/0!</v>
      </c>
      <c r="CG25" s="47" t="e">
        <f t="shared" ca="1" si="62"/>
        <v>#DIV/0!</v>
      </c>
      <c r="CH25" s="234"/>
      <c r="CI25" s="57"/>
      <c r="CJ25" s="47" t="e">
        <f t="shared" ca="1" si="33"/>
        <v>#DIV/0!</v>
      </c>
      <c r="CK25" s="47" t="e">
        <f t="shared" ca="1" si="34"/>
        <v>#DIV/0!</v>
      </c>
      <c r="CL25" s="47" t="e">
        <f t="shared" ca="1" si="35"/>
        <v>#DIV/0!</v>
      </c>
      <c r="CM25" s="47" t="e">
        <f t="shared" ca="1" si="36"/>
        <v>#DIV/0!</v>
      </c>
      <c r="CN25" s="47" t="e">
        <f t="shared" ca="1" si="37"/>
        <v>#DIV/0!</v>
      </c>
      <c r="CO25" s="47" t="e">
        <f t="shared" ca="1" si="63"/>
        <v>#DIV/0!</v>
      </c>
      <c r="CP25" s="49"/>
      <c r="CQ25" s="52" t="str">
        <f t="shared" ca="1" si="38"/>
        <v>201707</v>
      </c>
      <c r="CR25" s="52">
        <f ca="1">MATCH(Mätvärden!CQ25,Normalår!$R$5:$R$76,0)-1</f>
        <v>30</v>
      </c>
      <c r="CS25" s="80">
        <f ca="1">OFFSET(Normalår!$S$5,CR25,0)</f>
        <v>1</v>
      </c>
      <c r="CT25" s="234"/>
      <c r="CU25" s="75" t="e">
        <f t="shared" ca="1" si="64"/>
        <v>#DIV/0!</v>
      </c>
      <c r="CV25" s="75" t="e">
        <f t="shared" ca="1" si="65"/>
        <v>#DIV/0!</v>
      </c>
      <c r="CW25" s="75" t="e">
        <f t="shared" ca="1" si="66"/>
        <v>#DIV/0!</v>
      </c>
      <c r="CX25" s="75" t="e">
        <f t="shared" ca="1" si="67"/>
        <v>#DIV/0!</v>
      </c>
      <c r="CY25" s="75" t="e">
        <f t="shared" ca="1" si="68"/>
        <v>#DIV/0!</v>
      </c>
      <c r="CZ25" s="47" t="e">
        <f t="shared" ca="1" si="69"/>
        <v>#DIV/0!</v>
      </c>
      <c r="DA25" s="234"/>
      <c r="DB25" s="81"/>
      <c r="DC25" s="234"/>
      <c r="DD25" s="47" t="e">
        <f t="shared" ca="1" si="70"/>
        <v>#DIV/0!</v>
      </c>
      <c r="DE25" s="47" t="e">
        <f t="shared" ca="1" si="71"/>
        <v>#DIV/0!</v>
      </c>
      <c r="DF25" s="47" t="e">
        <f t="shared" ca="1" si="72"/>
        <v>#DIV/0!</v>
      </c>
      <c r="DG25" s="47" t="e">
        <f t="shared" ca="1" si="73"/>
        <v>#DIV/0!</v>
      </c>
      <c r="DH25" s="47" t="e">
        <f t="shared" ca="1" si="74"/>
        <v>#DIV/0!</v>
      </c>
      <c r="DI25" s="47" t="e">
        <f t="shared" ca="1" si="75"/>
        <v>#DIV/0!</v>
      </c>
      <c r="DJ25" s="234"/>
      <c r="DK25" s="234"/>
      <c r="DL25" s="234"/>
      <c r="DM25" s="47" t="e">
        <f t="shared" ca="1" si="39"/>
        <v>#DIV/0!</v>
      </c>
      <c r="DN25" s="47" t="e">
        <f t="shared" ca="1" si="40"/>
        <v>#DIV/0!</v>
      </c>
      <c r="DO25" s="47" t="e">
        <f t="shared" ca="1" si="41"/>
        <v>#DIV/0!</v>
      </c>
      <c r="DP25" s="47" t="e">
        <f t="shared" ca="1" si="42"/>
        <v>#DIV/0!</v>
      </c>
      <c r="DQ25" s="47" t="e">
        <f t="shared" ca="1" si="43"/>
        <v>#DIV/0!</v>
      </c>
      <c r="DR25" s="47" t="e">
        <f t="shared" ca="1" si="76"/>
        <v>#DIV/0!</v>
      </c>
      <c r="DS25" s="234"/>
      <c r="DT25" s="234"/>
      <c r="EI25" s="34" t="s">
        <v>1071</v>
      </c>
      <c r="EJ25" s="36">
        <v>23</v>
      </c>
      <c r="EK25" s="36"/>
    </row>
    <row r="26" spans="1:156" s="231" customFormat="1" ht="16.5" customHeight="1" x14ac:dyDescent="0.25">
      <c r="A26" s="232"/>
      <c r="B26" s="250"/>
      <c r="E26" s="232"/>
      <c r="F26" s="387">
        <f t="shared" ca="1" si="77"/>
        <v>2017</v>
      </c>
      <c r="G26" s="387" t="str">
        <f t="shared" ca="1" si="1"/>
        <v>aug</v>
      </c>
      <c r="H26" s="70"/>
      <c r="I26" s="72">
        <f t="shared" si="44"/>
        <v>0</v>
      </c>
      <c r="J26" s="388"/>
      <c r="K26" s="73"/>
      <c r="L26" s="72">
        <f t="shared" si="2"/>
        <v>0</v>
      </c>
      <c r="M26" s="388"/>
      <c r="N26" s="73"/>
      <c r="O26" s="72">
        <f t="shared" si="3"/>
        <v>0</v>
      </c>
      <c r="P26" s="388"/>
      <c r="Q26" s="74"/>
      <c r="R26" s="74"/>
      <c r="S26" s="74"/>
      <c r="T26" s="74"/>
      <c r="U26" s="74"/>
      <c r="V26" s="74"/>
      <c r="W26" s="232"/>
      <c r="X26" s="233"/>
      <c r="Y26" s="252">
        <f t="shared" si="4"/>
        <v>0</v>
      </c>
      <c r="Z26" s="252">
        <f t="shared" si="5"/>
        <v>0</v>
      </c>
      <c r="AA26" s="252">
        <f t="shared" si="6"/>
        <v>0</v>
      </c>
      <c r="AB26" s="252">
        <f t="shared" si="7"/>
        <v>0</v>
      </c>
      <c r="AC26" s="252">
        <f t="shared" si="8"/>
        <v>0</v>
      </c>
      <c r="AD26" s="248">
        <f t="shared" si="9"/>
        <v>0</v>
      </c>
      <c r="AE26" s="361"/>
      <c r="AF26" s="233"/>
      <c r="AG26" s="252">
        <f t="shared" si="45"/>
        <v>0</v>
      </c>
      <c r="AH26" s="252">
        <f t="shared" si="10"/>
        <v>0</v>
      </c>
      <c r="AI26" s="252">
        <f t="shared" si="10"/>
        <v>0</v>
      </c>
      <c r="AJ26" s="252">
        <f t="shared" si="10"/>
        <v>0</v>
      </c>
      <c r="AK26" s="252">
        <f t="shared" si="10"/>
        <v>0</v>
      </c>
      <c r="AL26" s="248">
        <f t="shared" si="11"/>
        <v>0</v>
      </c>
      <c r="AM26" s="188"/>
      <c r="AN26" s="248">
        <f t="shared" si="46"/>
        <v>0</v>
      </c>
      <c r="AO26" s="248">
        <f t="shared" si="47"/>
        <v>0</v>
      </c>
      <c r="AP26" s="248">
        <f t="shared" si="48"/>
        <v>0</v>
      </c>
      <c r="AQ26" s="248">
        <f t="shared" si="49"/>
        <v>0</v>
      </c>
      <c r="AR26" s="248">
        <f t="shared" si="50"/>
        <v>0</v>
      </c>
      <c r="AS26" s="248">
        <f t="shared" si="51"/>
        <v>0</v>
      </c>
      <c r="AT26" s="259">
        <f t="shared" si="78"/>
        <v>0</v>
      </c>
      <c r="AU26" s="191">
        <f t="shared" si="52"/>
        <v>0</v>
      </c>
      <c r="AV26" s="362" t="str">
        <f t="shared" si="53"/>
        <v/>
      </c>
      <c r="AW26" s="248">
        <f t="shared" si="54"/>
        <v>0</v>
      </c>
      <c r="AX26" s="362" t="str">
        <f t="shared" si="55"/>
        <v/>
      </c>
      <c r="AY26" s="49"/>
      <c r="AZ26" s="75">
        <f t="shared" si="12"/>
        <v>0</v>
      </c>
      <c r="BA26" s="75">
        <f t="shared" si="13"/>
        <v>0</v>
      </c>
      <c r="BB26" s="75">
        <f t="shared" si="14"/>
        <v>0</v>
      </c>
      <c r="BC26" s="75">
        <f t="shared" si="15"/>
        <v>0</v>
      </c>
      <c r="BD26" s="75">
        <f t="shared" si="16"/>
        <v>0</v>
      </c>
      <c r="BE26" s="47">
        <f t="shared" si="56"/>
        <v>0</v>
      </c>
      <c r="BF26" s="49"/>
      <c r="BG26" s="234"/>
      <c r="BH26" s="58" t="str">
        <f t="shared" ca="1" si="17"/>
        <v xml:space="preserve">jun </v>
      </c>
      <c r="BI26" s="76">
        <f t="shared" ca="1" si="18"/>
        <v>6</v>
      </c>
      <c r="BJ26" s="76">
        <f t="shared" ca="1" si="19"/>
        <v>0</v>
      </c>
      <c r="BK26" s="76">
        <f t="shared" ca="1" si="20"/>
        <v>0</v>
      </c>
      <c r="BL26" s="77" t="str">
        <f t="shared" ca="1" si="21"/>
        <v>aug</v>
      </c>
      <c r="BM26" s="78">
        <f t="shared" ca="1" si="57"/>
        <v>0</v>
      </c>
      <c r="BN26" s="75">
        <f t="shared" ca="1" si="58"/>
        <v>0</v>
      </c>
      <c r="BO26" s="75">
        <f t="shared" ca="1" si="22"/>
        <v>0</v>
      </c>
      <c r="BP26" s="75">
        <f t="shared" ca="1" si="22"/>
        <v>0</v>
      </c>
      <c r="BQ26" s="75">
        <f t="shared" ca="1" si="22"/>
        <v>0</v>
      </c>
      <c r="BR26" s="75">
        <f t="shared" ca="1" si="22"/>
        <v>0</v>
      </c>
      <c r="BS26" s="47">
        <f t="shared" ca="1" si="59"/>
        <v>0</v>
      </c>
      <c r="BT26" s="79">
        <f t="shared" ca="1" si="23"/>
        <v>0</v>
      </c>
      <c r="BU26" s="79">
        <f t="shared" ca="1" si="24"/>
        <v>0</v>
      </c>
      <c r="BV26" s="79">
        <f t="shared" ca="1" si="25"/>
        <v>0</v>
      </c>
      <c r="BW26" s="79">
        <f t="shared" ca="1" si="26"/>
        <v>0</v>
      </c>
      <c r="BX26" s="79">
        <f t="shared" ca="1" si="27"/>
        <v>0</v>
      </c>
      <c r="BY26" s="79"/>
      <c r="BZ26" s="77" t="str">
        <f t="shared" ca="1" si="60"/>
        <v>aug</v>
      </c>
      <c r="CA26" s="78">
        <f t="shared" ca="1" si="61"/>
        <v>0</v>
      </c>
      <c r="CB26" s="75" t="e">
        <f t="shared" ca="1" si="28"/>
        <v>#DIV/0!</v>
      </c>
      <c r="CC26" s="75" t="e">
        <f t="shared" ca="1" si="29"/>
        <v>#DIV/0!</v>
      </c>
      <c r="CD26" s="75" t="e">
        <f t="shared" ca="1" si="30"/>
        <v>#DIV/0!</v>
      </c>
      <c r="CE26" s="75" t="e">
        <f t="shared" ca="1" si="31"/>
        <v>#DIV/0!</v>
      </c>
      <c r="CF26" s="75" t="e">
        <f t="shared" ca="1" si="32"/>
        <v>#DIV/0!</v>
      </c>
      <c r="CG26" s="47" t="e">
        <f t="shared" ca="1" si="62"/>
        <v>#DIV/0!</v>
      </c>
      <c r="CH26" s="234"/>
      <c r="CI26" s="57"/>
      <c r="CJ26" s="47" t="e">
        <f t="shared" ca="1" si="33"/>
        <v>#DIV/0!</v>
      </c>
      <c r="CK26" s="47" t="e">
        <f t="shared" ca="1" si="34"/>
        <v>#DIV/0!</v>
      </c>
      <c r="CL26" s="47" t="e">
        <f t="shared" ca="1" si="35"/>
        <v>#DIV/0!</v>
      </c>
      <c r="CM26" s="47" t="e">
        <f t="shared" ca="1" si="36"/>
        <v>#DIV/0!</v>
      </c>
      <c r="CN26" s="47" t="e">
        <f t="shared" ca="1" si="37"/>
        <v>#DIV/0!</v>
      </c>
      <c r="CO26" s="47" t="e">
        <f t="shared" ca="1" si="63"/>
        <v>#DIV/0!</v>
      </c>
      <c r="CP26" s="49"/>
      <c r="CQ26" s="52" t="str">
        <f t="shared" ca="1" si="38"/>
        <v>201708</v>
      </c>
      <c r="CR26" s="52">
        <f ca="1">MATCH(Mätvärden!CQ26,Normalår!$R$5:$R$76,0)-1</f>
        <v>31</v>
      </c>
      <c r="CS26" s="80">
        <f ca="1">OFFSET(Normalår!$S$5,CR26,0)</f>
        <v>1</v>
      </c>
      <c r="CT26" s="234"/>
      <c r="CU26" s="75" t="e">
        <f t="shared" ca="1" si="64"/>
        <v>#DIV/0!</v>
      </c>
      <c r="CV26" s="75" t="e">
        <f t="shared" ca="1" si="65"/>
        <v>#DIV/0!</v>
      </c>
      <c r="CW26" s="75" t="e">
        <f t="shared" ca="1" si="66"/>
        <v>#DIV/0!</v>
      </c>
      <c r="CX26" s="75" t="e">
        <f t="shared" ca="1" si="67"/>
        <v>#DIV/0!</v>
      </c>
      <c r="CY26" s="75" t="e">
        <f t="shared" ca="1" si="68"/>
        <v>#DIV/0!</v>
      </c>
      <c r="CZ26" s="47" t="e">
        <f t="shared" ca="1" si="69"/>
        <v>#DIV/0!</v>
      </c>
      <c r="DA26" s="234"/>
      <c r="DB26" s="81"/>
      <c r="DC26" s="234"/>
      <c r="DD26" s="47" t="e">
        <f t="shared" ca="1" si="70"/>
        <v>#DIV/0!</v>
      </c>
      <c r="DE26" s="47" t="e">
        <f t="shared" ca="1" si="71"/>
        <v>#DIV/0!</v>
      </c>
      <c r="DF26" s="47" t="e">
        <f t="shared" ca="1" si="72"/>
        <v>#DIV/0!</v>
      </c>
      <c r="DG26" s="47" t="e">
        <f t="shared" ca="1" si="73"/>
        <v>#DIV/0!</v>
      </c>
      <c r="DH26" s="47" t="e">
        <f t="shared" ca="1" si="74"/>
        <v>#DIV/0!</v>
      </c>
      <c r="DI26" s="47" t="e">
        <f t="shared" ca="1" si="75"/>
        <v>#DIV/0!</v>
      </c>
      <c r="DJ26" s="234"/>
      <c r="DK26" s="234"/>
      <c r="DL26" s="234"/>
      <c r="DM26" s="47" t="e">
        <f t="shared" ca="1" si="39"/>
        <v>#DIV/0!</v>
      </c>
      <c r="DN26" s="47" t="e">
        <f t="shared" ca="1" si="40"/>
        <v>#DIV/0!</v>
      </c>
      <c r="DO26" s="47" t="e">
        <f t="shared" ca="1" si="41"/>
        <v>#DIV/0!</v>
      </c>
      <c r="DP26" s="47" t="e">
        <f t="shared" ca="1" si="42"/>
        <v>#DIV/0!</v>
      </c>
      <c r="DQ26" s="47" t="e">
        <f t="shared" ca="1" si="43"/>
        <v>#DIV/0!</v>
      </c>
      <c r="DR26" s="47" t="e">
        <f t="shared" ca="1" si="76"/>
        <v>#DIV/0!</v>
      </c>
      <c r="DS26" s="234"/>
      <c r="DT26" s="234"/>
      <c r="EI26" s="34" t="s">
        <v>1072</v>
      </c>
      <c r="EJ26" s="36">
        <v>24</v>
      </c>
      <c r="EK26" s="36"/>
    </row>
    <row r="27" spans="1:156" s="231" customFormat="1" ht="16.5" customHeight="1" x14ac:dyDescent="0.25">
      <c r="A27" s="232"/>
      <c r="B27" s="250"/>
      <c r="E27" s="232"/>
      <c r="F27" s="387">
        <f t="shared" ca="1" si="77"/>
        <v>2017</v>
      </c>
      <c r="G27" s="387" t="str">
        <f t="shared" ca="1" si="1"/>
        <v>sept</v>
      </c>
      <c r="H27" s="70"/>
      <c r="I27" s="72">
        <f t="shared" si="44"/>
        <v>0</v>
      </c>
      <c r="J27" s="388"/>
      <c r="K27" s="73"/>
      <c r="L27" s="72">
        <f t="shared" si="2"/>
        <v>0</v>
      </c>
      <c r="M27" s="388"/>
      <c r="N27" s="73"/>
      <c r="O27" s="72">
        <f t="shared" si="3"/>
        <v>0</v>
      </c>
      <c r="P27" s="388"/>
      <c r="Q27" s="74"/>
      <c r="R27" s="74"/>
      <c r="S27" s="74"/>
      <c r="T27" s="74"/>
      <c r="U27" s="74"/>
      <c r="V27" s="74"/>
      <c r="W27" s="232"/>
      <c r="X27" s="233"/>
      <c r="Y27" s="252">
        <f t="shared" si="4"/>
        <v>0</v>
      </c>
      <c r="Z27" s="252">
        <f t="shared" si="5"/>
        <v>0</v>
      </c>
      <c r="AA27" s="252">
        <f t="shared" si="6"/>
        <v>0</v>
      </c>
      <c r="AB27" s="252">
        <f t="shared" si="7"/>
        <v>0</v>
      </c>
      <c r="AC27" s="252">
        <f t="shared" si="8"/>
        <v>0</v>
      </c>
      <c r="AD27" s="248">
        <f t="shared" si="9"/>
        <v>0</v>
      </c>
      <c r="AE27" s="361"/>
      <c r="AF27" s="233"/>
      <c r="AG27" s="252">
        <f t="shared" si="45"/>
        <v>0</v>
      </c>
      <c r="AH27" s="252">
        <f t="shared" si="10"/>
        <v>0</v>
      </c>
      <c r="AI27" s="252">
        <f t="shared" si="10"/>
        <v>0</v>
      </c>
      <c r="AJ27" s="252">
        <f t="shared" si="10"/>
        <v>0</v>
      </c>
      <c r="AK27" s="252">
        <f t="shared" si="10"/>
        <v>0</v>
      </c>
      <c r="AL27" s="248">
        <f t="shared" si="11"/>
        <v>0</v>
      </c>
      <c r="AM27" s="188"/>
      <c r="AN27" s="248">
        <f t="shared" si="46"/>
        <v>0</v>
      </c>
      <c r="AO27" s="248">
        <f t="shared" si="47"/>
        <v>0</v>
      </c>
      <c r="AP27" s="248">
        <f t="shared" si="48"/>
        <v>0</v>
      </c>
      <c r="AQ27" s="248">
        <f t="shared" si="49"/>
        <v>0</v>
      </c>
      <c r="AR27" s="248">
        <f t="shared" si="50"/>
        <v>0</v>
      </c>
      <c r="AS27" s="248">
        <f t="shared" si="51"/>
        <v>0</v>
      </c>
      <c r="AT27" s="259">
        <f t="shared" si="78"/>
        <v>0</v>
      </c>
      <c r="AU27" s="191">
        <f t="shared" si="52"/>
        <v>0</v>
      </c>
      <c r="AV27" s="362" t="str">
        <f t="shared" si="53"/>
        <v/>
      </c>
      <c r="AW27" s="248">
        <f t="shared" si="54"/>
        <v>0</v>
      </c>
      <c r="AX27" s="362" t="str">
        <f t="shared" si="55"/>
        <v/>
      </c>
      <c r="AY27" s="49"/>
      <c r="AZ27" s="75">
        <f t="shared" si="12"/>
        <v>0</v>
      </c>
      <c r="BA27" s="75">
        <f t="shared" si="13"/>
        <v>0</v>
      </c>
      <c r="BB27" s="75">
        <f t="shared" si="14"/>
        <v>0</v>
      </c>
      <c r="BC27" s="75">
        <f t="shared" si="15"/>
        <v>0</v>
      </c>
      <c r="BD27" s="75">
        <f t="shared" si="16"/>
        <v>0</v>
      </c>
      <c r="BE27" s="47">
        <f t="shared" si="56"/>
        <v>0</v>
      </c>
      <c r="BF27" s="49"/>
      <c r="BG27" s="234"/>
      <c r="BH27" s="58" t="str">
        <f t="shared" ca="1" si="17"/>
        <v>jul</v>
      </c>
      <c r="BI27" s="76">
        <f t="shared" ca="1" si="18"/>
        <v>7</v>
      </c>
      <c r="BJ27" s="76">
        <f t="shared" ca="1" si="19"/>
        <v>0</v>
      </c>
      <c r="BK27" s="76">
        <f t="shared" ca="1" si="20"/>
        <v>0</v>
      </c>
      <c r="BL27" s="77" t="str">
        <f t="shared" ca="1" si="21"/>
        <v>sept</v>
      </c>
      <c r="BM27" s="78">
        <f t="shared" ca="1" si="57"/>
        <v>0</v>
      </c>
      <c r="BN27" s="75">
        <f t="shared" ca="1" si="58"/>
        <v>0</v>
      </c>
      <c r="BO27" s="75">
        <f t="shared" ca="1" si="22"/>
        <v>0</v>
      </c>
      <c r="BP27" s="75">
        <f t="shared" ca="1" si="22"/>
        <v>0</v>
      </c>
      <c r="BQ27" s="75">
        <f t="shared" ca="1" si="22"/>
        <v>0</v>
      </c>
      <c r="BR27" s="75">
        <f t="shared" ca="1" si="22"/>
        <v>0</v>
      </c>
      <c r="BS27" s="47">
        <f t="shared" ca="1" si="59"/>
        <v>0</v>
      </c>
      <c r="BT27" s="79">
        <f t="shared" ca="1" si="23"/>
        <v>0</v>
      </c>
      <c r="BU27" s="79">
        <f t="shared" ca="1" si="24"/>
        <v>0</v>
      </c>
      <c r="BV27" s="79">
        <f t="shared" ca="1" si="25"/>
        <v>0</v>
      </c>
      <c r="BW27" s="79">
        <f t="shared" ca="1" si="26"/>
        <v>0</v>
      </c>
      <c r="BX27" s="79">
        <f t="shared" ca="1" si="27"/>
        <v>0</v>
      </c>
      <c r="BY27" s="79"/>
      <c r="BZ27" s="77" t="str">
        <f t="shared" ca="1" si="60"/>
        <v>sept</v>
      </c>
      <c r="CA27" s="78">
        <f t="shared" ca="1" si="61"/>
        <v>0</v>
      </c>
      <c r="CB27" s="75" t="e">
        <f t="shared" ca="1" si="28"/>
        <v>#DIV/0!</v>
      </c>
      <c r="CC27" s="75" t="e">
        <f t="shared" ca="1" si="29"/>
        <v>#DIV/0!</v>
      </c>
      <c r="CD27" s="75" t="e">
        <f t="shared" ca="1" si="30"/>
        <v>#DIV/0!</v>
      </c>
      <c r="CE27" s="75" t="e">
        <f t="shared" ca="1" si="31"/>
        <v>#DIV/0!</v>
      </c>
      <c r="CF27" s="75" t="e">
        <f t="shared" ca="1" si="32"/>
        <v>#DIV/0!</v>
      </c>
      <c r="CG27" s="47" t="e">
        <f t="shared" ca="1" si="62"/>
        <v>#DIV/0!</v>
      </c>
      <c r="CH27" s="234"/>
      <c r="CI27" s="57"/>
      <c r="CJ27" s="47" t="e">
        <f t="shared" ca="1" si="33"/>
        <v>#DIV/0!</v>
      </c>
      <c r="CK27" s="47" t="e">
        <f t="shared" ca="1" si="34"/>
        <v>#DIV/0!</v>
      </c>
      <c r="CL27" s="47" t="e">
        <f t="shared" ca="1" si="35"/>
        <v>#DIV/0!</v>
      </c>
      <c r="CM27" s="47" t="e">
        <f t="shared" ca="1" si="36"/>
        <v>#DIV/0!</v>
      </c>
      <c r="CN27" s="47" t="e">
        <f t="shared" ca="1" si="37"/>
        <v>#DIV/0!</v>
      </c>
      <c r="CO27" s="47" t="e">
        <f t="shared" ca="1" si="63"/>
        <v>#DIV/0!</v>
      </c>
      <c r="CP27" s="49"/>
      <c r="CQ27" s="52" t="str">
        <f t="shared" ca="1" si="38"/>
        <v>201709</v>
      </c>
      <c r="CR27" s="52">
        <f ca="1">MATCH(Mätvärden!CQ27,Normalår!$R$5:$R$76,0)-1</f>
        <v>32</v>
      </c>
      <c r="CS27" s="80">
        <f ca="1">OFFSET(Normalår!$S$5,CR27,0)</f>
        <v>1</v>
      </c>
      <c r="CT27" s="234"/>
      <c r="CU27" s="75" t="e">
        <f t="shared" ca="1" si="64"/>
        <v>#DIV/0!</v>
      </c>
      <c r="CV27" s="75" t="e">
        <f t="shared" ca="1" si="65"/>
        <v>#DIV/0!</v>
      </c>
      <c r="CW27" s="75" t="e">
        <f t="shared" ca="1" si="66"/>
        <v>#DIV/0!</v>
      </c>
      <c r="CX27" s="75" t="e">
        <f t="shared" ca="1" si="67"/>
        <v>#DIV/0!</v>
      </c>
      <c r="CY27" s="75" t="e">
        <f t="shared" ca="1" si="68"/>
        <v>#DIV/0!</v>
      </c>
      <c r="CZ27" s="47" t="e">
        <f t="shared" ca="1" si="69"/>
        <v>#DIV/0!</v>
      </c>
      <c r="DA27" s="234"/>
      <c r="DB27" s="81"/>
      <c r="DC27" s="234"/>
      <c r="DD27" s="47" t="e">
        <f t="shared" ca="1" si="70"/>
        <v>#DIV/0!</v>
      </c>
      <c r="DE27" s="47" t="e">
        <f t="shared" ca="1" si="71"/>
        <v>#DIV/0!</v>
      </c>
      <c r="DF27" s="47" t="e">
        <f t="shared" ca="1" si="72"/>
        <v>#DIV/0!</v>
      </c>
      <c r="DG27" s="47" t="e">
        <f t="shared" ca="1" si="73"/>
        <v>#DIV/0!</v>
      </c>
      <c r="DH27" s="47" t="e">
        <f t="shared" ca="1" si="74"/>
        <v>#DIV/0!</v>
      </c>
      <c r="DI27" s="47" t="e">
        <f t="shared" ca="1" si="75"/>
        <v>#DIV/0!</v>
      </c>
      <c r="DJ27" s="234"/>
      <c r="DK27" s="234"/>
      <c r="DL27" s="234"/>
      <c r="DM27" s="47" t="e">
        <f t="shared" ca="1" si="39"/>
        <v>#DIV/0!</v>
      </c>
      <c r="DN27" s="47" t="e">
        <f t="shared" ca="1" si="40"/>
        <v>#DIV/0!</v>
      </c>
      <c r="DO27" s="47" t="e">
        <f t="shared" ca="1" si="41"/>
        <v>#DIV/0!</v>
      </c>
      <c r="DP27" s="47" t="e">
        <f t="shared" ca="1" si="42"/>
        <v>#DIV/0!</v>
      </c>
      <c r="DQ27" s="47" t="e">
        <f t="shared" ca="1" si="43"/>
        <v>#DIV/0!</v>
      </c>
      <c r="DR27" s="47" t="e">
        <f t="shared" ca="1" si="76"/>
        <v>#DIV/0!</v>
      </c>
      <c r="DS27" s="234"/>
      <c r="DT27" s="234"/>
      <c r="EI27" s="253" t="str">
        <f>G15</f>
        <v>jan</v>
      </c>
      <c r="EJ27" s="233"/>
      <c r="EK27" s="233"/>
    </row>
    <row r="28" spans="1:156" s="231" customFormat="1" ht="16.5" customHeight="1" x14ac:dyDescent="0.25">
      <c r="A28" s="232"/>
      <c r="B28" s="250"/>
      <c r="E28" s="232"/>
      <c r="F28" s="387">
        <f t="shared" ca="1" si="77"/>
        <v>2017</v>
      </c>
      <c r="G28" s="387" t="str">
        <f t="shared" ca="1" si="1"/>
        <v>okt</v>
      </c>
      <c r="H28" s="70"/>
      <c r="I28" s="72">
        <f t="shared" si="44"/>
        <v>0</v>
      </c>
      <c r="J28" s="388"/>
      <c r="K28" s="73"/>
      <c r="L28" s="72">
        <f t="shared" si="2"/>
        <v>0</v>
      </c>
      <c r="M28" s="388"/>
      <c r="N28" s="73"/>
      <c r="O28" s="72">
        <f t="shared" si="3"/>
        <v>0</v>
      </c>
      <c r="P28" s="388"/>
      <c r="Q28" s="74"/>
      <c r="R28" s="74"/>
      <c r="S28" s="74"/>
      <c r="T28" s="74"/>
      <c r="U28" s="74"/>
      <c r="V28" s="74"/>
      <c r="W28" s="232"/>
      <c r="X28" s="233"/>
      <c r="Y28" s="252">
        <f t="shared" si="4"/>
        <v>0</v>
      </c>
      <c r="Z28" s="252">
        <f t="shared" si="5"/>
        <v>0</v>
      </c>
      <c r="AA28" s="252">
        <f t="shared" si="6"/>
        <v>0</v>
      </c>
      <c r="AB28" s="252">
        <f t="shared" si="7"/>
        <v>0</v>
      </c>
      <c r="AC28" s="252">
        <f t="shared" si="8"/>
        <v>0</v>
      </c>
      <c r="AD28" s="248">
        <f t="shared" si="9"/>
        <v>0</v>
      </c>
      <c r="AE28" s="361"/>
      <c r="AF28" s="233"/>
      <c r="AG28" s="252">
        <f t="shared" si="45"/>
        <v>0</v>
      </c>
      <c r="AH28" s="252">
        <f t="shared" si="10"/>
        <v>0</v>
      </c>
      <c r="AI28" s="252">
        <f t="shared" si="10"/>
        <v>0</v>
      </c>
      <c r="AJ28" s="252">
        <f t="shared" si="10"/>
        <v>0</v>
      </c>
      <c r="AK28" s="252">
        <f t="shared" si="10"/>
        <v>0</v>
      </c>
      <c r="AL28" s="248">
        <f t="shared" si="11"/>
        <v>0</v>
      </c>
      <c r="AM28" s="188"/>
      <c r="AN28" s="248">
        <f t="shared" si="46"/>
        <v>0</v>
      </c>
      <c r="AO28" s="248">
        <f t="shared" si="47"/>
        <v>0</v>
      </c>
      <c r="AP28" s="248">
        <f t="shared" si="48"/>
        <v>0</v>
      </c>
      <c r="AQ28" s="248">
        <f t="shared" si="49"/>
        <v>0</v>
      </c>
      <c r="AR28" s="248">
        <f t="shared" si="50"/>
        <v>0</v>
      </c>
      <c r="AS28" s="248">
        <f t="shared" si="51"/>
        <v>0</v>
      </c>
      <c r="AT28" s="259">
        <f t="shared" si="78"/>
        <v>0</v>
      </c>
      <c r="AU28" s="191">
        <f t="shared" si="52"/>
        <v>0</v>
      </c>
      <c r="AV28" s="362" t="str">
        <f t="shared" si="53"/>
        <v/>
      </c>
      <c r="AW28" s="248">
        <f t="shared" si="54"/>
        <v>0</v>
      </c>
      <c r="AX28" s="362" t="str">
        <f t="shared" si="55"/>
        <v/>
      </c>
      <c r="AY28" s="49"/>
      <c r="AZ28" s="75">
        <f t="shared" si="12"/>
        <v>0</v>
      </c>
      <c r="BA28" s="75">
        <f t="shared" si="13"/>
        <v>0</v>
      </c>
      <c r="BB28" s="75">
        <f t="shared" si="14"/>
        <v>0</v>
      </c>
      <c r="BC28" s="75">
        <f t="shared" si="15"/>
        <v>0</v>
      </c>
      <c r="BD28" s="75">
        <f t="shared" si="16"/>
        <v>0</v>
      </c>
      <c r="BE28" s="47">
        <f t="shared" si="56"/>
        <v>0</v>
      </c>
      <c r="BF28" s="49"/>
      <c r="BG28" s="234"/>
      <c r="BH28" s="58" t="str">
        <f t="shared" ca="1" si="17"/>
        <v>aug</v>
      </c>
      <c r="BI28" s="76">
        <f t="shared" ca="1" si="18"/>
        <v>8</v>
      </c>
      <c r="BJ28" s="76">
        <f t="shared" ca="1" si="19"/>
        <v>0</v>
      </c>
      <c r="BK28" s="76">
        <f t="shared" ca="1" si="20"/>
        <v>0</v>
      </c>
      <c r="BL28" s="77" t="str">
        <f t="shared" ca="1" si="21"/>
        <v>okt</v>
      </c>
      <c r="BM28" s="78">
        <f t="shared" ca="1" si="57"/>
        <v>0</v>
      </c>
      <c r="BN28" s="75">
        <f t="shared" ca="1" si="58"/>
        <v>0</v>
      </c>
      <c r="BO28" s="75">
        <f t="shared" ca="1" si="22"/>
        <v>0</v>
      </c>
      <c r="BP28" s="75">
        <f t="shared" ca="1" si="22"/>
        <v>0</v>
      </c>
      <c r="BQ28" s="75">
        <f t="shared" ca="1" si="22"/>
        <v>0</v>
      </c>
      <c r="BR28" s="75">
        <f t="shared" ca="1" si="22"/>
        <v>0</v>
      </c>
      <c r="BS28" s="47">
        <f t="shared" ca="1" si="59"/>
        <v>0</v>
      </c>
      <c r="BT28" s="79">
        <f t="shared" ca="1" si="23"/>
        <v>0</v>
      </c>
      <c r="BU28" s="79">
        <f t="shared" ca="1" si="24"/>
        <v>0</v>
      </c>
      <c r="BV28" s="79">
        <f t="shared" ca="1" si="25"/>
        <v>0</v>
      </c>
      <c r="BW28" s="79">
        <f t="shared" ca="1" si="26"/>
        <v>0</v>
      </c>
      <c r="BX28" s="79">
        <f t="shared" ca="1" si="27"/>
        <v>0</v>
      </c>
      <c r="BY28" s="79"/>
      <c r="BZ28" s="77" t="str">
        <f t="shared" ca="1" si="60"/>
        <v>okt</v>
      </c>
      <c r="CA28" s="78">
        <f t="shared" ca="1" si="61"/>
        <v>0</v>
      </c>
      <c r="CB28" s="75" t="e">
        <f t="shared" ca="1" si="28"/>
        <v>#DIV/0!</v>
      </c>
      <c r="CC28" s="75" t="e">
        <f t="shared" ca="1" si="29"/>
        <v>#DIV/0!</v>
      </c>
      <c r="CD28" s="75" t="e">
        <f t="shared" ca="1" si="30"/>
        <v>#DIV/0!</v>
      </c>
      <c r="CE28" s="75" t="e">
        <f t="shared" ca="1" si="31"/>
        <v>#DIV/0!</v>
      </c>
      <c r="CF28" s="75" t="e">
        <f t="shared" ca="1" si="32"/>
        <v>#DIV/0!</v>
      </c>
      <c r="CG28" s="47" t="e">
        <f t="shared" ca="1" si="62"/>
        <v>#DIV/0!</v>
      </c>
      <c r="CH28" s="234"/>
      <c r="CI28" s="57"/>
      <c r="CJ28" s="47" t="e">
        <f t="shared" ca="1" si="33"/>
        <v>#DIV/0!</v>
      </c>
      <c r="CK28" s="47" t="e">
        <f t="shared" ca="1" si="34"/>
        <v>#DIV/0!</v>
      </c>
      <c r="CL28" s="47" t="e">
        <f t="shared" ca="1" si="35"/>
        <v>#DIV/0!</v>
      </c>
      <c r="CM28" s="47" t="e">
        <f t="shared" ca="1" si="36"/>
        <v>#DIV/0!</v>
      </c>
      <c r="CN28" s="47" t="e">
        <f t="shared" ca="1" si="37"/>
        <v>#DIV/0!</v>
      </c>
      <c r="CO28" s="47" t="e">
        <f t="shared" ca="1" si="63"/>
        <v>#DIV/0!</v>
      </c>
      <c r="CP28" s="49"/>
      <c r="CQ28" s="52" t="str">
        <f t="shared" ca="1" si="38"/>
        <v>201710</v>
      </c>
      <c r="CR28" s="52">
        <f ca="1">MATCH(Mätvärden!CQ28,Normalår!$R$5:$R$76,0)-1</f>
        <v>33</v>
      </c>
      <c r="CS28" s="80">
        <f ca="1">OFFSET(Normalår!$S$5,CR28,0)</f>
        <v>1.1312021723031349</v>
      </c>
      <c r="CT28" s="234"/>
      <c r="CU28" s="75" t="e">
        <f t="shared" ca="1" si="64"/>
        <v>#DIV/0!</v>
      </c>
      <c r="CV28" s="75" t="e">
        <f t="shared" ca="1" si="65"/>
        <v>#DIV/0!</v>
      </c>
      <c r="CW28" s="75" t="e">
        <f t="shared" ca="1" si="66"/>
        <v>#DIV/0!</v>
      </c>
      <c r="CX28" s="75" t="e">
        <f t="shared" ca="1" si="67"/>
        <v>#DIV/0!</v>
      </c>
      <c r="CY28" s="75" t="e">
        <f t="shared" ca="1" si="68"/>
        <v>#DIV/0!</v>
      </c>
      <c r="CZ28" s="47" t="e">
        <f t="shared" ca="1" si="69"/>
        <v>#DIV/0!</v>
      </c>
      <c r="DA28" s="234"/>
      <c r="DB28" s="81"/>
      <c r="DC28" s="234"/>
      <c r="DD28" s="47" t="e">
        <f t="shared" ca="1" si="70"/>
        <v>#DIV/0!</v>
      </c>
      <c r="DE28" s="47" t="e">
        <f t="shared" ca="1" si="71"/>
        <v>#DIV/0!</v>
      </c>
      <c r="DF28" s="47" t="e">
        <f t="shared" ca="1" si="72"/>
        <v>#DIV/0!</v>
      </c>
      <c r="DG28" s="47" t="e">
        <f t="shared" ca="1" si="73"/>
        <v>#DIV/0!</v>
      </c>
      <c r="DH28" s="47" t="e">
        <f t="shared" ca="1" si="74"/>
        <v>#DIV/0!</v>
      </c>
      <c r="DI28" s="47" t="e">
        <f t="shared" ca="1" si="75"/>
        <v>#DIV/0!</v>
      </c>
      <c r="DJ28" s="234"/>
      <c r="DK28" s="234"/>
      <c r="DL28" s="234"/>
      <c r="DM28" s="47" t="e">
        <f t="shared" ca="1" si="39"/>
        <v>#DIV/0!</v>
      </c>
      <c r="DN28" s="47" t="e">
        <f t="shared" ca="1" si="40"/>
        <v>#DIV/0!</v>
      </c>
      <c r="DO28" s="47" t="e">
        <f t="shared" ca="1" si="41"/>
        <v>#DIV/0!</v>
      </c>
      <c r="DP28" s="47" t="e">
        <f t="shared" ca="1" si="42"/>
        <v>#DIV/0!</v>
      </c>
      <c r="DQ28" s="47" t="e">
        <f t="shared" ca="1" si="43"/>
        <v>#DIV/0!</v>
      </c>
      <c r="DR28" s="47" t="e">
        <f t="shared" ca="1" si="76"/>
        <v>#DIV/0!</v>
      </c>
      <c r="DS28" s="234"/>
      <c r="DT28" s="234"/>
      <c r="EI28" s="287">
        <f>MATCH(EI27,EI3:EI14,0)</f>
        <v>1</v>
      </c>
      <c r="EJ28" s="287"/>
      <c r="EK28" s="287"/>
    </row>
    <row r="29" spans="1:156" s="231" customFormat="1" ht="16.5" customHeight="1" x14ac:dyDescent="0.25">
      <c r="A29" s="232"/>
      <c r="B29" s="250"/>
      <c r="E29" s="232"/>
      <c r="F29" s="387">
        <f t="shared" ca="1" si="77"/>
        <v>2017</v>
      </c>
      <c r="G29" s="387" t="str">
        <f t="shared" ca="1" si="1"/>
        <v>nov</v>
      </c>
      <c r="H29" s="70"/>
      <c r="I29" s="72">
        <f t="shared" si="44"/>
        <v>0</v>
      </c>
      <c r="J29" s="388"/>
      <c r="K29" s="73"/>
      <c r="L29" s="72">
        <f t="shared" si="2"/>
        <v>0</v>
      </c>
      <c r="M29" s="388"/>
      <c r="N29" s="73"/>
      <c r="O29" s="72">
        <f t="shared" si="3"/>
        <v>0</v>
      </c>
      <c r="P29" s="388"/>
      <c r="Q29" s="74"/>
      <c r="R29" s="74"/>
      <c r="S29" s="74"/>
      <c r="T29" s="74"/>
      <c r="U29" s="74"/>
      <c r="V29" s="74"/>
      <c r="W29" s="232"/>
      <c r="X29" s="233"/>
      <c r="Y29" s="252">
        <f t="shared" si="4"/>
        <v>0</v>
      </c>
      <c r="Z29" s="252">
        <f t="shared" si="5"/>
        <v>0</v>
      </c>
      <c r="AA29" s="252">
        <f t="shared" si="6"/>
        <v>0</v>
      </c>
      <c r="AB29" s="252">
        <f t="shared" si="7"/>
        <v>0</v>
      </c>
      <c r="AC29" s="252">
        <f t="shared" si="8"/>
        <v>0</v>
      </c>
      <c r="AD29" s="248">
        <f t="shared" si="9"/>
        <v>0</v>
      </c>
      <c r="AE29" s="361"/>
      <c r="AF29" s="233"/>
      <c r="AG29" s="252">
        <f t="shared" si="45"/>
        <v>0</v>
      </c>
      <c r="AH29" s="252">
        <f t="shared" si="10"/>
        <v>0</v>
      </c>
      <c r="AI29" s="252">
        <f t="shared" si="10"/>
        <v>0</v>
      </c>
      <c r="AJ29" s="252">
        <f t="shared" si="10"/>
        <v>0</v>
      </c>
      <c r="AK29" s="252">
        <f t="shared" si="10"/>
        <v>0</v>
      </c>
      <c r="AL29" s="248">
        <f t="shared" si="11"/>
        <v>0</v>
      </c>
      <c r="AM29" s="188"/>
      <c r="AN29" s="248">
        <f t="shared" si="46"/>
        <v>0</v>
      </c>
      <c r="AO29" s="248">
        <f t="shared" si="47"/>
        <v>0</v>
      </c>
      <c r="AP29" s="248">
        <f t="shared" si="48"/>
        <v>0</v>
      </c>
      <c r="AQ29" s="248">
        <f t="shared" si="49"/>
        <v>0</v>
      </c>
      <c r="AR29" s="248">
        <f t="shared" si="50"/>
        <v>0</v>
      </c>
      <c r="AS29" s="248">
        <f t="shared" si="51"/>
        <v>0</v>
      </c>
      <c r="AT29" s="259">
        <f t="shared" si="78"/>
        <v>0</v>
      </c>
      <c r="AU29" s="191">
        <f t="shared" si="52"/>
        <v>0</v>
      </c>
      <c r="AV29" s="362" t="str">
        <f t="shared" si="53"/>
        <v/>
      </c>
      <c r="AW29" s="248">
        <f t="shared" si="54"/>
        <v>0</v>
      </c>
      <c r="AX29" s="362" t="str">
        <f t="shared" si="55"/>
        <v/>
      </c>
      <c r="AY29" s="49"/>
      <c r="AZ29" s="75">
        <f t="shared" si="12"/>
        <v>0</v>
      </c>
      <c r="BA29" s="75">
        <f t="shared" si="13"/>
        <v>0</v>
      </c>
      <c r="BB29" s="75">
        <f t="shared" si="14"/>
        <v>0</v>
      </c>
      <c r="BC29" s="75">
        <f t="shared" si="15"/>
        <v>0</v>
      </c>
      <c r="BD29" s="75">
        <f t="shared" si="16"/>
        <v>0</v>
      </c>
      <c r="BE29" s="47">
        <f t="shared" si="56"/>
        <v>0</v>
      </c>
      <c r="BF29" s="49"/>
      <c r="BG29" s="234"/>
      <c r="BH29" s="58" t="str">
        <f t="shared" ca="1" si="17"/>
        <v>sept</v>
      </c>
      <c r="BI29" s="76">
        <f t="shared" ca="1" si="18"/>
        <v>9</v>
      </c>
      <c r="BJ29" s="76">
        <f t="shared" ca="1" si="19"/>
        <v>0</v>
      </c>
      <c r="BK29" s="76">
        <f t="shared" ca="1" si="20"/>
        <v>0</v>
      </c>
      <c r="BL29" s="77" t="str">
        <f t="shared" ca="1" si="21"/>
        <v>nov</v>
      </c>
      <c r="BM29" s="78">
        <f t="shared" ca="1" si="57"/>
        <v>1</v>
      </c>
      <c r="BN29" s="75" t="e">
        <f t="shared" ca="1" si="58"/>
        <v>#DIV/0!</v>
      </c>
      <c r="BO29" s="75" t="e">
        <f t="shared" ca="1" si="22"/>
        <v>#DIV/0!</v>
      </c>
      <c r="BP29" s="75" t="e">
        <f t="shared" ca="1" si="22"/>
        <v>#DIV/0!</v>
      </c>
      <c r="BQ29" s="75" t="e">
        <f t="shared" ca="1" si="22"/>
        <v>#DIV/0!</v>
      </c>
      <c r="BR29" s="75" t="e">
        <f t="shared" ca="1" si="22"/>
        <v>#DIV/0!</v>
      </c>
      <c r="BS29" s="47" t="e">
        <f t="shared" ca="1" si="59"/>
        <v>#DIV/0!</v>
      </c>
      <c r="BT29" s="79" t="e">
        <f t="shared" ca="1" si="23"/>
        <v>#DIV/0!</v>
      </c>
      <c r="BU29" s="79" t="e">
        <f t="shared" ca="1" si="24"/>
        <v>#DIV/0!</v>
      </c>
      <c r="BV29" s="79" t="e">
        <f t="shared" ca="1" si="25"/>
        <v>#DIV/0!</v>
      </c>
      <c r="BW29" s="79" t="e">
        <f t="shared" ca="1" si="26"/>
        <v>#DIV/0!</v>
      </c>
      <c r="BX29" s="79" t="e">
        <f t="shared" ca="1" si="27"/>
        <v>#DIV/0!</v>
      </c>
      <c r="BY29" s="79"/>
      <c r="BZ29" s="77" t="str">
        <f t="shared" ca="1" si="60"/>
        <v>nov</v>
      </c>
      <c r="CA29" s="78">
        <f t="shared" ca="1" si="61"/>
        <v>1</v>
      </c>
      <c r="CB29" s="75" t="e">
        <f t="shared" ca="1" si="28"/>
        <v>#DIV/0!</v>
      </c>
      <c r="CC29" s="75" t="e">
        <f t="shared" ca="1" si="29"/>
        <v>#DIV/0!</v>
      </c>
      <c r="CD29" s="75" t="e">
        <f t="shared" ca="1" si="30"/>
        <v>#DIV/0!</v>
      </c>
      <c r="CE29" s="75" t="e">
        <f t="shared" ca="1" si="31"/>
        <v>#DIV/0!</v>
      </c>
      <c r="CF29" s="75" t="e">
        <f t="shared" ca="1" si="32"/>
        <v>#DIV/0!</v>
      </c>
      <c r="CG29" s="47" t="e">
        <f t="shared" ca="1" si="62"/>
        <v>#DIV/0!</v>
      </c>
      <c r="CH29" s="234"/>
      <c r="CI29" s="57"/>
      <c r="CJ29" s="47" t="e">
        <f t="shared" ca="1" si="33"/>
        <v>#DIV/0!</v>
      </c>
      <c r="CK29" s="47" t="e">
        <f t="shared" ca="1" si="34"/>
        <v>#DIV/0!</v>
      </c>
      <c r="CL29" s="47" t="e">
        <f t="shared" ca="1" si="35"/>
        <v>#DIV/0!</v>
      </c>
      <c r="CM29" s="47" t="e">
        <f t="shared" ca="1" si="36"/>
        <v>#DIV/0!</v>
      </c>
      <c r="CN29" s="47" t="e">
        <f t="shared" ca="1" si="37"/>
        <v>#DIV/0!</v>
      </c>
      <c r="CO29" s="47" t="e">
        <f t="shared" ca="1" si="63"/>
        <v>#DIV/0!</v>
      </c>
      <c r="CP29" s="49"/>
      <c r="CQ29" s="52" t="str">
        <f t="shared" ca="1" si="38"/>
        <v>201711</v>
      </c>
      <c r="CR29" s="52">
        <f ca="1">MATCH(Mätvärden!CQ29,Normalår!$R$5:$R$76,0)-1</f>
        <v>34</v>
      </c>
      <c r="CS29" s="80">
        <f ca="1">OFFSET(Normalår!$S$5,CR29,0)</f>
        <v>1.0117094272076372</v>
      </c>
      <c r="CT29" s="234"/>
      <c r="CU29" s="75" t="e">
        <f t="shared" ca="1" si="64"/>
        <v>#DIV/0!</v>
      </c>
      <c r="CV29" s="75" t="e">
        <f t="shared" ca="1" si="65"/>
        <v>#DIV/0!</v>
      </c>
      <c r="CW29" s="75" t="e">
        <f t="shared" ca="1" si="66"/>
        <v>#DIV/0!</v>
      </c>
      <c r="CX29" s="75" t="e">
        <f t="shared" ca="1" si="67"/>
        <v>#DIV/0!</v>
      </c>
      <c r="CY29" s="75" t="e">
        <f ca="1">CN29*CS29</f>
        <v>#DIV/0!</v>
      </c>
      <c r="CZ29" s="47" t="e">
        <f t="shared" ca="1" si="69"/>
        <v>#DIV/0!</v>
      </c>
      <c r="DA29" s="234"/>
      <c r="DB29" s="81"/>
      <c r="DC29" s="234"/>
      <c r="DD29" s="47" t="e">
        <f t="shared" ca="1" si="70"/>
        <v>#DIV/0!</v>
      </c>
      <c r="DE29" s="47" t="e">
        <f t="shared" ca="1" si="71"/>
        <v>#DIV/0!</v>
      </c>
      <c r="DF29" s="47" t="e">
        <f t="shared" ca="1" si="72"/>
        <v>#DIV/0!</v>
      </c>
      <c r="DG29" s="47" t="e">
        <f t="shared" ca="1" si="73"/>
        <v>#DIV/0!</v>
      </c>
      <c r="DH29" s="47" t="e">
        <f t="shared" ca="1" si="74"/>
        <v>#DIV/0!</v>
      </c>
      <c r="DI29" s="47" t="e">
        <f t="shared" ca="1" si="75"/>
        <v>#DIV/0!</v>
      </c>
      <c r="DJ29" s="234"/>
      <c r="DK29" s="234"/>
      <c r="DL29" s="234"/>
      <c r="DM29" s="47" t="e">
        <f t="shared" ca="1" si="39"/>
        <v>#DIV/0!</v>
      </c>
      <c r="DN29" s="47" t="e">
        <f t="shared" ca="1" si="40"/>
        <v>#DIV/0!</v>
      </c>
      <c r="DO29" s="47" t="e">
        <f t="shared" ca="1" si="41"/>
        <v>#DIV/0!</v>
      </c>
      <c r="DP29" s="47" t="e">
        <f t="shared" ca="1" si="42"/>
        <v>#DIV/0!</v>
      </c>
      <c r="DQ29" s="47" t="e">
        <f t="shared" ca="1" si="43"/>
        <v>#DIV/0!</v>
      </c>
      <c r="DR29" s="47" t="e">
        <f t="shared" ca="1" si="76"/>
        <v>#DIV/0!</v>
      </c>
      <c r="DS29" s="234"/>
      <c r="DT29" s="234"/>
    </row>
    <row r="30" spans="1:156" s="231" customFormat="1" ht="16.5" customHeight="1" thickBot="1" x14ac:dyDescent="0.3">
      <c r="A30" s="232"/>
      <c r="B30" s="250"/>
      <c r="E30" s="232"/>
      <c r="F30" s="387">
        <f t="shared" ca="1" si="77"/>
        <v>2017</v>
      </c>
      <c r="G30" s="387" t="str">
        <f t="shared" ca="1" si="1"/>
        <v>dec</v>
      </c>
      <c r="H30" s="70"/>
      <c r="I30" s="72">
        <f t="shared" si="44"/>
        <v>0</v>
      </c>
      <c r="J30" s="388"/>
      <c r="K30" s="73"/>
      <c r="L30" s="72">
        <f t="shared" si="2"/>
        <v>0</v>
      </c>
      <c r="M30" s="388"/>
      <c r="N30" s="73"/>
      <c r="O30" s="72">
        <f t="shared" si="3"/>
        <v>0</v>
      </c>
      <c r="P30" s="388"/>
      <c r="Q30" s="74"/>
      <c r="R30" s="74"/>
      <c r="S30" s="74"/>
      <c r="T30" s="74"/>
      <c r="U30" s="74"/>
      <c r="V30" s="74"/>
      <c r="W30" s="232"/>
      <c r="X30" s="233"/>
      <c r="Y30" s="254">
        <f t="shared" si="4"/>
        <v>0</v>
      </c>
      <c r="Z30" s="254">
        <f t="shared" si="5"/>
        <v>0</v>
      </c>
      <c r="AA30" s="254">
        <f t="shared" si="6"/>
        <v>0</v>
      </c>
      <c r="AB30" s="254">
        <f t="shared" si="7"/>
        <v>0</v>
      </c>
      <c r="AC30" s="254">
        <f t="shared" si="8"/>
        <v>0</v>
      </c>
      <c r="AD30" s="255">
        <f t="shared" si="9"/>
        <v>0</v>
      </c>
      <c r="AE30" s="361"/>
      <c r="AF30" s="233"/>
      <c r="AG30" s="254">
        <f t="shared" si="45"/>
        <v>0</v>
      </c>
      <c r="AH30" s="254">
        <f t="shared" si="10"/>
        <v>0</v>
      </c>
      <c r="AI30" s="254">
        <f t="shared" si="10"/>
        <v>0</v>
      </c>
      <c r="AJ30" s="254">
        <f t="shared" si="10"/>
        <v>0</v>
      </c>
      <c r="AK30" s="254">
        <f t="shared" si="10"/>
        <v>0</v>
      </c>
      <c r="AL30" s="255">
        <f t="shared" si="11"/>
        <v>0</v>
      </c>
      <c r="AM30" s="188"/>
      <c r="AN30" s="255">
        <f t="shared" si="46"/>
        <v>0</v>
      </c>
      <c r="AO30" s="255">
        <f t="shared" si="47"/>
        <v>0</v>
      </c>
      <c r="AP30" s="255">
        <f t="shared" si="48"/>
        <v>0</v>
      </c>
      <c r="AQ30" s="255">
        <f t="shared" si="49"/>
        <v>0</v>
      </c>
      <c r="AR30" s="255">
        <f t="shared" si="50"/>
        <v>0</v>
      </c>
      <c r="AS30" s="255">
        <f t="shared" si="51"/>
        <v>0</v>
      </c>
      <c r="AT30" s="274">
        <f t="shared" si="78"/>
        <v>0</v>
      </c>
      <c r="AU30" s="192">
        <f t="shared" si="52"/>
        <v>0</v>
      </c>
      <c r="AV30" s="362" t="str">
        <f>IF(AT30&lt;0,"Fel i indata","")</f>
        <v/>
      </c>
      <c r="AW30" s="248">
        <f t="shared" si="54"/>
        <v>0</v>
      </c>
      <c r="AX30" s="362" t="str">
        <f t="shared" si="55"/>
        <v/>
      </c>
      <c r="AY30" s="49"/>
      <c r="AZ30" s="82">
        <f t="shared" si="12"/>
        <v>0</v>
      </c>
      <c r="BA30" s="82">
        <f t="shared" si="13"/>
        <v>0</v>
      </c>
      <c r="BB30" s="82">
        <f t="shared" si="14"/>
        <v>0</v>
      </c>
      <c r="BC30" s="82">
        <f t="shared" si="15"/>
        <v>0</v>
      </c>
      <c r="BD30" s="82">
        <f t="shared" si="16"/>
        <v>0</v>
      </c>
      <c r="BE30" s="83">
        <f t="shared" si="56"/>
        <v>0</v>
      </c>
      <c r="BF30" s="49"/>
      <c r="BG30" s="234"/>
      <c r="BH30" s="58" t="str">
        <f t="shared" ca="1" si="17"/>
        <v>okt</v>
      </c>
      <c r="BI30" s="76">
        <f t="shared" ca="1" si="18"/>
        <v>10</v>
      </c>
      <c r="BJ30" s="76">
        <f t="shared" ca="1" si="19"/>
        <v>0</v>
      </c>
      <c r="BK30" s="76">
        <f t="shared" ca="1" si="20"/>
        <v>0</v>
      </c>
      <c r="BL30" s="77" t="str">
        <f t="shared" ca="1" si="21"/>
        <v>dec</v>
      </c>
      <c r="BM30" s="78">
        <f t="shared" ca="1" si="57"/>
        <v>1</v>
      </c>
      <c r="BN30" s="82" t="e">
        <f t="shared" ca="1" si="58"/>
        <v>#DIV/0!</v>
      </c>
      <c r="BO30" s="82" t="e">
        <f t="shared" ca="1" si="22"/>
        <v>#DIV/0!</v>
      </c>
      <c r="BP30" s="82" t="e">
        <f t="shared" ca="1" si="22"/>
        <v>#DIV/0!</v>
      </c>
      <c r="BQ30" s="82" t="e">
        <f t="shared" ca="1" si="22"/>
        <v>#DIV/0!</v>
      </c>
      <c r="BR30" s="82" t="e">
        <f t="shared" ca="1" si="22"/>
        <v>#DIV/0!</v>
      </c>
      <c r="BS30" s="83" t="e">
        <f t="shared" ca="1" si="59"/>
        <v>#DIV/0!</v>
      </c>
      <c r="BT30" s="79" t="e">
        <f t="shared" ca="1" si="23"/>
        <v>#DIV/0!</v>
      </c>
      <c r="BU30" s="79" t="e">
        <f t="shared" ca="1" si="24"/>
        <v>#DIV/0!</v>
      </c>
      <c r="BV30" s="79" t="e">
        <f t="shared" ca="1" si="25"/>
        <v>#DIV/0!</v>
      </c>
      <c r="BW30" s="79" t="e">
        <f t="shared" ca="1" si="26"/>
        <v>#DIV/0!</v>
      </c>
      <c r="BX30" s="79" t="e">
        <f t="shared" ca="1" si="27"/>
        <v>#DIV/0!</v>
      </c>
      <c r="BY30" s="79"/>
      <c r="BZ30" s="77" t="str">
        <f t="shared" ca="1" si="60"/>
        <v>dec</v>
      </c>
      <c r="CA30" s="78">
        <f t="shared" ca="1" si="61"/>
        <v>1</v>
      </c>
      <c r="CB30" s="82" t="e">
        <f t="shared" ca="1" si="28"/>
        <v>#DIV/0!</v>
      </c>
      <c r="CC30" s="82" t="e">
        <f t="shared" ca="1" si="29"/>
        <v>#DIV/0!</v>
      </c>
      <c r="CD30" s="82" t="e">
        <f t="shared" ca="1" si="30"/>
        <v>#DIV/0!</v>
      </c>
      <c r="CE30" s="82" t="e">
        <f t="shared" ca="1" si="31"/>
        <v>#DIV/0!</v>
      </c>
      <c r="CF30" s="82" t="e">
        <f t="shared" ca="1" si="32"/>
        <v>#DIV/0!</v>
      </c>
      <c r="CG30" s="83" t="e">
        <f t="shared" ca="1" si="62"/>
        <v>#DIV/0!</v>
      </c>
      <c r="CH30" s="234"/>
      <c r="CI30" s="57"/>
      <c r="CJ30" s="83" t="e">
        <f t="shared" ca="1" si="33"/>
        <v>#DIV/0!</v>
      </c>
      <c r="CK30" s="83" t="e">
        <f t="shared" ca="1" si="34"/>
        <v>#DIV/0!</v>
      </c>
      <c r="CL30" s="83" t="e">
        <f t="shared" ca="1" si="35"/>
        <v>#DIV/0!</v>
      </c>
      <c r="CM30" s="83" t="e">
        <f t="shared" ca="1" si="36"/>
        <v>#DIV/0!</v>
      </c>
      <c r="CN30" s="83" t="e">
        <f t="shared" ca="1" si="37"/>
        <v>#DIV/0!</v>
      </c>
      <c r="CO30" s="83" t="e">
        <f t="shared" ca="1" si="63"/>
        <v>#DIV/0!</v>
      </c>
      <c r="CP30" s="49"/>
      <c r="CQ30" s="52" t="str">
        <f t="shared" ca="1" si="38"/>
        <v>201712</v>
      </c>
      <c r="CR30" s="52">
        <f ca="1">MATCH(Mätvärden!CQ30,Normalår!$R$5:$R$76,0)-1</f>
        <v>35</v>
      </c>
      <c r="CS30" s="80">
        <f ca="1">OFFSET(Normalår!$S$5,CR30,0)</f>
        <v>0.9943389713496722</v>
      </c>
      <c r="CT30" s="234"/>
      <c r="CU30" s="82" t="e">
        <f t="shared" ca="1" si="64"/>
        <v>#DIV/0!</v>
      </c>
      <c r="CV30" s="82" t="e">
        <f t="shared" ca="1" si="65"/>
        <v>#DIV/0!</v>
      </c>
      <c r="CW30" s="82" t="e">
        <f t="shared" ca="1" si="66"/>
        <v>#DIV/0!</v>
      </c>
      <c r="CX30" s="82" t="e">
        <f t="shared" ca="1" si="67"/>
        <v>#DIV/0!</v>
      </c>
      <c r="CY30" s="82" t="e">
        <f ca="1">CN30*CS30</f>
        <v>#DIV/0!</v>
      </c>
      <c r="CZ30" s="83" t="e">
        <f t="shared" ca="1" si="69"/>
        <v>#DIV/0!</v>
      </c>
      <c r="DA30" s="234"/>
      <c r="DB30" s="81"/>
      <c r="DC30" s="234"/>
      <c r="DD30" s="83" t="e">
        <f t="shared" ca="1" si="70"/>
        <v>#DIV/0!</v>
      </c>
      <c r="DE30" s="83" t="e">
        <f t="shared" ca="1" si="71"/>
        <v>#DIV/0!</v>
      </c>
      <c r="DF30" s="83" t="e">
        <f t="shared" ca="1" si="72"/>
        <v>#DIV/0!</v>
      </c>
      <c r="DG30" s="83" t="e">
        <f t="shared" ca="1" si="73"/>
        <v>#DIV/0!</v>
      </c>
      <c r="DH30" s="83" t="e">
        <f t="shared" ca="1" si="74"/>
        <v>#DIV/0!</v>
      </c>
      <c r="DI30" s="83" t="e">
        <f t="shared" ca="1" si="75"/>
        <v>#DIV/0!</v>
      </c>
      <c r="DJ30" s="234"/>
      <c r="DK30" s="234"/>
      <c r="DL30" s="234"/>
      <c r="DM30" s="83" t="e">
        <f t="shared" ca="1" si="39"/>
        <v>#DIV/0!</v>
      </c>
      <c r="DN30" s="83" t="e">
        <f t="shared" ca="1" si="40"/>
        <v>#DIV/0!</v>
      </c>
      <c r="DO30" s="83" t="e">
        <f t="shared" ca="1" si="41"/>
        <v>#DIV/0!</v>
      </c>
      <c r="DP30" s="83" t="e">
        <f t="shared" ca="1" si="42"/>
        <v>#DIV/0!</v>
      </c>
      <c r="DQ30" s="83" t="e">
        <f t="shared" ca="1" si="43"/>
        <v>#DIV/0!</v>
      </c>
      <c r="DR30" s="83" t="e">
        <f t="shared" ca="1" si="76"/>
        <v>#DIV/0!</v>
      </c>
      <c r="DS30" s="234"/>
      <c r="DT30" s="234"/>
    </row>
    <row r="31" spans="1:156" s="231" customFormat="1" ht="16.5" customHeight="1" thickTop="1" x14ac:dyDescent="0.25">
      <c r="A31" s="232"/>
      <c r="B31" s="250"/>
      <c r="E31" s="232"/>
      <c r="F31" s="232"/>
      <c r="G31" s="37"/>
      <c r="H31" s="37"/>
      <c r="I31" s="84">
        <f>SUM(I19:I30)</f>
        <v>0</v>
      </c>
      <c r="J31" s="84">
        <f>SUM(J19:J30)</f>
        <v>0</v>
      </c>
      <c r="K31" s="37"/>
      <c r="L31" s="84">
        <f>SUM(L19:L30)</f>
        <v>0</v>
      </c>
      <c r="M31" s="84">
        <f>SUM(M19:M30)</f>
        <v>0</v>
      </c>
      <c r="N31" s="232"/>
      <c r="O31" s="84">
        <f>SUM(O19:O30)</f>
        <v>0</v>
      </c>
      <c r="P31" s="84">
        <f>SUM(P19:P30)</f>
        <v>0</v>
      </c>
      <c r="Q31" s="232"/>
      <c r="R31" s="232"/>
      <c r="S31" s="232"/>
      <c r="T31" s="232"/>
      <c r="U31" s="232"/>
      <c r="V31" s="232"/>
      <c r="W31" s="232"/>
      <c r="X31" s="236" t="s">
        <v>1296</v>
      </c>
      <c r="Y31" s="256">
        <f t="shared" ref="Y31:AD31" si="79">SUM(Y19:Y30)</f>
        <v>0</v>
      </c>
      <c r="Z31" s="256">
        <f t="shared" si="79"/>
        <v>0</v>
      </c>
      <c r="AA31" s="257">
        <f t="shared" si="79"/>
        <v>0</v>
      </c>
      <c r="AB31" s="257">
        <f t="shared" si="79"/>
        <v>0</v>
      </c>
      <c r="AC31" s="257">
        <f t="shared" si="79"/>
        <v>0</v>
      </c>
      <c r="AD31" s="256">
        <f t="shared" si="79"/>
        <v>0</v>
      </c>
      <c r="AE31" s="361"/>
      <c r="AF31" s="236" t="s">
        <v>1296</v>
      </c>
      <c r="AG31" s="256">
        <f t="shared" ref="AG31:AL31" si="80">SUM(AG19:AG30)</f>
        <v>0</v>
      </c>
      <c r="AH31" s="256">
        <f t="shared" si="80"/>
        <v>0</v>
      </c>
      <c r="AI31" s="257">
        <f t="shared" si="80"/>
        <v>0</v>
      </c>
      <c r="AJ31" s="257">
        <f t="shared" si="80"/>
        <v>0</v>
      </c>
      <c r="AK31" s="257">
        <f t="shared" si="80"/>
        <v>0</v>
      </c>
      <c r="AL31" s="256">
        <f t="shared" si="80"/>
        <v>0</v>
      </c>
      <c r="AM31" s="188"/>
      <c r="AN31" s="256">
        <f t="shared" ref="AN31:AU31" si="81">SUM(AN19:AN30)</f>
        <v>0</v>
      </c>
      <c r="AO31" s="256">
        <f t="shared" si="81"/>
        <v>0</v>
      </c>
      <c r="AP31" s="256">
        <f t="shared" si="81"/>
        <v>0</v>
      </c>
      <c r="AQ31" s="256">
        <f t="shared" si="81"/>
        <v>0</v>
      </c>
      <c r="AR31" s="256">
        <f t="shared" si="81"/>
        <v>0</v>
      </c>
      <c r="AS31" s="256">
        <f t="shared" si="81"/>
        <v>0</v>
      </c>
      <c r="AT31" s="256">
        <f t="shared" si="81"/>
        <v>0</v>
      </c>
      <c r="AU31" s="256">
        <f t="shared" si="81"/>
        <v>0</v>
      </c>
      <c r="AV31" s="233"/>
      <c r="AW31" s="256">
        <f>SUM(AW19:AW30)</f>
        <v>0</v>
      </c>
      <c r="AX31" s="233"/>
      <c r="AY31" s="41" t="s">
        <v>1296</v>
      </c>
      <c r="AZ31" s="85">
        <f t="shared" ref="AZ31:BE31" si="82">SUM(AZ19:AZ30)</f>
        <v>0</v>
      </c>
      <c r="BA31" s="85">
        <f t="shared" si="82"/>
        <v>0</v>
      </c>
      <c r="BB31" s="85">
        <f t="shared" si="82"/>
        <v>0</v>
      </c>
      <c r="BC31" s="85">
        <f t="shared" si="82"/>
        <v>0</v>
      </c>
      <c r="BD31" s="86">
        <f t="shared" si="82"/>
        <v>0</v>
      </c>
      <c r="BE31" s="85">
        <f t="shared" si="82"/>
        <v>0</v>
      </c>
      <c r="BF31" s="49"/>
      <c r="BG31" s="49"/>
      <c r="BH31" s="49"/>
      <c r="BI31" s="49"/>
      <c r="BJ31" s="49"/>
      <c r="BK31" s="76">
        <f ca="1">SUM(BK19:BK30)</f>
        <v>2880</v>
      </c>
      <c r="BL31" s="31"/>
      <c r="BM31" s="41" t="s">
        <v>1296</v>
      </c>
      <c r="BN31" s="87" t="e">
        <f t="shared" ref="BN31:BS31" ca="1" si="83">SUM(BN19:BN30)</f>
        <v>#DIV/0!</v>
      </c>
      <c r="BO31" s="87" t="e">
        <f t="shared" ca="1" si="83"/>
        <v>#DIV/0!</v>
      </c>
      <c r="BP31" s="87" t="e">
        <f t="shared" ca="1" si="83"/>
        <v>#DIV/0!</v>
      </c>
      <c r="BQ31" s="86" t="e">
        <f t="shared" ca="1" si="83"/>
        <v>#DIV/0!</v>
      </c>
      <c r="BR31" s="86" t="e">
        <f t="shared" ca="1" si="83"/>
        <v>#DIV/0!</v>
      </c>
      <c r="BS31" s="87" t="e">
        <f t="shared" ca="1" si="83"/>
        <v>#DIV/0!</v>
      </c>
      <c r="BT31" s="88"/>
      <c r="BU31" s="88"/>
      <c r="BV31" s="88"/>
      <c r="BW31" s="88"/>
      <c r="BX31" s="88"/>
      <c r="BY31" s="88"/>
      <c r="BZ31" s="31"/>
      <c r="CA31" s="41" t="s">
        <v>1296</v>
      </c>
      <c r="CB31" s="87" t="e">
        <f t="shared" ref="CB31:CG31" ca="1" si="84">SUM(CB19:CB30)</f>
        <v>#DIV/0!</v>
      </c>
      <c r="CC31" s="87" t="e">
        <f t="shared" ca="1" si="84"/>
        <v>#DIV/0!</v>
      </c>
      <c r="CD31" s="87" t="e">
        <f t="shared" ca="1" si="84"/>
        <v>#DIV/0!</v>
      </c>
      <c r="CE31" s="87" t="e">
        <f t="shared" ca="1" si="84"/>
        <v>#DIV/0!</v>
      </c>
      <c r="CF31" s="87" t="e">
        <f t="shared" ca="1" si="84"/>
        <v>#DIV/0!</v>
      </c>
      <c r="CG31" s="87" t="e">
        <f t="shared" ca="1" si="84"/>
        <v>#DIV/0!</v>
      </c>
      <c r="CH31" s="234"/>
      <c r="CI31" s="41" t="s">
        <v>1296</v>
      </c>
      <c r="CJ31" s="85" t="e">
        <f t="shared" ref="CJ31:CO31" ca="1" si="85">SUM(CJ19:CJ30)</f>
        <v>#DIV/0!</v>
      </c>
      <c r="CK31" s="85" t="e">
        <f t="shared" ca="1" si="85"/>
        <v>#DIV/0!</v>
      </c>
      <c r="CL31" s="85" t="e">
        <f t="shared" ca="1" si="85"/>
        <v>#DIV/0!</v>
      </c>
      <c r="CM31" s="85" t="e">
        <f t="shared" ca="1" si="85"/>
        <v>#DIV/0!</v>
      </c>
      <c r="CN31" s="85" t="e">
        <f t="shared" ca="1" si="85"/>
        <v>#DIV/0!</v>
      </c>
      <c r="CO31" s="85" t="e">
        <f t="shared" ca="1" si="85"/>
        <v>#DIV/0!</v>
      </c>
      <c r="CP31" s="49"/>
      <c r="CQ31" s="49"/>
      <c r="CR31" s="49"/>
      <c r="CS31" s="49"/>
      <c r="CT31" s="41" t="s">
        <v>1296</v>
      </c>
      <c r="CU31" s="85" t="e">
        <f t="shared" ref="CU31:CZ31" ca="1" si="86">SUM(CU19:CU30)</f>
        <v>#DIV/0!</v>
      </c>
      <c r="CV31" s="85" t="e">
        <f t="shared" ca="1" si="86"/>
        <v>#DIV/0!</v>
      </c>
      <c r="CW31" s="85" t="e">
        <f t="shared" ca="1" si="86"/>
        <v>#DIV/0!</v>
      </c>
      <c r="CX31" s="85" t="e">
        <f t="shared" ca="1" si="86"/>
        <v>#DIV/0!</v>
      </c>
      <c r="CY31" s="85" t="e">
        <f t="shared" ca="1" si="86"/>
        <v>#DIV/0!</v>
      </c>
      <c r="CZ31" s="85" t="e">
        <f t="shared" ca="1" si="86"/>
        <v>#DIV/0!</v>
      </c>
      <c r="DA31" s="234"/>
      <c r="DB31" s="81"/>
      <c r="DC31" s="41" t="s">
        <v>1296</v>
      </c>
      <c r="DD31" s="89" t="e">
        <f t="shared" ref="DD31:DH31" ca="1" si="87">SUM(DD19:DD30)</f>
        <v>#DIV/0!</v>
      </c>
      <c r="DE31" s="89" t="e">
        <f t="shared" ca="1" si="87"/>
        <v>#DIV/0!</v>
      </c>
      <c r="DF31" s="89" t="e">
        <f t="shared" ca="1" si="87"/>
        <v>#DIV/0!</v>
      </c>
      <c r="DG31" s="89" t="e">
        <f t="shared" ca="1" si="87"/>
        <v>#DIV/0!</v>
      </c>
      <c r="DH31" s="89" t="e">
        <f t="shared" ca="1" si="87"/>
        <v>#DIV/0!</v>
      </c>
      <c r="DI31" s="89" t="e">
        <f ca="1">SUM(DI19:DI30)</f>
        <v>#DIV/0!</v>
      </c>
      <c r="DJ31" s="234"/>
      <c r="DK31" s="234"/>
      <c r="DL31" s="41" t="s">
        <v>1296</v>
      </c>
      <c r="DM31" s="89" t="e">
        <f ca="1">SUM(DM19:DM30)</f>
        <v>#DIV/0!</v>
      </c>
      <c r="DN31" s="89" t="e">
        <f t="shared" ref="DN31:DQ31" ca="1" si="88">SUM(DN19:DN30)</f>
        <v>#DIV/0!</v>
      </c>
      <c r="DO31" s="89" t="e">
        <f t="shared" ca="1" si="88"/>
        <v>#DIV/0!</v>
      </c>
      <c r="DP31" s="89" t="e">
        <f t="shared" ca="1" si="88"/>
        <v>#DIV/0!</v>
      </c>
      <c r="DQ31" s="89" t="e">
        <f t="shared" ca="1" si="88"/>
        <v>#DIV/0!</v>
      </c>
      <c r="DR31" s="89" t="e">
        <f ca="1">SUM(DR19:DR30)</f>
        <v>#DIV/0!</v>
      </c>
      <c r="DS31" s="234"/>
      <c r="DT31" s="234"/>
      <c r="EI31" s="253" t="str">
        <f>G41</f>
        <v>jan</v>
      </c>
    </row>
    <row r="32" spans="1:156" s="231" customFormat="1" ht="16.5" customHeight="1" x14ac:dyDescent="0.25">
      <c r="A32" s="232"/>
      <c r="B32" s="250"/>
      <c r="E32" s="232"/>
      <c r="F32" s="232"/>
      <c r="G32" s="37"/>
      <c r="H32" s="37"/>
      <c r="I32" s="84"/>
      <c r="J32" s="37"/>
      <c r="K32" s="37"/>
      <c r="L32" s="84"/>
      <c r="M32" s="232"/>
      <c r="N32" s="232"/>
      <c r="O32" s="84"/>
      <c r="P32" s="232"/>
      <c r="Q32" s="232"/>
      <c r="R32" s="232"/>
      <c r="S32" s="232"/>
      <c r="T32" s="232"/>
      <c r="U32" s="232"/>
      <c r="V32" s="232"/>
      <c r="W32" s="232"/>
      <c r="X32" s="236" t="s">
        <v>1377</v>
      </c>
      <c r="Y32" s="256">
        <f>IF($J$14=$Y$18,$I$31*$J$15,0)+IF($M$14=$Y$18,$L$31*$M$15,0)+IF($P$14=$Y$18,$O$31*$P$15,0)</f>
        <v>0</v>
      </c>
      <c r="Z32" s="256">
        <f>IF(OR($J$14="El-panna",$J$14="Värmepump"),$I$31*$J$15,0)+IF(OR($M$14="El-panna",$M$14="Värmepump"),$L$31*$M$15,0)+IF(OR($P$14="El-panna",$P$14="Värmepump"),$O$31*$P$15,0)</f>
        <v>0</v>
      </c>
      <c r="AA32" s="257">
        <f>IF(OR($J$14="Flispanna",$J$14="Pelletspanna",$J$14="Vedpanna"),$I$31*$J$15,0)+IF(OR($M$14="Flispanna",$M$14="Pelletspanna",$M$14="Vedpanna"),$L$31*$M$15,0)+IF(OR($P$14="Flispanna",$P$14="Pelletspanna",$P$14="Vedpanna"),$O$31*$P$15,0)</f>
        <v>0</v>
      </c>
      <c r="AB32" s="257">
        <f>IF($J$14="Gaspanna",$I$31*$J$15,0)+IF(M14="Gaspanna",$L$31*$M$15,0)+IF(P14="Gaspanna",$O$31*$P$15,0)</f>
        <v>0</v>
      </c>
      <c r="AC32" s="257">
        <f>IF($J$14="Oljepanna",$I$31*$J$15,0)+IF($M$14="Oljepanna",$L$31*$M$15,0)+IF($P$14="Oljepanna",$O$31*$P$15,0)</f>
        <v>0</v>
      </c>
      <c r="AD32" s="256">
        <f>SUM(Y32:AC32)</f>
        <v>0</v>
      </c>
      <c r="AE32" s="361"/>
      <c r="AF32" s="236" t="s">
        <v>1377</v>
      </c>
      <c r="AG32" s="256">
        <f>Y32+AG78</f>
        <v>0</v>
      </c>
      <c r="AH32" s="256">
        <f t="shared" ref="AH32:AK32" si="89">Z32+AH78</f>
        <v>0</v>
      </c>
      <c r="AI32" s="256">
        <f t="shared" si="89"/>
        <v>0</v>
      </c>
      <c r="AJ32" s="256">
        <f t="shared" si="89"/>
        <v>0</v>
      </c>
      <c r="AK32" s="256">
        <f t="shared" si="89"/>
        <v>0</v>
      </c>
      <c r="AL32" s="256">
        <f>SUM(AG32:AK32)</f>
        <v>0</v>
      </c>
      <c r="AM32" s="273" t="s">
        <v>1312</v>
      </c>
      <c r="AN32" s="353">
        <f>IF(Y31&gt;0,AG32/AG31,0)</f>
        <v>0</v>
      </c>
      <c r="AO32" s="353">
        <f t="shared" ref="AO32:AR32" si="90">IF(Z31&gt;0,AH32/AH31,0)</f>
        <v>0</v>
      </c>
      <c r="AP32" s="353">
        <f t="shared" si="90"/>
        <v>0</v>
      </c>
      <c r="AQ32" s="353">
        <f t="shared" si="90"/>
        <v>0</v>
      </c>
      <c r="AR32" s="353">
        <f t="shared" si="90"/>
        <v>0</v>
      </c>
      <c r="AS32" s="247"/>
      <c r="AT32" s="247"/>
      <c r="AU32" s="233"/>
      <c r="AV32" s="233"/>
      <c r="AW32" s="247"/>
      <c r="AX32" s="233"/>
      <c r="AY32" s="49"/>
      <c r="AZ32" s="49"/>
      <c r="BA32" s="49"/>
      <c r="BB32" s="49"/>
      <c r="BC32" s="49"/>
      <c r="BD32" s="49"/>
      <c r="BE32" s="49"/>
      <c r="BF32" s="49"/>
      <c r="BG32" s="49"/>
      <c r="BH32" s="49"/>
      <c r="BI32" s="49"/>
      <c r="BJ32" s="49"/>
      <c r="BK32" s="49"/>
      <c r="BL32" s="234"/>
      <c r="BM32" s="41" t="s">
        <v>1108</v>
      </c>
      <c r="BN32" s="80" t="e">
        <f ca="1">IF($BS$31&gt;0,BN31/$BS$31,0)</f>
        <v>#DIV/0!</v>
      </c>
      <c r="BO32" s="80" t="e">
        <f t="shared" ref="BO32:BR32" ca="1" si="91">IF($BS$31&gt;0,BO31/$BS$31,0)</f>
        <v>#DIV/0!</v>
      </c>
      <c r="BP32" s="80" t="e">
        <f t="shared" ca="1" si="91"/>
        <v>#DIV/0!</v>
      </c>
      <c r="BQ32" s="80" t="e">
        <f t="shared" ca="1" si="91"/>
        <v>#DIV/0!</v>
      </c>
      <c r="BR32" s="80" t="e">
        <f t="shared" ca="1" si="91"/>
        <v>#DIV/0!</v>
      </c>
      <c r="BS32" s="234"/>
      <c r="BT32" s="234"/>
      <c r="BU32" s="234"/>
      <c r="BV32" s="234"/>
      <c r="BW32" s="234"/>
      <c r="BX32" s="234"/>
      <c r="BY32" s="234"/>
      <c r="BZ32" s="234"/>
      <c r="CA32" s="41" t="s">
        <v>1108</v>
      </c>
      <c r="CB32" s="80" t="e">
        <f ca="1">IF($CG$31&gt;0,CB31/$CG$31,0)</f>
        <v>#DIV/0!</v>
      </c>
      <c r="CC32" s="80" t="e">
        <f t="shared" ref="CC32:CF32" ca="1" si="92">IF($CG$31&gt;0,CC31/$CG$31,0)</f>
        <v>#DIV/0!</v>
      </c>
      <c r="CD32" s="80" t="e">
        <f t="shared" ca="1" si="92"/>
        <v>#DIV/0!</v>
      </c>
      <c r="CE32" s="80" t="e">
        <f t="shared" ca="1" si="92"/>
        <v>#DIV/0!</v>
      </c>
      <c r="CF32" s="80" t="e">
        <f t="shared" ca="1" si="92"/>
        <v>#DIV/0!</v>
      </c>
      <c r="CG32" s="234"/>
      <c r="CH32" s="90" t="s">
        <v>1184</v>
      </c>
      <c r="CI32" s="41" t="s">
        <v>1108</v>
      </c>
      <c r="CJ32" s="80" t="e">
        <f ca="1">IF($CO$31&gt;0,CJ31/$CO$31,0)</f>
        <v>#DIV/0!</v>
      </c>
      <c r="CK32" s="80" t="e">
        <f t="shared" ref="CK32:CN32" ca="1" si="93">IF($CO$31&gt;0,CK31/$CO$31,0)</f>
        <v>#DIV/0!</v>
      </c>
      <c r="CL32" s="80" t="e">
        <f t="shared" ca="1" si="93"/>
        <v>#DIV/0!</v>
      </c>
      <c r="CM32" s="80" t="e">
        <f t="shared" ca="1" si="93"/>
        <v>#DIV/0!</v>
      </c>
      <c r="CN32" s="80" t="e">
        <f t="shared" ca="1" si="93"/>
        <v>#DIV/0!</v>
      </c>
      <c r="CO32" s="234"/>
      <c r="CP32" s="90" t="s">
        <v>1184</v>
      </c>
      <c r="CQ32" s="49"/>
      <c r="CR32" s="49"/>
      <c r="CS32" s="49"/>
      <c r="CT32" s="41" t="s">
        <v>1108</v>
      </c>
      <c r="CU32" s="80" t="e">
        <f ca="1">IF($CZ$31&gt;0,CU31/$CZ$31,0)</f>
        <v>#DIV/0!</v>
      </c>
      <c r="CV32" s="80" t="e">
        <f t="shared" ref="CV32:CX32" ca="1" si="94">IF($CZ$31&gt;0,CV31/$CZ$31,0)</f>
        <v>#DIV/0!</v>
      </c>
      <c r="CW32" s="80" t="e">
        <f t="shared" ca="1" si="94"/>
        <v>#DIV/0!</v>
      </c>
      <c r="CX32" s="80" t="e">
        <f t="shared" ca="1" si="94"/>
        <v>#DIV/0!</v>
      </c>
      <c r="CY32" s="80" t="e">
        <f ca="1">IF($CZ$31&gt;0,CY31/$CZ$31,0)</f>
        <v>#DIV/0!</v>
      </c>
      <c r="CZ32" s="234"/>
      <c r="DA32" s="234"/>
      <c r="DB32" s="39"/>
      <c r="DC32" s="41" t="s">
        <v>1377</v>
      </c>
      <c r="DD32" s="47" t="e">
        <f ca="1">IF(DD31&gt;0,DD31*(Y32/Y31),0)</f>
        <v>#DIV/0!</v>
      </c>
      <c r="DE32" s="47" t="e">
        <f ca="1">IF(DE31&gt;0,DE31*(Z32/Z31),0)</f>
        <v>#DIV/0!</v>
      </c>
      <c r="DF32" s="47" t="e">
        <f ca="1">IF(DF31&gt;0,DF31*(AA32/AA31),0)</f>
        <v>#DIV/0!</v>
      </c>
      <c r="DG32" s="47" t="e">
        <f ca="1">IF(DG31&gt;0,DG31*(AB32/AB31),0)</f>
        <v>#DIV/0!</v>
      </c>
      <c r="DH32" s="47" t="e">
        <f ca="1">IF(DH31&gt;0,DH31*(AC32/AC31),0)</f>
        <v>#DIV/0!</v>
      </c>
      <c r="DI32" s="47" t="e">
        <f ca="1">SUM(DD32:DH32)</f>
        <v>#DIV/0!</v>
      </c>
      <c r="DJ32" s="234"/>
      <c r="DK32" s="234"/>
      <c r="DL32" s="41" t="s">
        <v>1377</v>
      </c>
      <c r="DM32" s="47" t="e">
        <f ca="1">IF(DM31&gt;0,DM31*(Y32/Y31),0)</f>
        <v>#DIV/0!</v>
      </c>
      <c r="DN32" s="47" t="e">
        <f ca="1">IF(DN31&gt;0,DN31*(Z32/Z31),0)</f>
        <v>#DIV/0!</v>
      </c>
      <c r="DO32" s="47" t="e">
        <f ca="1">IF(DO31&gt;0,DO31*(AA32/AA31),0)</f>
        <v>#DIV/0!</v>
      </c>
      <c r="DP32" s="47" t="e">
        <f ca="1">IF(DP31&gt;0,DP31*(AB32/AB31),0)</f>
        <v>#DIV/0!</v>
      </c>
      <c r="DQ32" s="47" t="e">
        <f ca="1">IF(DQ31&gt;0,DQ31*(AC32/AC31),0)</f>
        <v>#DIV/0!</v>
      </c>
      <c r="DR32" s="47" t="e">
        <f ca="1">SUM(DM32:DQ32)</f>
        <v>#DIV/0!</v>
      </c>
      <c r="DS32" s="234"/>
      <c r="DT32" s="234"/>
      <c r="EI32" s="287">
        <f>MATCH(EI31,EI3:EI14,0)</f>
        <v>1</v>
      </c>
    </row>
    <row r="33" spans="1:139" s="231" customFormat="1" ht="16.5" customHeight="1" x14ac:dyDescent="0.25">
      <c r="A33" s="232"/>
      <c r="B33" s="250"/>
      <c r="C33" s="250"/>
      <c r="D33" s="250"/>
      <c r="E33" s="232"/>
      <c r="F33" s="232"/>
      <c r="G33" s="37"/>
      <c r="H33" s="37"/>
      <c r="I33" s="84"/>
      <c r="J33" s="37"/>
      <c r="K33" s="37"/>
      <c r="L33" s="84"/>
      <c r="M33" s="232"/>
      <c r="N33" s="232"/>
      <c r="O33" s="84"/>
      <c r="P33" s="232"/>
      <c r="Q33" s="232"/>
      <c r="R33" s="232"/>
      <c r="S33" s="232"/>
      <c r="T33" s="232"/>
      <c r="U33" s="232"/>
      <c r="V33" s="232"/>
      <c r="W33" s="232"/>
      <c r="X33" s="273" t="s">
        <v>1195</v>
      </c>
      <c r="Y33" s="258">
        <f>IF($AD$32&gt;0,Y32/$AD$32,0)</f>
        <v>0</v>
      </c>
      <c r="Z33" s="258">
        <f t="shared" ref="Z33:AC33" si="95">IF($AD$32&gt;0,Z32/$AD$32,0)</f>
        <v>0</v>
      </c>
      <c r="AA33" s="258">
        <f t="shared" si="95"/>
        <v>0</v>
      </c>
      <c r="AB33" s="258">
        <f t="shared" si="95"/>
        <v>0</v>
      </c>
      <c r="AC33" s="258">
        <f t="shared" si="95"/>
        <v>0</v>
      </c>
      <c r="AD33" s="233"/>
      <c r="AE33" s="361"/>
      <c r="AF33" s="273" t="s">
        <v>1195</v>
      </c>
      <c r="AG33" s="258">
        <f>IF($AL$32&gt;0,AG32/$AL$32,0)</f>
        <v>0</v>
      </c>
      <c r="AH33" s="258">
        <f t="shared" ref="AH33:AK33" si="96">IF($AL$32&gt;0,AH32/$AL$32,0)</f>
        <v>0</v>
      </c>
      <c r="AI33" s="258">
        <f t="shared" si="96"/>
        <v>0</v>
      </c>
      <c r="AJ33" s="258">
        <f t="shared" si="96"/>
        <v>0</v>
      </c>
      <c r="AK33" s="258">
        <f t="shared" si="96"/>
        <v>0</v>
      </c>
      <c r="AL33" s="233"/>
      <c r="AM33" s="273" t="s">
        <v>1195</v>
      </c>
      <c r="AN33" s="190">
        <f>IF($AS$31&gt;0,AN31/$AS$31,0)</f>
        <v>0</v>
      </c>
      <c r="AO33" s="190">
        <f t="shared" ref="AO33:AR33" si="97">IF($AS$31&gt;0,AO31/$AS$31,0)</f>
        <v>0</v>
      </c>
      <c r="AP33" s="190">
        <f t="shared" si="97"/>
        <v>0</v>
      </c>
      <c r="AQ33" s="190">
        <f t="shared" si="97"/>
        <v>0</v>
      </c>
      <c r="AR33" s="190">
        <f t="shared" si="97"/>
        <v>0</v>
      </c>
      <c r="AS33" s="247"/>
      <c r="AT33" s="247"/>
      <c r="AU33" s="233"/>
      <c r="AV33" s="247"/>
      <c r="AW33" s="247"/>
      <c r="AX33" s="247"/>
      <c r="AY33" s="49"/>
      <c r="AZ33" s="49"/>
      <c r="BA33" s="49"/>
      <c r="BB33" s="49"/>
      <c r="BC33" s="49"/>
      <c r="BD33" s="49"/>
      <c r="BE33" s="49"/>
      <c r="BF33" s="49"/>
      <c r="BG33" s="49"/>
      <c r="BH33" s="49"/>
      <c r="BI33" s="49"/>
      <c r="BJ33" s="49"/>
      <c r="BK33" s="49"/>
      <c r="BL33" s="234"/>
      <c r="BM33" s="234"/>
      <c r="BN33" s="234"/>
      <c r="BO33" s="234"/>
      <c r="BP33" s="234"/>
      <c r="BQ33" s="234"/>
      <c r="BR33" s="234"/>
      <c r="BS33" s="234"/>
      <c r="BT33" s="234"/>
      <c r="BU33" s="234"/>
      <c r="BV33" s="234"/>
      <c r="BW33" s="234"/>
      <c r="BX33" s="234"/>
      <c r="BY33" s="234"/>
      <c r="BZ33" s="234"/>
      <c r="CA33" s="41" t="s">
        <v>1183</v>
      </c>
      <c r="CB33" s="44" t="e">
        <f ca="1">CB31-CB15</f>
        <v>#DIV/0!</v>
      </c>
      <c r="CC33" s="44" t="e">
        <f ca="1">CC31-CC15</f>
        <v>#DIV/0!</v>
      </c>
      <c r="CD33" s="44" t="e">
        <f ca="1">CD31-CD15</f>
        <v>#DIV/0!</v>
      </c>
      <c r="CE33" s="44" t="e">
        <f ca="1">CE31-CE15</f>
        <v>#DIV/0!</v>
      </c>
      <c r="CF33" s="44" t="e">
        <f ca="1">CF31-CF15</f>
        <v>#DIV/0!</v>
      </c>
      <c r="CG33" s="44" t="e">
        <f ca="1">CG31-CB15-CC15</f>
        <v>#DIV/0!</v>
      </c>
      <c r="CH33" s="184" t="e">
        <f ca="1">CG31-CG33</f>
        <v>#DIV/0!</v>
      </c>
      <c r="CI33" s="41" t="s">
        <v>1185</v>
      </c>
      <c r="CJ33" s="44" t="e">
        <f ca="1">CJ31-CJ15</f>
        <v>#DIV/0!</v>
      </c>
      <c r="CK33" s="44" t="e">
        <f ca="1">CK31-CK15</f>
        <v>#DIV/0!</v>
      </c>
      <c r="CL33" s="44" t="e">
        <f ca="1">CL31-CL15</f>
        <v>#DIV/0!</v>
      </c>
      <c r="CM33" s="44" t="e">
        <f ca="1">CM31-CM15</f>
        <v>#DIV/0!</v>
      </c>
      <c r="CN33" s="44" t="e">
        <f ca="1">CN31-CN15</f>
        <v>#DIV/0!</v>
      </c>
      <c r="CO33" s="44" t="e">
        <f ca="1">CO31-CJ15-CK15</f>
        <v>#DIV/0!</v>
      </c>
      <c r="CP33" s="184" t="e">
        <f ca="1">CO31-CO33</f>
        <v>#DIV/0!</v>
      </c>
      <c r="CQ33" s="234"/>
      <c r="CR33" s="234"/>
      <c r="CS33" s="234"/>
      <c r="CT33" s="234"/>
      <c r="CU33" s="234"/>
      <c r="CV33" s="234"/>
      <c r="CW33" s="234"/>
      <c r="CX33" s="234"/>
      <c r="CY33" s="234"/>
      <c r="CZ33" s="234"/>
      <c r="DA33" s="234"/>
      <c r="DB33" s="39"/>
      <c r="DC33" s="57" t="s">
        <v>1447</v>
      </c>
      <c r="DD33" s="47" t="e">
        <f ca="1">DD32+AG78</f>
        <v>#DIV/0!</v>
      </c>
      <c r="DE33" s="47" t="e">
        <f ca="1">DE32+AH78</f>
        <v>#DIV/0!</v>
      </c>
      <c r="DF33" s="47" t="e">
        <f ca="1">DF32+AI78</f>
        <v>#DIV/0!</v>
      </c>
      <c r="DG33" s="47" t="e">
        <f ca="1">DG32+AJ78</f>
        <v>#DIV/0!</v>
      </c>
      <c r="DH33" s="47" t="e">
        <f ca="1">DH32+AK78</f>
        <v>#DIV/0!</v>
      </c>
      <c r="DI33" s="47" t="e">
        <f ca="1">SUM(DD33:DH33)</f>
        <v>#DIV/0!</v>
      </c>
      <c r="DJ33" s="234"/>
      <c r="DK33" s="234"/>
      <c r="DL33" s="57" t="s">
        <v>1447</v>
      </c>
      <c r="DM33" s="47" t="e">
        <f ca="1">DD32+AG78</f>
        <v>#DIV/0!</v>
      </c>
      <c r="DN33" s="47" t="e">
        <f t="shared" ref="DN33:DQ33" ca="1" si="98">DE32+AH78</f>
        <v>#DIV/0!</v>
      </c>
      <c r="DO33" s="47" t="e">
        <f t="shared" ca="1" si="98"/>
        <v>#DIV/0!</v>
      </c>
      <c r="DP33" s="47" t="e">
        <f t="shared" ca="1" si="98"/>
        <v>#DIV/0!</v>
      </c>
      <c r="DQ33" s="47" t="e">
        <f t="shared" ca="1" si="98"/>
        <v>#DIV/0!</v>
      </c>
      <c r="DR33" s="47" t="e">
        <f ca="1">SUM(DM33:DQ33)</f>
        <v>#DIV/0!</v>
      </c>
      <c r="DS33" s="234"/>
      <c r="DT33" s="234"/>
    </row>
    <row r="34" spans="1:139" s="231" customFormat="1" ht="16.5" customHeight="1" x14ac:dyDescent="0.25">
      <c r="A34" s="232"/>
      <c r="B34" s="250"/>
      <c r="C34" s="250"/>
      <c r="D34" s="250"/>
      <c r="E34" s="232"/>
      <c r="F34" s="232"/>
      <c r="G34" s="37"/>
      <c r="H34" s="37"/>
      <c r="I34" s="84"/>
      <c r="J34" s="37"/>
      <c r="K34" s="37"/>
      <c r="L34" s="84"/>
      <c r="M34" s="232"/>
      <c r="N34" s="232"/>
      <c r="O34" s="84"/>
      <c r="P34" s="232"/>
      <c r="Q34" s="232"/>
      <c r="R34" s="232"/>
      <c r="S34" s="232"/>
      <c r="T34" s="232"/>
      <c r="U34" s="232"/>
      <c r="V34" s="232"/>
      <c r="W34" s="232"/>
      <c r="X34" s="236" t="s">
        <v>1378</v>
      </c>
      <c r="Y34" s="248">
        <f>(Y32-$AD$142*Y33)</f>
        <v>0</v>
      </c>
      <c r="Z34" s="248">
        <f>(Z32-$AD$142*Z33)</f>
        <v>0</v>
      </c>
      <c r="AA34" s="248">
        <f>(AA32-$AD$142*AA33)</f>
        <v>0</v>
      </c>
      <c r="AB34" s="248">
        <f>(AB32-$AD$142*AB33)</f>
        <v>0</v>
      </c>
      <c r="AC34" s="248">
        <f>(AC32-$AD$142*AC33)</f>
        <v>0</v>
      </c>
      <c r="AD34" s="248">
        <f>SUM(Y34:AC34)</f>
        <v>0</v>
      </c>
      <c r="AE34" s="361"/>
      <c r="AF34" s="236" t="s">
        <v>1378</v>
      </c>
      <c r="AG34" s="248">
        <f>(AG32-$AD$142*AG33)</f>
        <v>0</v>
      </c>
      <c r="AH34" s="248">
        <f t="shared" ref="AH34:AK34" si="99">(AH32-$AD$142*AH33)</f>
        <v>0</v>
      </c>
      <c r="AI34" s="248">
        <f t="shared" si="99"/>
        <v>0</v>
      </c>
      <c r="AJ34" s="248">
        <f t="shared" si="99"/>
        <v>0</v>
      </c>
      <c r="AK34" s="248">
        <f t="shared" si="99"/>
        <v>0</v>
      </c>
      <c r="AL34" s="248">
        <f>SUM(AG34:AK34)</f>
        <v>0</v>
      </c>
      <c r="AM34" s="247"/>
      <c r="AN34" s="233"/>
      <c r="AO34" s="247"/>
      <c r="AP34" s="247"/>
      <c r="AQ34" s="247"/>
      <c r="AR34" s="247"/>
      <c r="AS34" s="247"/>
      <c r="AT34" s="247"/>
      <c r="AU34" s="233"/>
      <c r="AV34" s="247"/>
      <c r="AW34" s="247"/>
      <c r="AX34" s="247"/>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41" t="s">
        <v>1195</v>
      </c>
      <c r="DD34" s="80" t="e">
        <f ca="1">IF($DI$33&gt;0,DD33/$DI$33,0)</f>
        <v>#DIV/0!</v>
      </c>
      <c r="DE34" s="80" t="e">
        <f ca="1">IF($DI$33&gt;0,DE33/$DI$33,0)</f>
        <v>#DIV/0!</v>
      </c>
      <c r="DF34" s="80" t="e">
        <f t="shared" ref="DF34:DG34" ca="1" si="100">IF($DI$33&gt;0,DF33/$DI$33,0)</f>
        <v>#DIV/0!</v>
      </c>
      <c r="DG34" s="80" t="e">
        <f t="shared" ca="1" si="100"/>
        <v>#DIV/0!</v>
      </c>
      <c r="DH34" s="80" t="e">
        <f ca="1">IF($DI$33&gt;0,DH33/$DI$33,0)</f>
        <v>#DIV/0!</v>
      </c>
      <c r="DI34" s="185"/>
      <c r="DJ34" s="234"/>
      <c r="DK34" s="234"/>
      <c r="DL34" s="41" t="s">
        <v>1195</v>
      </c>
      <c r="DM34" s="186" t="e">
        <f ca="1">IF(DR33&gt;0,DM33/$DR$33,0)</f>
        <v>#DIV/0!</v>
      </c>
      <c r="DN34" s="186">
        <f t="shared" ref="DN34:DQ34" si="101">IF(DS33&gt;0,DN33/$DR$33,0)</f>
        <v>0</v>
      </c>
      <c r="DO34" s="186">
        <f t="shared" si="101"/>
        <v>0</v>
      </c>
      <c r="DP34" s="186">
        <f t="shared" si="101"/>
        <v>0</v>
      </c>
      <c r="DQ34" s="186">
        <f t="shared" si="101"/>
        <v>0</v>
      </c>
      <c r="DR34" s="185"/>
      <c r="DS34" s="234"/>
      <c r="DT34" s="234"/>
    </row>
    <row r="35" spans="1:139" s="231" customFormat="1" ht="18" customHeight="1" x14ac:dyDescent="0.25">
      <c r="A35" s="232"/>
      <c r="B35" s="232"/>
      <c r="C35" s="232"/>
      <c r="D35" s="232"/>
      <c r="E35" s="232"/>
      <c r="F35" s="250"/>
      <c r="G35" s="37"/>
      <c r="H35" s="37"/>
      <c r="I35" s="37"/>
      <c r="J35" s="37"/>
      <c r="K35" s="37"/>
      <c r="L35" s="37"/>
      <c r="M35" s="232"/>
      <c r="N35" s="232"/>
      <c r="O35" s="232"/>
      <c r="P35" s="232"/>
      <c r="Q35" s="232"/>
      <c r="R35" s="232"/>
      <c r="S35" s="232"/>
      <c r="T35" s="232"/>
      <c r="U35" s="232"/>
      <c r="V35" s="232"/>
      <c r="W35" s="232"/>
      <c r="X35" s="236" t="s">
        <v>1379</v>
      </c>
      <c r="Y35" s="248">
        <f>(Y34-($AF$142+$AH$142)*Y33)</f>
        <v>0</v>
      </c>
      <c r="Z35" s="248">
        <f>(Z34-($AF$142+$AH$142)*Z33)</f>
        <v>0</v>
      </c>
      <c r="AA35" s="248">
        <f>(AA34-($AF$142+$AH$142)*AA33)</f>
        <v>0</v>
      </c>
      <c r="AB35" s="248">
        <f>(AB34-($AF$142+$AH$142)*AB33)</f>
        <v>0</v>
      </c>
      <c r="AC35" s="248">
        <f>(AC34-($AF$142+$AH$142)*AC33)</f>
        <v>0</v>
      </c>
      <c r="AD35" s="256">
        <f>SUM(Y35:AC35)</f>
        <v>0</v>
      </c>
      <c r="AE35" s="361"/>
      <c r="AF35" s="236" t="s">
        <v>1379</v>
      </c>
      <c r="AG35" s="248">
        <f>(AG34-($AF$142+$AH$142)*AG33)</f>
        <v>0</v>
      </c>
      <c r="AH35" s="248">
        <f>(AH34-($AF$142+$AH$142)*AH33)</f>
        <v>0</v>
      </c>
      <c r="AI35" s="248">
        <f t="shared" ref="AI35:AK35" si="102">(AI34-($AF$142+$AH$142)*AI33)</f>
        <v>0</v>
      </c>
      <c r="AJ35" s="248">
        <f t="shared" si="102"/>
        <v>0</v>
      </c>
      <c r="AK35" s="248">
        <f t="shared" si="102"/>
        <v>0</v>
      </c>
      <c r="AL35" s="256">
        <f>SUM(AG35:AK35)</f>
        <v>0</v>
      </c>
      <c r="AM35" s="247"/>
      <c r="AN35" s="247"/>
      <c r="AO35" s="247"/>
      <c r="AP35" s="247"/>
      <c r="AQ35" s="247"/>
      <c r="AR35" s="247"/>
      <c r="AS35" s="247"/>
      <c r="AT35" s="247"/>
      <c r="AU35" s="247"/>
      <c r="AV35" s="247"/>
      <c r="AW35" s="247"/>
      <c r="AX35" s="247"/>
      <c r="AY35" s="234"/>
      <c r="AZ35" s="234"/>
      <c r="BA35" s="45"/>
      <c r="BB35" s="290" t="s">
        <v>1392</v>
      </c>
      <c r="BC35" s="234"/>
      <c r="BD35" s="234"/>
      <c r="BE35" s="234"/>
      <c r="BF35" s="234"/>
      <c r="BG35" s="234"/>
      <c r="BH35" s="234"/>
      <c r="BI35" s="290"/>
      <c r="BJ35" s="234"/>
      <c r="BK35" s="290" t="s">
        <v>1393</v>
      </c>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41" t="s">
        <v>1378</v>
      </c>
      <c r="DD35" s="47" t="e">
        <f ca="1">(DD33-$AD$142*DD34)</f>
        <v>#DIV/0!</v>
      </c>
      <c r="DE35" s="47" t="e">
        <f t="shared" ref="DE35:DH35" ca="1" si="103">(DE33-$AD$142*DE34)</f>
        <v>#DIV/0!</v>
      </c>
      <c r="DF35" s="47" t="e">
        <f t="shared" ca="1" si="103"/>
        <v>#DIV/0!</v>
      </c>
      <c r="DG35" s="47" t="e">
        <f t="shared" ca="1" si="103"/>
        <v>#DIV/0!</v>
      </c>
      <c r="DH35" s="47" t="e">
        <f t="shared" ca="1" si="103"/>
        <v>#DIV/0!</v>
      </c>
      <c r="DI35" s="47" t="e">
        <f ca="1">SUM(DD35:DH35)</f>
        <v>#DIV/0!</v>
      </c>
      <c r="DJ35" s="234"/>
      <c r="DK35" s="234"/>
      <c r="DL35" s="291" t="s">
        <v>1450</v>
      </c>
      <c r="DM35" s="47" t="e">
        <f ca="1">DM33</f>
        <v>#DIV/0!</v>
      </c>
      <c r="DN35" s="47" t="e">
        <f t="shared" ref="DN35:DQ35" ca="1" si="104">DN33</f>
        <v>#DIV/0!</v>
      </c>
      <c r="DO35" s="47" t="e">
        <f t="shared" ca="1" si="104"/>
        <v>#DIV/0!</v>
      </c>
      <c r="DP35" s="47" t="e">
        <f t="shared" ca="1" si="104"/>
        <v>#DIV/0!</v>
      </c>
      <c r="DQ35" s="47" t="e">
        <f t="shared" ca="1" si="104"/>
        <v>#DIV/0!</v>
      </c>
      <c r="DR35" s="47" t="e">
        <f t="shared" ref="DR35:DR37" ca="1" si="105">SUM(DM35:DQ35)</f>
        <v>#DIV/0!</v>
      </c>
      <c r="DS35" s="234"/>
      <c r="DT35" s="234"/>
      <c r="EI35" s="253" t="str">
        <f>G81</f>
        <v>jan</v>
      </c>
    </row>
    <row r="36" spans="1:139" s="231" customFormat="1" ht="15.75" customHeight="1" thickBot="1" x14ac:dyDescent="0.3">
      <c r="A36" s="232"/>
      <c r="B36" s="382">
        <v>2</v>
      </c>
      <c r="C36" s="383" t="s">
        <v>1258</v>
      </c>
      <c r="D36" s="384"/>
      <c r="E36" s="385"/>
      <c r="F36" s="384"/>
      <c r="G36" s="384"/>
      <c r="H36" s="384"/>
      <c r="I36" s="384"/>
      <c r="J36" s="384"/>
      <c r="K36" s="384"/>
      <c r="L36" s="384"/>
      <c r="M36" s="385"/>
      <c r="N36" s="385"/>
      <c r="O36" s="385"/>
      <c r="P36" s="385"/>
      <c r="Q36" s="385"/>
      <c r="R36" s="385"/>
      <c r="S36" s="385"/>
      <c r="T36" s="385"/>
      <c r="U36" s="385"/>
      <c r="V36" s="385"/>
      <c r="W36" s="386"/>
      <c r="X36" s="236" t="s">
        <v>1380</v>
      </c>
      <c r="Y36" s="259">
        <f>IF(Y33&gt;0,Y35/(Y32/Y31),0)</f>
        <v>0</v>
      </c>
      <c r="Z36" s="259">
        <f t="shared" ref="Z36:AC36" si="106">IF(Z33&gt;0,Z35/(Z32/Z31),0)</f>
        <v>0</v>
      </c>
      <c r="AA36" s="259">
        <f t="shared" si="106"/>
        <v>0</v>
      </c>
      <c r="AB36" s="259">
        <f t="shared" si="106"/>
        <v>0</v>
      </c>
      <c r="AC36" s="259">
        <f t="shared" si="106"/>
        <v>0</v>
      </c>
      <c r="AD36" s="91">
        <f>SUM(Y36:AC36)</f>
        <v>0</v>
      </c>
      <c r="AE36" s="361"/>
      <c r="AF36" s="236" t="s">
        <v>1380</v>
      </c>
      <c r="AG36" s="259">
        <f>IF(AG33&gt;0,AG35/(AG32/AG31),0)</f>
        <v>0</v>
      </c>
      <c r="AH36" s="259">
        <f t="shared" ref="AH36:AK36" si="107">IF(AH33&gt;0,AH35/(AH32/AH31),0)</f>
        <v>0</v>
      </c>
      <c r="AI36" s="259">
        <f t="shared" si="107"/>
        <v>0</v>
      </c>
      <c r="AJ36" s="259">
        <f t="shared" si="107"/>
        <v>0</v>
      </c>
      <c r="AK36" s="259">
        <f t="shared" si="107"/>
        <v>0</v>
      </c>
      <c r="AL36" s="91">
        <f>SUM(AG36:AK36)</f>
        <v>0</v>
      </c>
      <c r="AM36" s="233"/>
      <c r="AN36" s="233"/>
      <c r="AO36" s="233"/>
      <c r="AP36" s="233"/>
      <c r="AQ36" s="233"/>
      <c r="AR36" s="233"/>
      <c r="AS36" s="233"/>
      <c r="AT36" s="233"/>
      <c r="AU36" s="233"/>
      <c r="AV36" s="233"/>
      <c r="AW36" s="233"/>
      <c r="AX36" s="233"/>
      <c r="AY36" s="234"/>
      <c r="AZ36" s="234"/>
      <c r="BA36" s="234"/>
      <c r="BB36" s="38" t="s">
        <v>1199</v>
      </c>
      <c r="BC36" s="234"/>
      <c r="BD36" s="234"/>
      <c r="BE36" s="234"/>
      <c r="BF36" s="234"/>
      <c r="BG36" s="234"/>
      <c r="BH36" s="234"/>
      <c r="BI36" s="38"/>
      <c r="BJ36" s="234"/>
      <c r="BK36" s="38" t="s">
        <v>1199</v>
      </c>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41" t="s">
        <v>1394</v>
      </c>
      <c r="DD36" s="85" t="e">
        <f ca="1">(DD35-($AF$142)*DD34)</f>
        <v>#DIV/0!</v>
      </c>
      <c r="DE36" s="85" t="e">
        <f ca="1">(DE35-($AF$142)*DE34)</f>
        <v>#DIV/0!</v>
      </c>
      <c r="DF36" s="85" t="e">
        <f ca="1">(DF35-($AF$142)*DF34)</f>
        <v>#DIV/0!</v>
      </c>
      <c r="DG36" s="85" t="e">
        <f t="shared" ref="DG36:DH36" ca="1" si="108">(DG35-($AF$142)*DG34)</f>
        <v>#DIV/0!</v>
      </c>
      <c r="DH36" s="85" t="e">
        <f t="shared" ca="1" si="108"/>
        <v>#DIV/0!</v>
      </c>
      <c r="DI36" s="85" t="e">
        <f ca="1">SUM(DD36:DH36)</f>
        <v>#DIV/0!</v>
      </c>
      <c r="DJ36" s="234"/>
      <c r="DK36" s="234"/>
      <c r="DL36" s="41" t="s">
        <v>1394</v>
      </c>
      <c r="DM36" s="85" t="e">
        <f ca="1">(DM35-($AF$142)*DM34)</f>
        <v>#DIV/0!</v>
      </c>
      <c r="DN36" s="85" t="e">
        <f t="shared" ref="DN36:DQ36" ca="1" si="109">(DN35-($AF$142)*DN34)</f>
        <v>#DIV/0!</v>
      </c>
      <c r="DO36" s="85" t="e">
        <f t="shared" ca="1" si="109"/>
        <v>#DIV/0!</v>
      </c>
      <c r="DP36" s="85" t="e">
        <f t="shared" ca="1" si="109"/>
        <v>#DIV/0!</v>
      </c>
      <c r="DQ36" s="85" t="e">
        <f t="shared" ca="1" si="109"/>
        <v>#DIV/0!</v>
      </c>
      <c r="DR36" s="85" t="e">
        <f t="shared" ca="1" si="105"/>
        <v>#DIV/0!</v>
      </c>
      <c r="DS36" s="234"/>
      <c r="DT36" s="234"/>
      <c r="EI36" s="253">
        <f>MATCH(EI35,EI3:EI14,0)</f>
        <v>1</v>
      </c>
    </row>
    <row r="37" spans="1:139" s="231" customFormat="1" ht="16.5" customHeight="1" thickBot="1" x14ac:dyDescent="0.3">
      <c r="B37" s="209"/>
      <c r="C37" s="48"/>
      <c r="D37" s="251"/>
      <c r="E37" s="250"/>
      <c r="F37" s="37"/>
      <c r="G37" s="37"/>
      <c r="H37" s="37"/>
      <c r="I37" s="37"/>
      <c r="J37" s="37"/>
      <c r="K37" s="37"/>
      <c r="L37" s="37"/>
      <c r="M37" s="232"/>
      <c r="N37" s="232"/>
      <c r="O37" s="232"/>
      <c r="P37" s="232"/>
      <c r="Q37" s="232"/>
      <c r="R37" s="232"/>
      <c r="S37" s="232"/>
      <c r="T37" s="232"/>
      <c r="U37" s="232"/>
      <c r="V37" s="232"/>
      <c r="W37" s="232"/>
      <c r="X37" s="236" t="s">
        <v>1381</v>
      </c>
      <c r="Y37" s="248">
        <f>Y36</f>
        <v>0</v>
      </c>
      <c r="Z37" s="248">
        <f>Z36-$Z$142</f>
        <v>0</v>
      </c>
      <c r="AA37" s="248">
        <f>AA36</f>
        <v>0</v>
      </c>
      <c r="AB37" s="248">
        <f>AB36</f>
        <v>0</v>
      </c>
      <c r="AC37" s="263">
        <f>AC36</f>
        <v>0</v>
      </c>
      <c r="AD37" s="248">
        <f>SUM(Y37:AC37)</f>
        <v>0</v>
      </c>
      <c r="AE37" s="361"/>
      <c r="AF37" s="236" t="s">
        <v>1381</v>
      </c>
      <c r="AG37" s="248">
        <f>AG36</f>
        <v>0</v>
      </c>
      <c r="AH37" s="248">
        <f>AH36-$Z$142</f>
        <v>0</v>
      </c>
      <c r="AI37" s="248">
        <f>AI36</f>
        <v>0</v>
      </c>
      <c r="AJ37" s="248">
        <f>AJ36</f>
        <v>0</v>
      </c>
      <c r="AK37" s="248">
        <f>AK36</f>
        <v>0</v>
      </c>
      <c r="AL37" s="260">
        <f>SUM(AG37:AK37)</f>
        <v>0</v>
      </c>
      <c r="AM37" s="233"/>
      <c r="AN37" s="233"/>
      <c r="AO37" s="233"/>
      <c r="AP37" s="233"/>
      <c r="AQ37" s="233"/>
      <c r="AR37" s="233"/>
      <c r="AS37" s="233"/>
      <c r="AT37" s="233"/>
      <c r="AU37" s="233"/>
      <c r="AV37" s="233"/>
      <c r="AW37" s="233"/>
      <c r="AX37" s="233"/>
      <c r="AY37" s="234"/>
      <c r="AZ37" s="234"/>
      <c r="BA37" s="234"/>
      <c r="BB37" s="234"/>
      <c r="BC37" s="234"/>
      <c r="BD37" s="234"/>
      <c r="BE37" s="234"/>
      <c r="BF37" s="234"/>
      <c r="BG37" s="234"/>
      <c r="BH37" s="234"/>
      <c r="BI37" s="234"/>
      <c r="BJ37" s="234"/>
      <c r="BK37" s="234"/>
      <c r="BL37" s="234"/>
      <c r="BM37" s="234"/>
      <c r="BN37" s="234"/>
      <c r="BO37" s="234"/>
      <c r="BP37" s="234"/>
      <c r="BQ37" s="234"/>
      <c r="BR37" s="234"/>
      <c r="BS37" s="234"/>
      <c r="BT37" s="234"/>
      <c r="BU37" s="234"/>
      <c r="BV37" s="234"/>
      <c r="BW37" s="234"/>
      <c r="BX37" s="234"/>
      <c r="BY37" s="234"/>
      <c r="BZ37" s="234"/>
      <c r="CA37" s="234"/>
      <c r="CB37" s="234"/>
      <c r="CC37" s="234"/>
      <c r="CD37" s="234"/>
      <c r="CE37" s="234"/>
      <c r="CF37" s="234"/>
      <c r="CG37" s="234"/>
      <c r="CH37" s="234"/>
      <c r="CI37" s="234"/>
      <c r="CJ37" s="234"/>
      <c r="CK37" s="234"/>
      <c r="CL37" s="234"/>
      <c r="CM37" s="234"/>
      <c r="CN37" s="234"/>
      <c r="CO37" s="234"/>
      <c r="CP37" s="234"/>
      <c r="CQ37" s="234"/>
      <c r="CR37" s="234"/>
      <c r="CS37" s="234"/>
      <c r="CT37" s="234"/>
      <c r="CU37" s="234"/>
      <c r="CV37" s="234"/>
      <c r="CW37" s="234"/>
      <c r="CX37" s="234"/>
      <c r="CY37" s="234"/>
      <c r="CZ37" s="234"/>
      <c r="DA37" s="234"/>
      <c r="DB37" s="234"/>
      <c r="DC37" s="41" t="s">
        <v>1296</v>
      </c>
      <c r="DD37" s="47" t="e">
        <f ca="1">IF(DD36&gt;0,DD36/(AG32/AG31),0)</f>
        <v>#DIV/0!</v>
      </c>
      <c r="DE37" s="47" t="e">
        <f ca="1">IF(DE36&gt;0,DE36/(AH32/AH31),0)</f>
        <v>#DIV/0!</v>
      </c>
      <c r="DF37" s="47" t="e">
        <f t="shared" ref="DF37:DH37" ca="1" si="110">IF(DF36&gt;0,DF36/(AI32/AI31),0)</f>
        <v>#DIV/0!</v>
      </c>
      <c r="DG37" s="47" t="e">
        <f t="shared" ca="1" si="110"/>
        <v>#DIV/0!</v>
      </c>
      <c r="DH37" s="47" t="e">
        <f t="shared" ca="1" si="110"/>
        <v>#DIV/0!</v>
      </c>
      <c r="DI37" s="85" t="e">
        <f ca="1">SUM(DD37:DH37)</f>
        <v>#DIV/0!</v>
      </c>
      <c r="DJ37" s="234"/>
      <c r="DK37" s="234"/>
      <c r="DL37" s="41" t="s">
        <v>1296</v>
      </c>
      <c r="DM37" s="47" t="e">
        <f ca="1">IF(DM36&gt;0,DM36/(AG32/AG31),0)</f>
        <v>#DIV/0!</v>
      </c>
      <c r="DN37" s="47" t="e">
        <f t="shared" ref="DN37:DQ37" ca="1" si="111">IF(DN36&gt;0,DN36/(AH32/AH31),0)</f>
        <v>#DIV/0!</v>
      </c>
      <c r="DO37" s="47" t="e">
        <f t="shared" ca="1" si="111"/>
        <v>#DIV/0!</v>
      </c>
      <c r="DP37" s="47" t="e">
        <f t="shared" ca="1" si="111"/>
        <v>#DIV/0!</v>
      </c>
      <c r="DQ37" s="47" t="e">
        <f t="shared" ca="1" si="111"/>
        <v>#DIV/0!</v>
      </c>
      <c r="DR37" s="85" t="e">
        <f t="shared" ca="1" si="105"/>
        <v>#DIV/0!</v>
      </c>
      <c r="DS37" s="234"/>
      <c r="DT37" s="234"/>
    </row>
    <row r="38" spans="1:139" s="231" customFormat="1" ht="16.5" customHeight="1" x14ac:dyDescent="0.25">
      <c r="B38" s="232"/>
      <c r="C38" s="213" t="s">
        <v>1251</v>
      </c>
      <c r="D38" s="37"/>
      <c r="E38" s="232"/>
      <c r="F38" s="92"/>
      <c r="G38" s="232"/>
      <c r="H38" s="232"/>
      <c r="I38" s="92"/>
      <c r="J38" s="232"/>
      <c r="K38" s="232"/>
      <c r="L38" s="92"/>
      <c r="M38" s="232"/>
      <c r="N38" s="232"/>
      <c r="O38" s="92"/>
      <c r="P38" s="232"/>
      <c r="Q38" s="232"/>
      <c r="R38" s="232"/>
      <c r="S38" s="232"/>
      <c r="T38" s="232"/>
      <c r="U38" s="232"/>
      <c r="V38" s="232"/>
      <c r="W38" s="232"/>
      <c r="X38" s="233"/>
      <c r="Y38" s="258"/>
      <c r="Z38" s="258"/>
      <c r="AA38" s="258"/>
      <c r="AB38" s="258"/>
      <c r="AC38" s="258"/>
      <c r="AD38" s="258"/>
      <c r="AE38" s="361"/>
      <c r="AF38" s="233"/>
      <c r="AG38" s="233"/>
      <c r="AH38" s="233"/>
      <c r="AI38" s="233"/>
      <c r="AJ38" s="233"/>
      <c r="AK38" s="233"/>
      <c r="AL38" s="233"/>
      <c r="AM38" s="276"/>
      <c r="AN38" s="233"/>
      <c r="AO38" s="233"/>
      <c r="AP38" s="233"/>
      <c r="AQ38" s="233"/>
      <c r="AR38" s="233"/>
      <c r="AS38" s="233"/>
      <c r="AT38" s="233"/>
      <c r="AU38" s="354"/>
      <c r="AV38" s="233"/>
      <c r="AW38" s="233"/>
      <c r="AX38" s="233"/>
      <c r="AY38" s="234"/>
      <c r="AZ38" s="234"/>
      <c r="BA38" s="234"/>
      <c r="BB38" s="38" t="s">
        <v>1106</v>
      </c>
      <c r="BC38" s="234"/>
      <c r="BD38" s="234"/>
      <c r="BE38" s="234"/>
      <c r="BF38" s="234"/>
      <c r="BG38" s="234"/>
      <c r="BH38" s="234"/>
      <c r="BI38" s="234"/>
      <c r="BJ38" s="234"/>
      <c r="BK38" s="38" t="s">
        <v>1106</v>
      </c>
      <c r="BL38" s="234"/>
      <c r="BM38" s="234"/>
      <c r="BN38" s="234"/>
      <c r="BO38" s="234"/>
      <c r="BP38" s="234"/>
      <c r="BQ38" s="234"/>
      <c r="BR38" s="234"/>
      <c r="BS38" s="234"/>
      <c r="BT38" s="234"/>
      <c r="BU38" s="234"/>
      <c r="BV38" s="234"/>
      <c r="BW38" s="234"/>
      <c r="BX38" s="234"/>
      <c r="BY38" s="234"/>
      <c r="BZ38" s="234"/>
      <c r="CA38" s="234"/>
      <c r="CB38" s="234"/>
      <c r="CC38" s="234"/>
      <c r="CD38" s="234"/>
      <c r="CE38" s="234"/>
      <c r="CF38" s="234"/>
      <c r="CG38" s="234"/>
      <c r="CH38" s="234"/>
      <c r="CI38" s="234"/>
      <c r="CJ38" s="234"/>
      <c r="CK38" s="234"/>
      <c r="CL38" s="234"/>
      <c r="CM38" s="234"/>
      <c r="CN38" s="234"/>
      <c r="CO38" s="234"/>
      <c r="CP38" s="234"/>
      <c r="CQ38" s="234"/>
      <c r="CR38" s="234"/>
      <c r="CS38" s="234"/>
      <c r="CT38" s="234"/>
      <c r="CU38" s="234"/>
      <c r="CV38" s="234"/>
      <c r="CW38" s="234"/>
      <c r="CX38" s="234"/>
      <c r="CY38" s="31"/>
      <c r="CZ38" s="234"/>
      <c r="DA38" s="234"/>
      <c r="DB38" s="234"/>
      <c r="DC38" s="41" t="s">
        <v>1384</v>
      </c>
      <c r="DD38" s="47" t="e">
        <f ca="1">DD37</f>
        <v>#DIV/0!</v>
      </c>
      <c r="DE38" s="47" t="e">
        <f ca="1">DE37+$AO$117</f>
        <v>#DIV/0!</v>
      </c>
      <c r="DF38" s="47" t="e">
        <f ca="1">DF37</f>
        <v>#DIV/0!</v>
      </c>
      <c r="DG38" s="47" t="e">
        <f t="shared" ref="DG38:DH38" ca="1" si="112">DG37</f>
        <v>#DIV/0!</v>
      </c>
      <c r="DH38" s="47" t="e">
        <f t="shared" ca="1" si="112"/>
        <v>#DIV/0!</v>
      </c>
      <c r="DI38" s="47" t="e">
        <f ca="1">SUM(DD38:DH38)</f>
        <v>#DIV/0!</v>
      </c>
      <c r="DJ38" s="234"/>
      <c r="DK38" s="234"/>
      <c r="DL38" s="41" t="s">
        <v>1384</v>
      </c>
      <c r="DM38" s="85" t="e">
        <f ca="1">DM37</f>
        <v>#DIV/0!</v>
      </c>
      <c r="DN38" s="47" t="e">
        <f ca="1">DN37+$AO$117</f>
        <v>#DIV/0!</v>
      </c>
      <c r="DO38" s="85" t="e">
        <f ca="1">DO37</f>
        <v>#DIV/0!</v>
      </c>
      <c r="DP38" s="85" t="e">
        <f ca="1">DP37</f>
        <v>#DIV/0!</v>
      </c>
      <c r="DQ38" s="85" t="e">
        <f ca="1">DQ37</f>
        <v>#DIV/0!</v>
      </c>
      <c r="DR38" s="85" t="e">
        <f ca="1">SUM(DM38:DQ38)</f>
        <v>#DIV/0!</v>
      </c>
      <c r="DS38" s="234"/>
      <c r="DT38" s="234"/>
    </row>
    <row r="39" spans="1:139" s="231" customFormat="1" ht="15.75" customHeight="1" thickBot="1" x14ac:dyDescent="0.3">
      <c r="A39" s="232"/>
      <c r="B39" s="232"/>
      <c r="D39" s="232"/>
      <c r="E39" s="232"/>
      <c r="F39" s="505" t="s">
        <v>1138</v>
      </c>
      <c r="G39" s="505"/>
      <c r="H39" s="232"/>
      <c r="I39" s="238" t="s">
        <v>1047</v>
      </c>
      <c r="J39" s="232"/>
      <c r="K39" s="232"/>
      <c r="L39" s="238" t="s">
        <v>1048</v>
      </c>
      <c r="M39" s="232"/>
      <c r="N39" s="232"/>
      <c r="O39" s="238" t="s">
        <v>1049</v>
      </c>
      <c r="P39" s="232"/>
      <c r="Q39" s="232"/>
      <c r="R39" s="232"/>
      <c r="S39" s="232"/>
      <c r="T39" s="232"/>
      <c r="U39" s="232"/>
      <c r="V39" s="232"/>
      <c r="W39" s="232"/>
      <c r="X39" s="245"/>
      <c r="Y39" s="245"/>
      <c r="Z39" s="245"/>
      <c r="AA39" s="245"/>
      <c r="AB39" s="245"/>
      <c r="AC39" s="245"/>
      <c r="AD39" s="245"/>
      <c r="AE39" s="233"/>
      <c r="AF39" s="159"/>
      <c r="AG39" s="247"/>
      <c r="AH39" s="247"/>
      <c r="AI39" s="247"/>
      <c r="AJ39" s="247"/>
      <c r="AK39" s="247"/>
      <c r="AL39" s="233"/>
      <c r="AM39" s="276"/>
      <c r="AN39" s="276"/>
      <c r="AO39" s="233"/>
      <c r="AP39" s="233"/>
      <c r="AQ39" s="233"/>
      <c r="AR39" s="233"/>
      <c r="AS39" s="233"/>
      <c r="AT39" s="233"/>
      <c r="AU39" s="233"/>
      <c r="AV39" s="233"/>
      <c r="AW39" s="233"/>
      <c r="AX39" s="233"/>
      <c r="AY39" s="234"/>
      <c r="AZ39" s="234"/>
      <c r="BA39" s="41" t="s">
        <v>1093</v>
      </c>
      <c r="BB39" s="52" t="s">
        <v>14</v>
      </c>
      <c r="BC39" s="52" t="s">
        <v>1085</v>
      </c>
      <c r="BD39" s="52" t="s">
        <v>1100</v>
      </c>
      <c r="BE39" s="52" t="s">
        <v>1096</v>
      </c>
      <c r="BF39" s="52" t="s">
        <v>1097</v>
      </c>
      <c r="BG39" s="39"/>
      <c r="BH39" s="234"/>
      <c r="BI39" s="234"/>
      <c r="BJ39" s="41" t="s">
        <v>1093</v>
      </c>
      <c r="BK39" s="52" t="s">
        <v>14</v>
      </c>
      <c r="BL39" s="52" t="s">
        <v>1085</v>
      </c>
      <c r="BM39" s="52" t="s">
        <v>1100</v>
      </c>
      <c r="BN39" s="52" t="s">
        <v>1096</v>
      </c>
      <c r="BO39" s="52" t="s">
        <v>1097</v>
      </c>
      <c r="BP39" s="39"/>
      <c r="BQ39" s="234"/>
      <c r="BR39" s="234"/>
      <c r="BS39" s="234"/>
      <c r="BT39" s="234"/>
      <c r="BU39" s="234"/>
      <c r="BV39" s="234"/>
      <c r="BW39" s="234"/>
      <c r="BX39" s="234"/>
      <c r="BY39" s="234"/>
      <c r="BZ39" s="234"/>
      <c r="CA39" s="234"/>
      <c r="CB39" s="234"/>
      <c r="CC39" s="234"/>
      <c r="CD39" s="234"/>
      <c r="CE39" s="234"/>
      <c r="CF39" s="234"/>
      <c r="CG39" s="234"/>
      <c r="CH39" s="234"/>
      <c r="CI39" s="234"/>
      <c r="CJ39" s="234"/>
      <c r="CK39" s="234"/>
      <c r="CL39" s="234"/>
      <c r="CM39" s="234"/>
      <c r="CN39" s="234"/>
      <c r="CO39" s="234"/>
      <c r="CP39" s="234"/>
      <c r="CQ39" s="234"/>
      <c r="CR39" s="234"/>
      <c r="CS39" s="234"/>
      <c r="CT39" s="234"/>
      <c r="CU39" s="234"/>
      <c r="CV39" s="234"/>
      <c r="CW39" s="234"/>
      <c r="CX39" s="234"/>
      <c r="CY39" s="31"/>
      <c r="CZ39" s="234"/>
      <c r="DA39" s="234"/>
      <c r="DB39" s="234"/>
      <c r="DC39" s="41" t="s">
        <v>1381</v>
      </c>
      <c r="DD39" s="85" t="e">
        <f ca="1">DD38</f>
        <v>#DIV/0!</v>
      </c>
      <c r="DE39" s="85" t="e">
        <f ca="1">DE38-$Z$142</f>
        <v>#DIV/0!</v>
      </c>
      <c r="DF39" s="85" t="e">
        <f ca="1">DF38</f>
        <v>#DIV/0!</v>
      </c>
      <c r="DG39" s="85" t="e">
        <f ca="1">DG38</f>
        <v>#DIV/0!</v>
      </c>
      <c r="DH39" s="85" t="e">
        <f ca="1">DH38</f>
        <v>#DIV/0!</v>
      </c>
      <c r="DI39" s="85" t="e">
        <f ca="1">SUM(DD39:DH39)</f>
        <v>#DIV/0!</v>
      </c>
      <c r="DJ39" s="234"/>
      <c r="DK39" s="234"/>
      <c r="DL39" s="291" t="s">
        <v>1451</v>
      </c>
      <c r="DM39" s="85" t="e">
        <f ca="1">DM38</f>
        <v>#DIV/0!</v>
      </c>
      <c r="DN39" s="85" t="e">
        <f t="shared" ref="DN39:DQ40" ca="1" si="113">DN38</f>
        <v>#DIV/0!</v>
      </c>
      <c r="DO39" s="85" t="e">
        <f t="shared" ca="1" si="113"/>
        <v>#DIV/0!</v>
      </c>
      <c r="DP39" s="85" t="e">
        <f t="shared" ca="1" si="113"/>
        <v>#DIV/0!</v>
      </c>
      <c r="DQ39" s="85" t="e">
        <f t="shared" ca="1" si="113"/>
        <v>#DIV/0!</v>
      </c>
      <c r="DR39" s="89" t="e">
        <f ca="1">SUM(DM39:DQ39)</f>
        <v>#DIV/0!</v>
      </c>
      <c r="DS39" s="234"/>
      <c r="DT39" s="234"/>
      <c r="EI39" s="253" t="str">
        <f>G104</f>
        <v>jan</v>
      </c>
    </row>
    <row r="40" spans="1:139" s="231" customFormat="1" ht="16.5" customHeight="1" thickBot="1" x14ac:dyDescent="0.3">
      <c r="A40" s="232"/>
      <c r="B40" s="232"/>
      <c r="C40" s="53" t="s">
        <v>1050</v>
      </c>
      <c r="D40" s="372">
        <v>1</v>
      </c>
      <c r="E40" s="232"/>
      <c r="F40" s="54" t="s">
        <v>9</v>
      </c>
      <c r="G40" s="375">
        <f>$G$14</f>
        <v>2017</v>
      </c>
      <c r="H40" s="37"/>
      <c r="I40" s="55" t="s">
        <v>1208</v>
      </c>
      <c r="J40" s="368" t="s">
        <v>14</v>
      </c>
      <c r="K40" s="37"/>
      <c r="L40" s="55" t="s">
        <v>1208</v>
      </c>
      <c r="M40" s="368" t="s">
        <v>15</v>
      </c>
      <c r="N40" s="37"/>
      <c r="O40" s="55" t="s">
        <v>1208</v>
      </c>
      <c r="P40" s="368" t="s">
        <v>1053</v>
      </c>
      <c r="Q40" s="37"/>
      <c r="R40" s="37"/>
      <c r="S40" s="37"/>
      <c r="T40" s="37"/>
      <c r="U40" s="37"/>
      <c r="V40" s="37"/>
      <c r="W40" s="232"/>
      <c r="X40" s="245"/>
      <c r="Y40" s="245"/>
      <c r="Z40" s="245"/>
      <c r="AA40" s="245"/>
      <c r="AB40" s="245"/>
      <c r="AC40" s="245"/>
      <c r="AD40" s="245"/>
      <c r="AE40" s="233"/>
      <c r="AF40" s="159"/>
      <c r="AG40" s="247"/>
      <c r="AH40" s="247"/>
      <c r="AI40" s="247"/>
      <c r="AJ40" s="247"/>
      <c r="AK40" s="247"/>
      <c r="AL40" s="233"/>
      <c r="AM40" s="276"/>
      <c r="AN40" s="244" t="s">
        <v>1250</v>
      </c>
      <c r="AO40" s="233"/>
      <c r="AP40" s="233"/>
      <c r="AQ40" s="233"/>
      <c r="AR40" s="233"/>
      <c r="AS40" s="233"/>
      <c r="AT40" s="233"/>
      <c r="AU40" s="233"/>
      <c r="AV40" s="233"/>
      <c r="AW40" s="233"/>
      <c r="AX40" s="233"/>
      <c r="AY40" s="58"/>
      <c r="AZ40" s="234"/>
      <c r="BA40" s="41" t="s">
        <v>1286</v>
      </c>
      <c r="BB40" s="47">
        <v>1</v>
      </c>
      <c r="BC40" s="47">
        <v>1.6</v>
      </c>
      <c r="BD40" s="47">
        <v>1</v>
      </c>
      <c r="BE40" s="47">
        <v>1</v>
      </c>
      <c r="BF40" s="47">
        <v>1</v>
      </c>
      <c r="BG40" s="39"/>
      <c r="BH40" s="58"/>
      <c r="BI40" s="234"/>
      <c r="BJ40" s="41" t="s">
        <v>1286</v>
      </c>
      <c r="BK40" s="47">
        <v>1</v>
      </c>
      <c r="BL40" s="47">
        <v>1.6</v>
      </c>
      <c r="BM40" s="47">
        <v>1</v>
      </c>
      <c r="BN40" s="47">
        <v>1</v>
      </c>
      <c r="BO40" s="47">
        <v>1</v>
      </c>
      <c r="BP40" s="39"/>
      <c r="BQ40" s="58"/>
      <c r="BR40" s="234"/>
      <c r="BS40" s="234"/>
      <c r="BT40" s="39"/>
      <c r="BU40" s="39"/>
      <c r="BV40" s="39"/>
      <c r="BW40" s="39"/>
      <c r="BX40" s="39"/>
      <c r="BY40" s="39"/>
      <c r="BZ40" s="234"/>
      <c r="CA40" s="234"/>
      <c r="CB40" s="234"/>
      <c r="CC40" s="234"/>
      <c r="CD40" s="234"/>
      <c r="CE40" s="234"/>
      <c r="CF40" s="234"/>
      <c r="CG40" s="234"/>
      <c r="CH40" s="234"/>
      <c r="CI40" s="234"/>
      <c r="CJ40" s="234"/>
      <c r="CK40" s="234"/>
      <c r="CL40" s="234"/>
      <c r="CM40" s="234"/>
      <c r="CN40" s="234"/>
      <c r="CO40" s="234"/>
      <c r="CP40" s="234"/>
      <c r="CQ40" s="234"/>
      <c r="CR40" s="234"/>
      <c r="CS40" s="234"/>
      <c r="CT40" s="234"/>
      <c r="CU40" s="234"/>
      <c r="CV40" s="234"/>
      <c r="CW40" s="234"/>
      <c r="CX40" s="234"/>
      <c r="CY40" s="31"/>
      <c r="CZ40" s="234"/>
      <c r="DA40" s="234"/>
      <c r="DB40" s="234"/>
      <c r="DC40" s="41" t="s">
        <v>1385</v>
      </c>
      <c r="DD40" s="47" t="e">
        <f ca="1">DD39</f>
        <v>#DIV/0!</v>
      </c>
      <c r="DE40" s="47" t="e">
        <f t="shared" ref="DE40:DH40" ca="1" si="114">DE39</f>
        <v>#DIV/0!</v>
      </c>
      <c r="DF40" s="47" t="e">
        <f t="shared" ca="1" si="114"/>
        <v>#DIV/0!</v>
      </c>
      <c r="DG40" s="47" t="e">
        <f t="shared" ca="1" si="114"/>
        <v>#DIV/0!</v>
      </c>
      <c r="DH40" s="47" t="e">
        <f t="shared" ca="1" si="114"/>
        <v>#DIV/0!</v>
      </c>
      <c r="DI40" s="260" t="e">
        <f ca="1">DD40+DE40+DF40+DG40+DH40</f>
        <v>#DIV/0!</v>
      </c>
      <c r="DJ40" s="44" t="e">
        <f ca="1">DI40*1000/'Indata byggnad och BBR krav'!$C$16</f>
        <v>#DIV/0!</v>
      </c>
      <c r="DK40" s="44"/>
      <c r="DL40" s="41" t="s">
        <v>1385</v>
      </c>
      <c r="DM40" s="47" t="e">
        <f ca="1">DM39</f>
        <v>#DIV/0!</v>
      </c>
      <c r="DN40" s="47" t="e">
        <f t="shared" ca="1" si="113"/>
        <v>#DIV/0!</v>
      </c>
      <c r="DO40" s="47" t="e">
        <f t="shared" ca="1" si="113"/>
        <v>#DIV/0!</v>
      </c>
      <c r="DP40" s="47" t="e">
        <f t="shared" ca="1" si="113"/>
        <v>#DIV/0!</v>
      </c>
      <c r="DQ40" s="47" t="e">
        <f t="shared" ca="1" si="113"/>
        <v>#DIV/0!</v>
      </c>
      <c r="DR40" s="260" t="e">
        <f ca="1">DM40+DN40+DO40+DP40+DQ40</f>
        <v>#DIV/0!</v>
      </c>
      <c r="DS40" s="44" t="e">
        <f ca="1">DR40*1000/'Indata byggnad och BBR krav'!$C$16</f>
        <v>#DIV/0!</v>
      </c>
      <c r="DT40" s="44"/>
      <c r="EI40" s="253">
        <f>MATCH(EI39,EI3:EI14,0)</f>
        <v>1</v>
      </c>
    </row>
    <row r="41" spans="1:139" s="231" customFormat="1" ht="16.5" customHeight="1" thickBot="1" x14ac:dyDescent="0.3">
      <c r="A41" s="232"/>
      <c r="B41" s="232"/>
      <c r="C41" s="268" t="s">
        <v>1253</v>
      </c>
      <c r="D41" s="372" t="s">
        <v>1254</v>
      </c>
      <c r="E41" s="232"/>
      <c r="F41" s="54" t="s">
        <v>19</v>
      </c>
      <c r="G41" s="375" t="str">
        <f>$G$15</f>
        <v>jan</v>
      </c>
      <c r="H41" s="37"/>
      <c r="I41" s="53" t="s">
        <v>13</v>
      </c>
      <c r="J41" s="372">
        <v>0.98</v>
      </c>
      <c r="K41" s="246"/>
      <c r="L41" s="53" t="s">
        <v>13</v>
      </c>
      <c r="M41" s="372">
        <v>2</v>
      </c>
      <c r="N41" s="246"/>
      <c r="O41" s="53" t="s">
        <v>13</v>
      </c>
      <c r="P41" s="372">
        <v>1</v>
      </c>
      <c r="Q41" s="246"/>
      <c r="R41" s="246"/>
      <c r="S41" s="246"/>
      <c r="T41" s="246"/>
      <c r="U41" s="246"/>
      <c r="V41" s="246"/>
      <c r="W41" s="232"/>
      <c r="X41" s="233"/>
      <c r="Y41" s="242" t="s">
        <v>1260</v>
      </c>
      <c r="Z41" s="233"/>
      <c r="AA41" s="233"/>
      <c r="AB41" s="233"/>
      <c r="AC41" s="233"/>
      <c r="AD41" s="233"/>
      <c r="AE41" s="233"/>
      <c r="AF41" s="159"/>
      <c r="AG41" s="242" t="s">
        <v>1438</v>
      </c>
      <c r="AH41" s="247"/>
      <c r="AI41" s="247"/>
      <c r="AJ41" s="247"/>
      <c r="AK41" s="247"/>
      <c r="AL41" s="233"/>
      <c r="AM41" s="276"/>
      <c r="AN41" s="233"/>
      <c r="AO41" s="233"/>
      <c r="AP41" s="233"/>
      <c r="AQ41" s="233"/>
      <c r="AR41" s="233"/>
      <c r="AS41" s="233"/>
      <c r="AT41" s="351"/>
      <c r="AU41" s="503" t="s">
        <v>1313</v>
      </c>
      <c r="AV41" s="233"/>
      <c r="AW41" s="233"/>
      <c r="AX41" s="233"/>
      <c r="AY41" s="49"/>
      <c r="AZ41" s="234"/>
      <c r="BA41" s="41" t="s">
        <v>1287</v>
      </c>
      <c r="BB41" s="52">
        <v>0.7</v>
      </c>
      <c r="BC41" s="52">
        <v>1.8</v>
      </c>
      <c r="BD41" s="52">
        <v>0.6</v>
      </c>
      <c r="BE41" s="52">
        <v>1.8</v>
      </c>
      <c r="BF41" s="52">
        <v>1.8</v>
      </c>
      <c r="BG41" s="39" t="s">
        <v>1094</v>
      </c>
      <c r="BH41" s="234"/>
      <c r="BI41" s="234"/>
      <c r="BJ41" s="41" t="s">
        <v>1287</v>
      </c>
      <c r="BK41" s="52">
        <v>0.7</v>
      </c>
      <c r="BL41" s="52">
        <v>1.8</v>
      </c>
      <c r="BM41" s="52">
        <v>0.6</v>
      </c>
      <c r="BN41" s="52">
        <v>1.8</v>
      </c>
      <c r="BO41" s="52">
        <v>1.8</v>
      </c>
      <c r="BP41" s="39" t="s">
        <v>1094</v>
      </c>
      <c r="BQ41" s="234"/>
      <c r="BR41" s="234"/>
      <c r="BS41" s="234"/>
      <c r="BT41" s="39"/>
      <c r="BU41" s="39"/>
      <c r="BV41" s="39"/>
      <c r="BW41" s="39"/>
      <c r="BX41" s="39"/>
      <c r="BY41" s="39"/>
      <c r="BZ41" s="234"/>
      <c r="CA41" s="234"/>
      <c r="CB41" s="234"/>
      <c r="CC41" s="234"/>
      <c r="CD41" s="234"/>
      <c r="CE41" s="234"/>
      <c r="CF41" s="234"/>
      <c r="CG41" s="234"/>
      <c r="CH41" s="234"/>
      <c r="CI41" s="234"/>
      <c r="CJ41" s="234"/>
      <c r="CK41" s="234"/>
      <c r="CL41" s="234"/>
      <c r="CM41" s="234"/>
      <c r="CN41" s="234"/>
      <c r="CO41" s="234"/>
      <c r="CP41" s="234"/>
      <c r="CQ41" s="234"/>
      <c r="CR41" s="234"/>
      <c r="CS41" s="234"/>
      <c r="CT41" s="234"/>
      <c r="CU41" s="234"/>
      <c r="CV41" s="234"/>
      <c r="CW41" s="234"/>
      <c r="CX41" s="234"/>
      <c r="CY41" s="31"/>
      <c r="CZ41" s="234"/>
      <c r="DA41" s="234"/>
      <c r="DB41" s="234"/>
      <c r="DC41" s="41" t="s">
        <v>1198</v>
      </c>
      <c r="DD41" s="85" t="e">
        <f ca="1">DD40/'Indata byggnad och BBR krav'!$C$25</f>
        <v>#DIV/0!</v>
      </c>
      <c r="DE41" s="85" t="e">
        <f ca="1">DE40/'Indata byggnad och BBR krav'!$C$25</f>
        <v>#DIV/0!</v>
      </c>
      <c r="DF41" s="85" t="e">
        <f ca="1">DF40/'Indata byggnad och BBR krav'!$C$25</f>
        <v>#DIV/0!</v>
      </c>
      <c r="DG41" s="85" t="e">
        <f ca="1">DG40/'Indata byggnad och BBR krav'!$C$25</f>
        <v>#DIV/0!</v>
      </c>
      <c r="DH41" s="85" t="e">
        <f ca="1">DH40/'Indata byggnad och BBR krav'!$C$25</f>
        <v>#DIV/0!</v>
      </c>
      <c r="DI41" s="89" t="e">
        <f ca="1">DD41+DE41+DF41+DG41+DH41</f>
        <v>#DIV/0!</v>
      </c>
      <c r="DJ41" s="44" t="e">
        <f ca="1">DJ40/0.9*DD15</f>
        <v>#DIV/0!</v>
      </c>
      <c r="DK41" s="44"/>
      <c r="DL41" s="41" t="s">
        <v>1198</v>
      </c>
      <c r="DM41" s="85" t="e">
        <f ca="1">DM40/'Indata byggnad och BBR krav'!$C$25</f>
        <v>#DIV/0!</v>
      </c>
      <c r="DN41" s="85" t="e">
        <f ca="1">DN40/'Indata byggnad och BBR krav'!$C$25</f>
        <v>#DIV/0!</v>
      </c>
      <c r="DO41" s="85" t="e">
        <f ca="1">DO40/'Indata byggnad och BBR krav'!$C$25</f>
        <v>#DIV/0!</v>
      </c>
      <c r="DP41" s="85" t="e">
        <f ca="1">DP40/'Indata byggnad och BBR krav'!$C$25</f>
        <v>#DIV/0!</v>
      </c>
      <c r="DQ41" s="85" t="e">
        <f ca="1">DQ40/'Indata byggnad och BBR krav'!$C$25</f>
        <v>#DIV/0!</v>
      </c>
      <c r="DR41" s="89" t="e">
        <f ca="1">DM41+DN41+DO41+DP41+DQ41</f>
        <v>#DIV/0!</v>
      </c>
      <c r="DS41" s="44" t="e">
        <f ca="1">DS40/0.9*DM15</f>
        <v>#DIV/0!</v>
      </c>
      <c r="DT41" s="44"/>
    </row>
    <row r="42" spans="1:139" s="231" customFormat="1" ht="16.5" customHeight="1" thickBot="1" x14ac:dyDescent="0.3">
      <c r="A42" s="232"/>
      <c r="B42" s="232"/>
      <c r="C42" s="95" t="s">
        <v>20</v>
      </c>
      <c r="D42" s="372" t="s">
        <v>1252</v>
      </c>
      <c r="E42" s="232"/>
      <c r="F42" s="93"/>
      <c r="G42" s="93"/>
      <c r="H42" s="37"/>
      <c r="I42" s="54" t="s">
        <v>1136</v>
      </c>
      <c r="J42" s="368" t="s">
        <v>1046</v>
      </c>
      <c r="K42" s="350"/>
      <c r="L42" s="54" t="s">
        <v>1136</v>
      </c>
      <c r="M42" s="368" t="s">
        <v>1046</v>
      </c>
      <c r="N42" s="60"/>
      <c r="O42" s="54" t="s">
        <v>1136</v>
      </c>
      <c r="P42" s="368" t="s">
        <v>1046</v>
      </c>
      <c r="Q42" s="37"/>
      <c r="R42" s="37"/>
      <c r="S42" s="37"/>
      <c r="T42" s="37"/>
      <c r="U42" s="37"/>
      <c r="V42" s="37"/>
      <c r="W42" s="232"/>
      <c r="X42" s="233"/>
      <c r="Y42" s="242"/>
      <c r="Z42" s="233"/>
      <c r="AA42" s="233"/>
      <c r="AB42" s="233"/>
      <c r="AC42" s="233"/>
      <c r="AD42" s="233"/>
      <c r="AE42" s="233"/>
      <c r="AF42" s="249"/>
      <c r="AG42" s="244" t="s">
        <v>1439</v>
      </c>
      <c r="AH42" s="233"/>
      <c r="AI42" s="233"/>
      <c r="AJ42" s="233"/>
      <c r="AK42" s="233"/>
      <c r="AL42" s="233"/>
      <c r="AM42" s="276"/>
      <c r="AN42" s="242" t="s">
        <v>1440</v>
      </c>
      <c r="AO42" s="233"/>
      <c r="AP42" s="233"/>
      <c r="AQ42" s="233"/>
      <c r="AR42" s="233"/>
      <c r="AS42" s="233"/>
      <c r="AT42" s="503" t="s">
        <v>1448</v>
      </c>
      <c r="AU42" s="503"/>
      <c r="AV42" s="233"/>
      <c r="AW42" s="503" t="s">
        <v>1449</v>
      </c>
      <c r="AX42" s="233"/>
      <c r="AY42" s="49"/>
      <c r="AZ42" s="234"/>
      <c r="BA42" s="41" t="s">
        <v>1288</v>
      </c>
      <c r="BB42" s="47">
        <f>AG57</f>
        <v>0</v>
      </c>
      <c r="BC42" s="47">
        <f>AH57</f>
        <v>0</v>
      </c>
      <c r="BD42" s="47">
        <f>AI57</f>
        <v>0</v>
      </c>
      <c r="BE42" s="47">
        <f>AJ57</f>
        <v>0</v>
      </c>
      <c r="BF42" s="47">
        <f>AK57</f>
        <v>0</v>
      </c>
      <c r="BG42" s="47">
        <f>SUM(BB42:BF42)</f>
        <v>0</v>
      </c>
      <c r="BH42" s="49"/>
      <c r="BI42" s="234"/>
      <c r="BJ42" s="41" t="s">
        <v>1288</v>
      </c>
      <c r="BK42" s="47">
        <f>AG57</f>
        <v>0</v>
      </c>
      <c r="BL42" s="47">
        <f>AH57</f>
        <v>0</v>
      </c>
      <c r="BM42" s="47">
        <f>AI57</f>
        <v>0</v>
      </c>
      <c r="BN42" s="47">
        <f>AJ57</f>
        <v>0</v>
      </c>
      <c r="BO42" s="47">
        <f>AK57</f>
        <v>0</v>
      </c>
      <c r="BP42" s="47">
        <f>SUM(BK42:BO42)</f>
        <v>0</v>
      </c>
      <c r="BQ42" s="49"/>
      <c r="BR42" s="234"/>
      <c r="BS42" s="234"/>
      <c r="BT42" s="39"/>
      <c r="BU42" s="39"/>
      <c r="BV42" s="39"/>
      <c r="BW42" s="39"/>
      <c r="BX42" s="39"/>
      <c r="BY42" s="39"/>
      <c r="BZ42" s="234"/>
      <c r="CA42" s="234"/>
      <c r="CB42" s="234"/>
      <c r="CC42" s="234"/>
      <c r="CD42" s="234"/>
      <c r="CE42" s="234"/>
      <c r="CF42" s="234"/>
      <c r="CG42" s="234"/>
      <c r="CH42" s="234"/>
      <c r="CI42" s="234"/>
      <c r="CJ42" s="234"/>
      <c r="CK42" s="234"/>
      <c r="CL42" s="234"/>
      <c r="CM42" s="234"/>
      <c r="CN42" s="234"/>
      <c r="CO42" s="234"/>
      <c r="CP42" s="234"/>
      <c r="CQ42" s="234"/>
      <c r="CR42" s="234"/>
      <c r="CS42" s="234"/>
      <c r="CT42" s="234"/>
      <c r="CU42" s="234"/>
      <c r="CV42" s="234"/>
      <c r="CW42" s="234"/>
      <c r="CX42" s="234"/>
      <c r="CY42" s="31"/>
      <c r="CZ42" s="234"/>
      <c r="DA42" s="234"/>
      <c r="DB42" s="234"/>
      <c r="DC42" s="41" t="s">
        <v>1386</v>
      </c>
      <c r="DD42" s="47" t="e">
        <f ca="1">DD41*DD15</f>
        <v>#DIV/0!</v>
      </c>
      <c r="DE42" s="47" t="e">
        <f ca="1">DE41*DE15</f>
        <v>#DIV/0!</v>
      </c>
      <c r="DF42" s="47" t="e">
        <f ca="1">DF41*DF15</f>
        <v>#DIV/0!</v>
      </c>
      <c r="DG42" s="47" t="e">
        <f ca="1">DG41*DG15</f>
        <v>#DIV/0!</v>
      </c>
      <c r="DH42" s="47" t="e">
        <f ca="1">DH41*DH15</f>
        <v>#DIV/0!</v>
      </c>
      <c r="DI42" s="96" t="e">
        <f ca="1">DD42+DE42+DF42+DG42+DH42</f>
        <v>#DIV/0!</v>
      </c>
      <c r="DJ42" s="44" t="e">
        <f ca="1">DI42*1000/'Indata byggnad och BBR krav'!$C$16</f>
        <v>#DIV/0!</v>
      </c>
      <c r="DK42" s="44"/>
      <c r="DL42" s="41" t="s">
        <v>1386</v>
      </c>
      <c r="DM42" s="47" t="e">
        <f ca="1">DM41*DM15</f>
        <v>#DIV/0!</v>
      </c>
      <c r="DN42" s="47" t="e">
        <f ca="1">DN41*DN15</f>
        <v>#DIV/0!</v>
      </c>
      <c r="DO42" s="47" t="e">
        <f ca="1">DO41*DO15</f>
        <v>#DIV/0!</v>
      </c>
      <c r="DP42" s="47" t="e">
        <f ca="1">DP41*DP15</f>
        <v>#DIV/0!</v>
      </c>
      <c r="DQ42" s="47" t="e">
        <f ca="1">DQ41*DQ15</f>
        <v>#DIV/0!</v>
      </c>
      <c r="DR42" s="96" t="e">
        <f ca="1">DM42+DN42+DO42+DP42+DQ42</f>
        <v>#DIV/0!</v>
      </c>
      <c r="DS42" s="44" t="e">
        <f ca="1">DR42*1000/'Indata byggnad och BBR krav'!$C$16</f>
        <v>#DIV/0!</v>
      </c>
      <c r="DT42" s="44"/>
      <c r="EI42" s="253" t="str">
        <f>G130</f>
        <v>jan</v>
      </c>
    </row>
    <row r="43" spans="1:139" s="231" customFormat="1" ht="16.5" customHeight="1" thickBot="1" x14ac:dyDescent="0.3">
      <c r="A43" s="232"/>
      <c r="B43" s="232"/>
      <c r="C43" s="217" t="s">
        <v>1356</v>
      </c>
      <c r="D43" s="232"/>
      <c r="E43" s="232"/>
      <c r="F43" s="232"/>
      <c r="G43" s="37"/>
      <c r="H43" s="37"/>
      <c r="I43" s="97"/>
      <c r="J43" s="66" t="s">
        <v>1132</v>
      </c>
      <c r="K43" s="66"/>
      <c r="L43" s="97"/>
      <c r="M43" s="66" t="s">
        <v>1132</v>
      </c>
      <c r="N43" s="66"/>
      <c r="O43" s="97"/>
      <c r="P43" s="66" t="s">
        <v>1132</v>
      </c>
      <c r="Q43" s="66"/>
      <c r="R43" s="66"/>
      <c r="S43" s="66"/>
      <c r="T43" s="66"/>
      <c r="U43" s="66"/>
      <c r="V43" s="66"/>
      <c r="W43" s="232"/>
      <c r="X43" s="233"/>
      <c r="Y43" s="287" t="s">
        <v>14</v>
      </c>
      <c r="Z43" s="287" t="s">
        <v>1085</v>
      </c>
      <c r="AA43" s="287" t="s">
        <v>1100</v>
      </c>
      <c r="AB43" s="287" t="s">
        <v>1096</v>
      </c>
      <c r="AC43" s="287" t="s">
        <v>1097</v>
      </c>
      <c r="AD43" s="249" t="s">
        <v>1094</v>
      </c>
      <c r="AE43" s="233"/>
      <c r="AF43" s="98"/>
      <c r="AG43" s="287" t="s">
        <v>14</v>
      </c>
      <c r="AH43" s="287" t="s">
        <v>1085</v>
      </c>
      <c r="AI43" s="287" t="s">
        <v>1100</v>
      </c>
      <c r="AJ43" s="287" t="s">
        <v>1096</v>
      </c>
      <c r="AK43" s="287" t="s">
        <v>1097</v>
      </c>
      <c r="AL43" s="249" t="s">
        <v>1094</v>
      </c>
      <c r="AM43" s="276"/>
      <c r="AN43" s="287" t="s">
        <v>14</v>
      </c>
      <c r="AO43" s="287" t="s">
        <v>1085</v>
      </c>
      <c r="AP43" s="287" t="s">
        <v>1100</v>
      </c>
      <c r="AQ43" s="287" t="s">
        <v>1096</v>
      </c>
      <c r="AR43" s="287" t="s">
        <v>1097</v>
      </c>
      <c r="AS43" s="249" t="s">
        <v>1094</v>
      </c>
      <c r="AT43" s="504"/>
      <c r="AU43" s="504"/>
      <c r="AV43" s="244" t="s">
        <v>1370</v>
      </c>
      <c r="AW43" s="504"/>
      <c r="AX43" s="244" t="s">
        <v>1370</v>
      </c>
      <c r="AY43" s="49"/>
      <c r="AZ43" s="234"/>
      <c r="BA43" s="41" t="s">
        <v>1289</v>
      </c>
      <c r="BB43" s="47">
        <f>AG56</f>
        <v>0</v>
      </c>
      <c r="BC43" s="47">
        <f>AH56</f>
        <v>0</v>
      </c>
      <c r="BD43" s="47">
        <f>AI56</f>
        <v>0</v>
      </c>
      <c r="BE43" s="47">
        <f>AJ56</f>
        <v>0</v>
      </c>
      <c r="BF43" s="47">
        <f>AK56</f>
        <v>0</v>
      </c>
      <c r="BG43" s="47">
        <f>SUM(BB43:BF43)</f>
        <v>0</v>
      </c>
      <c r="BH43" s="49"/>
      <c r="BI43" s="234"/>
      <c r="BJ43" s="41" t="s">
        <v>1289</v>
      </c>
      <c r="BK43" s="47">
        <f>AG56</f>
        <v>0</v>
      </c>
      <c r="BL43" s="47">
        <f>AH56</f>
        <v>0</v>
      </c>
      <c r="BM43" s="47">
        <f>AI56</f>
        <v>0</v>
      </c>
      <c r="BN43" s="47">
        <f>AJ56</f>
        <v>0</v>
      </c>
      <c r="BO43" s="47">
        <f>AK56</f>
        <v>0</v>
      </c>
      <c r="BP43" s="47">
        <f>SUM(BK43:BO43)</f>
        <v>0</v>
      </c>
      <c r="BQ43" s="49"/>
      <c r="BR43" s="234"/>
      <c r="BS43" s="234"/>
      <c r="BT43" s="39"/>
      <c r="BU43" s="39"/>
      <c r="BV43" s="39"/>
      <c r="BW43" s="39"/>
      <c r="BX43" s="39"/>
      <c r="BY43" s="39"/>
      <c r="BZ43" s="234"/>
      <c r="CA43" s="234"/>
      <c r="CB43" s="234"/>
      <c r="CC43" s="234"/>
      <c r="CD43" s="234"/>
      <c r="CE43" s="234"/>
      <c r="CF43" s="234"/>
      <c r="CG43" s="234"/>
      <c r="CH43" s="234"/>
      <c r="CI43" s="234"/>
      <c r="CJ43" s="234"/>
      <c r="CK43" s="234"/>
      <c r="CL43" s="234"/>
      <c r="CM43" s="234"/>
      <c r="CN43" s="234"/>
      <c r="CO43" s="234"/>
      <c r="CP43" s="234"/>
      <c r="CQ43" s="234"/>
      <c r="CR43" s="234"/>
      <c r="CS43" s="234"/>
      <c r="CT43" s="234"/>
      <c r="CU43" s="234"/>
      <c r="CV43" s="234"/>
      <c r="CW43" s="234"/>
      <c r="CX43" s="234"/>
      <c r="CY43" s="31"/>
      <c r="CZ43" s="234"/>
      <c r="DA43" s="234"/>
      <c r="DB43" s="234"/>
      <c r="DC43" s="41" t="s">
        <v>1387</v>
      </c>
      <c r="DD43" s="47" t="e">
        <f ca="1">DD41*DD16</f>
        <v>#DIV/0!</v>
      </c>
      <c r="DE43" s="47" t="e">
        <f ca="1">DE41*DE16</f>
        <v>#DIV/0!</v>
      </c>
      <c r="DF43" s="47" t="e">
        <f ca="1">DF41*DF16</f>
        <v>#DIV/0!</v>
      </c>
      <c r="DG43" s="47" t="e">
        <f ca="1">DG41*DG16</f>
        <v>#DIV/0!</v>
      </c>
      <c r="DH43" s="47" t="e">
        <f ca="1">DH41*DH16</f>
        <v>#DIV/0!</v>
      </c>
      <c r="DI43" s="96" t="e">
        <f ca="1">DD43+DE43+DF43+DG43+DH43</f>
        <v>#DIV/0!</v>
      </c>
      <c r="DJ43" s="234"/>
      <c r="DK43" s="234"/>
      <c r="DL43" s="41" t="s">
        <v>1387</v>
      </c>
      <c r="DM43" s="47" t="e">
        <f ca="1">DM41*DM16</f>
        <v>#DIV/0!</v>
      </c>
      <c r="DN43" s="47" t="e">
        <f ca="1">DN41*DN16</f>
        <v>#DIV/0!</v>
      </c>
      <c r="DO43" s="47" t="e">
        <f ca="1">DO41*DO16</f>
        <v>#DIV/0!</v>
      </c>
      <c r="DP43" s="47" t="e">
        <f ca="1">DP41*DP16</f>
        <v>#DIV/0!</v>
      </c>
      <c r="DQ43" s="47" t="e">
        <f ca="1">DQ41*DQ16</f>
        <v>#DIV/0!</v>
      </c>
      <c r="DR43" s="96" t="e">
        <f ca="1">DM43+DN43+DO43+DP43+DQ43</f>
        <v>#DIV/0!</v>
      </c>
      <c r="DS43" s="234"/>
      <c r="DT43" s="234"/>
      <c r="EI43" s="253">
        <f>MATCH(EI42,EI3:EI14,0)</f>
        <v>1</v>
      </c>
    </row>
    <row r="44" spans="1:139" s="231" customFormat="1" ht="16.5" customHeight="1" x14ac:dyDescent="0.25">
      <c r="A44" s="232"/>
      <c r="B44" s="250"/>
      <c r="C44" s="506"/>
      <c r="D44" s="507"/>
      <c r="E44" s="251"/>
      <c r="F44" s="391" t="s">
        <v>1044</v>
      </c>
      <c r="G44" s="391" t="s">
        <v>1045</v>
      </c>
      <c r="H44" s="70"/>
      <c r="I44" s="71" t="s">
        <v>1075</v>
      </c>
      <c r="J44" s="391" t="str">
        <f>J42</f>
        <v>Producerad energi</v>
      </c>
      <c r="K44" s="70"/>
      <c r="L44" s="71" t="s">
        <v>1075</v>
      </c>
      <c r="M44" s="442" t="str">
        <f>M42</f>
        <v>Producerad energi</v>
      </c>
      <c r="N44" s="9"/>
      <c r="O44" s="444" t="s">
        <v>1075</v>
      </c>
      <c r="P44" s="442" t="str">
        <f>P42</f>
        <v>Producerad energi</v>
      </c>
      <c r="Q44" s="37"/>
      <c r="R44" s="37"/>
      <c r="S44" s="37"/>
      <c r="T44" s="37"/>
      <c r="U44" s="37"/>
      <c r="V44" s="37"/>
      <c r="W44" s="232"/>
      <c r="X44" s="233"/>
      <c r="Y44" s="252">
        <f>IF($J$40=$Y$43,I45,0)+IF($M$40=$Y$43,L45,0)+IF($P$40=$Y$43,O45,0)</f>
        <v>0</v>
      </c>
      <c r="Z44" s="252">
        <f t="shared" ref="Z44:Z55" si="115">IF(OR($J$40="El-panna",$J$40="Värmepump"),I45,0)+IF(OR($M$40="El-panna",$M$40="Värmepump"),L45,0)+IF(OR($P$40="El-panna",$P$40="Värmepump"),O45,0)</f>
        <v>0</v>
      </c>
      <c r="AA44" s="252">
        <f t="shared" ref="AA44:AA55" si="116">IF(OR($J$40="Flispanna",$J$40="Pelletspanna",$J$40="Vedpanna"),I45,0)+IF(OR($M$40="Flispanna",$M$40="Pelletspanna",$M$40="Vedpanna"),L45,0)+IF(OR($P$40="Flispanna",$P$40="Pelletspanna",$P$40="Vedpanna"),O45,0)</f>
        <v>0</v>
      </c>
      <c r="AB44" s="248">
        <f t="shared" ref="AB44:AB55" si="117">IF($J$40="Gaspanna",I45,0)+IF($M$40="Gaspanna",L45,0)+IF($P$40="Gaspanna",O45,0)</f>
        <v>0</v>
      </c>
      <c r="AC44" s="248">
        <f t="shared" ref="AC44:AC55" si="118">IF($J$40="Oljepanna",I45,0)+IF($M$40="Oljepanna",L45,0)+IF($P$40="Oljepanna",O45,0)</f>
        <v>0</v>
      </c>
      <c r="AD44" s="248">
        <f t="shared" ref="AD44:AD55" si="119">Y44+Z44+AA44+AB44+AC44</f>
        <v>0</v>
      </c>
      <c r="AE44" s="233"/>
      <c r="AF44" s="98"/>
      <c r="AG44" s="252">
        <f>IF($D$41="Inkluderad i energi för tappvarmvatten",Y44*0.75,Y44)</f>
        <v>0</v>
      </c>
      <c r="AH44" s="252">
        <f>IF($D$41="Inkluderad i energi för tappvarmvatten",Z44*0.75,Z44)</f>
        <v>0</v>
      </c>
      <c r="AI44" s="252">
        <f>IF($D$41="Inkluderad i energi för tappvarmvatten",AA44*0.75,AA44)</f>
        <v>0</v>
      </c>
      <c r="AJ44" s="252">
        <f>IF($D$41="Inkluderad i energi för tappvarmvatten",AB44*0.75,AB44)</f>
        <v>0</v>
      </c>
      <c r="AK44" s="252">
        <f>IF($D$41="Inkluderad i energi för tappvarmvatten",AC44*0.75,AC44)</f>
        <v>0</v>
      </c>
      <c r="AL44" s="248">
        <f t="shared" ref="AL44:AL55" si="120">AG44+AH44+AI44+AJ44+AK44</f>
        <v>0</v>
      </c>
      <c r="AM44" s="276"/>
      <c r="AN44" s="252">
        <f>IF($AG$58&gt;0,AG44*($Y$57/$Y$56),0)</f>
        <v>0</v>
      </c>
      <c r="AO44" s="252">
        <f>IF($AH$58&gt;0,AH44*($Z$57/$Z$56),0)</f>
        <v>0</v>
      </c>
      <c r="AP44" s="252">
        <f>IF($AI$58&gt;0,AI44*($AA$57/$AA$56),0)</f>
        <v>0</v>
      </c>
      <c r="AQ44" s="252">
        <f>IF($AJ$58&gt;0,AJ44*($AB$57/$AB$56),0)</f>
        <v>0</v>
      </c>
      <c r="AR44" s="252">
        <f>IF($AK$57&gt;0,AK44*($AC$57/$AC$56),0)</f>
        <v>0</v>
      </c>
      <c r="AS44" s="248">
        <f>AN44+AO44+AP44+AQ44+AR44</f>
        <v>0</v>
      </c>
      <c r="AT44" s="259">
        <f>IF($AN$58&gt;0,(AN44-$AN$58*(AC130+AE130+AG130))/$AN$57,0)+IF($AO$58&gt;0,(AO44-$AO$58*(AC130+AE130+AG130))/$AO$57,0)+IF($AP$58&gt;0,(AP44-$AP$58*(AC130+AE130+AG130))/$AP$57,0)+IF($AQ$58&gt;0,(AQ44-$AQ$58*(AC130+AE130+AG130))/$AQ$57,0)+IF($AR$58&gt;0,(AR44-$AR$58*(AC130+AE130+AG130))/$AR$57,0)</f>
        <v>0</v>
      </c>
      <c r="AU44" s="277">
        <f>AT44-Y130</f>
        <v>0</v>
      </c>
      <c r="AV44" s="362" t="str">
        <f>IF(AT44&lt;0,"Fel i indata","")</f>
        <v/>
      </c>
      <c r="AW44" s="248">
        <f>IF($AO$58&gt;0,(AO44/$AO$57-Y130),0)</f>
        <v>0</v>
      </c>
      <c r="AX44" s="362" t="str">
        <f>IF(OR(AU44&lt;0,AW44&lt;0),"Fel i indata","")</f>
        <v/>
      </c>
      <c r="AY44" s="49"/>
      <c r="AZ44" s="234"/>
      <c r="BA44" s="41" t="s">
        <v>1107</v>
      </c>
      <c r="BB44" s="80">
        <f>IF(BB42&gt;0,BB42/BB43,0)</f>
        <v>0</v>
      </c>
      <c r="BC44" s="80">
        <f>IF(BC42&gt;0,BC42/BC43,0)</f>
        <v>0</v>
      </c>
      <c r="BD44" s="80">
        <f>IF(BD42&gt;0,BD42/BD43,0)</f>
        <v>0</v>
      </c>
      <c r="BE44" s="80">
        <f>IF(BE42&gt;0,BE42/BE43,0)</f>
        <v>0</v>
      </c>
      <c r="BF44" s="80">
        <f>IF(BF42&gt;0,BF42/BF43,0)</f>
        <v>0</v>
      </c>
      <c r="BG44" s="39"/>
      <c r="BH44" s="49"/>
      <c r="BI44" s="234"/>
      <c r="BJ44" s="41" t="s">
        <v>1107</v>
      </c>
      <c r="BK44" s="80">
        <f>IF(BB42&gt;0,BB42/BB43,0)</f>
        <v>0</v>
      </c>
      <c r="BL44" s="80">
        <f t="shared" ref="BL44:BO44" si="121">IF(BC42&gt;0,BC42/BC43,0)</f>
        <v>0</v>
      </c>
      <c r="BM44" s="80">
        <f t="shared" si="121"/>
        <v>0</v>
      </c>
      <c r="BN44" s="80">
        <f t="shared" si="121"/>
        <v>0</v>
      </c>
      <c r="BO44" s="80">
        <f t="shared" si="121"/>
        <v>0</v>
      </c>
      <c r="BP44" s="39"/>
      <c r="BQ44" s="49"/>
      <c r="BR44" s="234"/>
      <c r="BS44" s="234"/>
      <c r="BT44" s="39"/>
      <c r="BU44" s="39"/>
      <c r="BV44" s="39"/>
      <c r="BW44" s="39"/>
      <c r="BX44" s="39"/>
      <c r="BY44" s="39"/>
      <c r="BZ44" s="234"/>
      <c r="CA44" s="234"/>
      <c r="CB44" s="234"/>
      <c r="CC44" s="234"/>
      <c r="CD44" s="234"/>
      <c r="CE44" s="234"/>
      <c r="CF44" s="234"/>
      <c r="CG44" s="234"/>
      <c r="CH44" s="234"/>
      <c r="CI44" s="234"/>
      <c r="CJ44" s="234"/>
      <c r="CK44" s="234"/>
      <c r="CL44" s="234"/>
      <c r="CM44" s="234"/>
      <c r="CN44" s="234"/>
      <c r="CO44" s="234"/>
      <c r="CP44" s="234"/>
      <c r="CQ44" s="234"/>
      <c r="CR44" s="234"/>
      <c r="CS44" s="234"/>
      <c r="CT44" s="234"/>
      <c r="CU44" s="234"/>
      <c r="CV44" s="234"/>
      <c r="CW44" s="234"/>
      <c r="CX44" s="234"/>
      <c r="CY44" s="31"/>
      <c r="CZ44" s="234"/>
      <c r="DA44" s="234"/>
      <c r="DB44" s="234"/>
      <c r="DC44" s="234"/>
      <c r="DD44" s="234"/>
      <c r="DE44" s="234"/>
      <c r="DF44" s="234"/>
      <c r="DG44" s="234"/>
      <c r="DH44" s="234"/>
      <c r="DI44" s="234"/>
      <c r="DJ44" s="234"/>
      <c r="DK44" s="234"/>
      <c r="DL44" s="234"/>
      <c r="DM44" s="234"/>
      <c r="DN44" s="234"/>
      <c r="DO44" s="234"/>
      <c r="DP44" s="234"/>
      <c r="DQ44" s="234"/>
      <c r="DR44" s="234"/>
      <c r="DS44" s="234"/>
      <c r="DT44" s="234"/>
    </row>
    <row r="45" spans="1:139" s="231" customFormat="1" ht="16.5" customHeight="1" thickBot="1" x14ac:dyDescent="0.3">
      <c r="A45" s="232"/>
      <c r="B45" s="250"/>
      <c r="C45" s="508"/>
      <c r="D45" s="509"/>
      <c r="E45" s="232"/>
      <c r="F45" s="387">
        <f t="shared" ref="F45:G56" si="122">F19</f>
        <v>2017</v>
      </c>
      <c r="G45" s="387" t="str">
        <f t="shared" ca="1" si="122"/>
        <v>jan</v>
      </c>
      <c r="H45" s="70"/>
      <c r="I45" s="72">
        <f t="shared" ref="I45:I56" si="123">IF($D$40&gt;0,IF($I$44=$J$44,J45,J45/$J$41),0)</f>
        <v>0</v>
      </c>
      <c r="J45" s="388"/>
      <c r="K45" s="73"/>
      <c r="L45" s="72">
        <f t="shared" ref="L45:L56" si="124">IF($D$40&gt;1,IF($L$44=$M$44,M45,M45/$M$41),0)</f>
        <v>0</v>
      </c>
      <c r="M45" s="388"/>
      <c r="N45" s="73"/>
      <c r="O45" s="72">
        <f t="shared" ref="O45:O56" si="125">IF($D$40&gt;2,IF($O$44=$P$44,P45,P45/$P$41),0)</f>
        <v>0</v>
      </c>
      <c r="P45" s="388"/>
      <c r="Q45" s="246"/>
      <c r="R45" s="246"/>
      <c r="S45" s="246"/>
      <c r="T45" s="246"/>
      <c r="U45" s="246"/>
      <c r="V45" s="246"/>
      <c r="W45" s="232"/>
      <c r="X45" s="233"/>
      <c r="Y45" s="252">
        <f t="shared" ref="Y45:Y55" si="126">IF($J$40=$Y$43,I46,0)+IF($M$40=$Y$43,L46,0)+IF($P$40=$Y$43,O46,0)</f>
        <v>0</v>
      </c>
      <c r="Z45" s="252">
        <f t="shared" si="115"/>
        <v>0</v>
      </c>
      <c r="AA45" s="252">
        <f t="shared" si="116"/>
        <v>0</v>
      </c>
      <c r="AB45" s="248">
        <f t="shared" si="117"/>
        <v>0</v>
      </c>
      <c r="AC45" s="248">
        <f t="shared" si="118"/>
        <v>0</v>
      </c>
      <c r="AD45" s="248">
        <f t="shared" si="119"/>
        <v>0</v>
      </c>
      <c r="AE45" s="233"/>
      <c r="AF45" s="98"/>
      <c r="AG45" s="252">
        <f t="shared" ref="AG45:AG55" si="127">IF($D$41="Inkluderad i energi för tappvarmvatten",Y45*0.75,Y45)</f>
        <v>0</v>
      </c>
      <c r="AH45" s="252">
        <f t="shared" ref="AH45:AH55" si="128">IF($D$41="Inkluderad i energi för tappvarmvatten",Z45*0.75,Z45)</f>
        <v>0</v>
      </c>
      <c r="AI45" s="252">
        <f t="shared" ref="AI45:AI55" si="129">IF($D$41="Inkluderad i energi för tappvarmvatten",AA45*0.75,AA45)</f>
        <v>0</v>
      </c>
      <c r="AJ45" s="252">
        <f t="shared" ref="AJ45:AJ55" si="130">IF($D$41="Inkluderad i energi för tappvarmvatten",AB45*0.75,AB45)</f>
        <v>0</v>
      </c>
      <c r="AK45" s="252">
        <f t="shared" ref="AK45:AK55" si="131">IF($D$41="Inkluderad i energi för tappvarmvatten",AC45*0.75,AC45)</f>
        <v>0</v>
      </c>
      <c r="AL45" s="248">
        <f t="shared" si="120"/>
        <v>0</v>
      </c>
      <c r="AM45" s="276"/>
      <c r="AN45" s="252">
        <f t="shared" ref="AN45:AN55" si="132">IF($AG$58&gt;0,AG45*($Y$57/$Y$56),0)</f>
        <v>0</v>
      </c>
      <c r="AO45" s="252">
        <f t="shared" ref="AO45:AO55" si="133">IF($AH$58&gt;0,AH45*($Z$57/$Z$56),0)</f>
        <v>0</v>
      </c>
      <c r="AP45" s="252">
        <f t="shared" ref="AP45:AP55" si="134">IF($AI$58&gt;0,AI45*($AA$57/$AA$56),0)</f>
        <v>0</v>
      </c>
      <c r="AQ45" s="252">
        <f t="shared" ref="AQ45:AQ55" si="135">IF($AJ$58&gt;0,AJ45*($AB$57/$AB$56),0)</f>
        <v>0</v>
      </c>
      <c r="AR45" s="252">
        <f t="shared" ref="AR45:AR55" si="136">IF($AK$57&gt;0,AK45*($AC$57/$AC$56),0)</f>
        <v>0</v>
      </c>
      <c r="AS45" s="248">
        <f t="shared" ref="AS45:AS55" si="137">AN45+AO45+AP45+AQ45+AR45</f>
        <v>0</v>
      </c>
      <c r="AT45" s="259">
        <f t="shared" ref="AT45:AT55" si="138">IF($AN$58&gt;0,(AN45-$AN$58*(AC131+AE131+AG131))/$AN$57,0)+IF($AO$58&gt;0,(AO45-$AO$58*(AC131+AE131+AG131))/$AO$57,0)+IF($AP$58&gt;0,(AP45-$AP$58*(AC131+AE131+AG131))/$AP$57,0)+IF($AQ$58&gt;0,(AQ45-$AQ$58*(AC131+AE131+AG131))/$AQ$57,0)+IF($AR$58&gt;0,(AR45-$AR$58*(AC131+AE131+AG131))/$AR$57,0)</f>
        <v>0</v>
      </c>
      <c r="AU45" s="277">
        <f t="shared" ref="AU45:AU55" si="139">AT45-Y131</f>
        <v>0</v>
      </c>
      <c r="AV45" s="362" t="str">
        <f t="shared" ref="AV45:AV55" si="140">IF(AT45&lt;0,"Fel i indata","")</f>
        <v/>
      </c>
      <c r="AW45" s="248">
        <f t="shared" ref="AW45:AW55" si="141">IF($AO$58&gt;0,(AO45/$AO$57-Y131),0)</f>
        <v>0</v>
      </c>
      <c r="AX45" s="362" t="str">
        <f t="shared" ref="AX45:AX55" si="142">IF(OR(AU45&lt;0,AW45&lt;0),"Fel i indata","")</f>
        <v/>
      </c>
      <c r="AY45" s="49"/>
      <c r="AZ45" s="234"/>
      <c r="BA45" s="41" t="s">
        <v>1200</v>
      </c>
      <c r="BB45" s="80">
        <f>IF($BG$42&gt;0,BB42/$BG$42,0)</f>
        <v>0</v>
      </c>
      <c r="BC45" s="80">
        <f t="shared" ref="BC45:BF45" si="143">IF($BG$42&gt;0,BC42/$BG$42,0)</f>
        <v>0</v>
      </c>
      <c r="BD45" s="80">
        <f>IF($BG$42&gt;0,BD42/$BG$42,0)</f>
        <v>0</v>
      </c>
      <c r="BE45" s="80">
        <f t="shared" si="143"/>
        <v>0</v>
      </c>
      <c r="BF45" s="80">
        <f t="shared" si="143"/>
        <v>0</v>
      </c>
      <c r="BG45" s="39"/>
      <c r="BH45" s="49"/>
      <c r="BI45" s="234"/>
      <c r="BJ45" s="41" t="s">
        <v>1200</v>
      </c>
      <c r="BK45" s="80">
        <f>IF($BP$42&gt;0,BK42/$BP$42,0)</f>
        <v>0</v>
      </c>
      <c r="BL45" s="80">
        <f t="shared" ref="BL45:BO45" si="144">IF($BP$42&gt;0,BL42/$BP$42,0)</f>
        <v>0</v>
      </c>
      <c r="BM45" s="80">
        <f t="shared" si="144"/>
        <v>0</v>
      </c>
      <c r="BN45" s="80">
        <f t="shared" si="144"/>
        <v>0</v>
      </c>
      <c r="BO45" s="80">
        <f t="shared" si="144"/>
        <v>0</v>
      </c>
      <c r="BP45" s="39"/>
      <c r="BQ45" s="49"/>
      <c r="BR45" s="234"/>
      <c r="BS45" s="234"/>
      <c r="BT45" s="39"/>
      <c r="BU45" s="39"/>
      <c r="BV45" s="39"/>
      <c r="BW45" s="39"/>
      <c r="BX45" s="39"/>
      <c r="BY45" s="39"/>
      <c r="BZ45" s="234"/>
      <c r="CA45" s="234"/>
      <c r="CB45" s="234"/>
      <c r="CC45" s="234"/>
      <c r="CD45" s="234"/>
      <c r="CE45" s="234"/>
      <c r="CF45" s="234"/>
      <c r="CG45" s="234"/>
      <c r="CH45" s="234"/>
      <c r="CI45" s="234"/>
      <c r="CJ45" s="234"/>
      <c r="CK45" s="234"/>
      <c r="CL45" s="234"/>
      <c r="CM45" s="234"/>
      <c r="CN45" s="234"/>
      <c r="CO45" s="234"/>
      <c r="CP45" s="234"/>
      <c r="CQ45" s="234"/>
      <c r="CR45" s="234"/>
      <c r="CS45" s="234"/>
      <c r="CT45" s="234"/>
      <c r="CU45" s="234"/>
      <c r="CV45" s="234"/>
      <c r="CW45" s="234"/>
      <c r="CX45" s="234"/>
      <c r="CY45" s="31"/>
      <c r="CZ45" s="234"/>
      <c r="DA45" s="234"/>
      <c r="DB45" s="234"/>
      <c r="DC45" s="122" t="s">
        <v>1401</v>
      </c>
      <c r="DD45" s="52">
        <f>'Indata byggnad och BBR krav'!$AA$9</f>
        <v>0.06</v>
      </c>
      <c r="DE45" s="52">
        <f>'Indata byggnad och BBR krav'!$AA$8</f>
        <v>2.1999999999999999E-2</v>
      </c>
      <c r="DF45" s="52">
        <f>'Indata byggnad och BBR krav'!$AA$10</f>
        <v>2.1999999999999999E-2</v>
      </c>
      <c r="DG45" s="52">
        <f>'Indata byggnad och BBR krav'!$AA$11</f>
        <v>0.26369999999999999</v>
      </c>
      <c r="DH45" s="52">
        <f>'Indata byggnad och BBR krav'!$AA$12</f>
        <v>0.30130000000000001</v>
      </c>
      <c r="DI45" s="299"/>
      <c r="DJ45" s="234"/>
      <c r="DK45" s="234"/>
      <c r="DL45" s="122" t="s">
        <v>1401</v>
      </c>
      <c r="DM45" s="52">
        <f>'Indata byggnad och BBR krav'!$AA$9</f>
        <v>0.06</v>
      </c>
      <c r="DN45" s="52">
        <f>'Indata byggnad och BBR krav'!$AA$8</f>
        <v>2.1999999999999999E-2</v>
      </c>
      <c r="DO45" s="52">
        <f>'Indata byggnad och BBR krav'!$AA$10</f>
        <v>2.1999999999999999E-2</v>
      </c>
      <c r="DP45" s="52">
        <f>'Indata byggnad och BBR krav'!$AA$11</f>
        <v>0.26369999999999999</v>
      </c>
      <c r="DQ45" s="52">
        <f>'Indata byggnad och BBR krav'!$AA$12</f>
        <v>0.30130000000000001</v>
      </c>
      <c r="DR45" s="299"/>
      <c r="DS45" s="234"/>
      <c r="DT45" s="234"/>
      <c r="EI45" s="253" t="str">
        <f>G155</f>
        <v>jan</v>
      </c>
    </row>
    <row r="46" spans="1:139" s="231" customFormat="1" ht="16.5" customHeight="1" thickBot="1" x14ac:dyDescent="0.3">
      <c r="A46" s="232"/>
      <c r="B46" s="250"/>
      <c r="C46" s="508"/>
      <c r="D46" s="509"/>
      <c r="E46" s="232"/>
      <c r="F46" s="387">
        <f t="shared" ca="1" si="122"/>
        <v>2017</v>
      </c>
      <c r="G46" s="387" t="str">
        <f t="shared" ca="1" si="122"/>
        <v>feb</v>
      </c>
      <c r="H46" s="70"/>
      <c r="I46" s="72">
        <f t="shared" si="123"/>
        <v>0</v>
      </c>
      <c r="J46" s="388"/>
      <c r="K46" s="73"/>
      <c r="L46" s="72">
        <f t="shared" si="124"/>
        <v>0</v>
      </c>
      <c r="M46" s="388"/>
      <c r="N46" s="73"/>
      <c r="O46" s="72">
        <f t="shared" si="125"/>
        <v>0</v>
      </c>
      <c r="P46" s="388"/>
      <c r="Q46" s="246"/>
      <c r="R46" s="246"/>
      <c r="S46" s="246"/>
      <c r="T46" s="246"/>
      <c r="U46" s="246"/>
      <c r="V46" s="246"/>
      <c r="W46" s="232"/>
      <c r="X46" s="233"/>
      <c r="Y46" s="252">
        <f t="shared" si="126"/>
        <v>0</v>
      </c>
      <c r="Z46" s="252">
        <f t="shared" si="115"/>
        <v>0</v>
      </c>
      <c r="AA46" s="252">
        <f t="shared" si="116"/>
        <v>0</v>
      </c>
      <c r="AB46" s="248">
        <f t="shared" si="117"/>
        <v>0</v>
      </c>
      <c r="AC46" s="248">
        <f t="shared" si="118"/>
        <v>0</v>
      </c>
      <c r="AD46" s="248">
        <f t="shared" si="119"/>
        <v>0</v>
      </c>
      <c r="AE46" s="233"/>
      <c r="AF46" s="98"/>
      <c r="AG46" s="252">
        <f t="shared" si="127"/>
        <v>0</v>
      </c>
      <c r="AH46" s="252">
        <f t="shared" si="128"/>
        <v>0</v>
      </c>
      <c r="AI46" s="252">
        <f t="shared" si="129"/>
        <v>0</v>
      </c>
      <c r="AJ46" s="252">
        <f t="shared" si="130"/>
        <v>0</v>
      </c>
      <c r="AK46" s="252">
        <f t="shared" si="131"/>
        <v>0</v>
      </c>
      <c r="AL46" s="248">
        <f t="shared" si="120"/>
        <v>0</v>
      </c>
      <c r="AM46" s="276"/>
      <c r="AN46" s="252">
        <f t="shared" si="132"/>
        <v>0</v>
      </c>
      <c r="AO46" s="252">
        <f t="shared" si="133"/>
        <v>0</v>
      </c>
      <c r="AP46" s="252">
        <f t="shared" si="134"/>
        <v>0</v>
      </c>
      <c r="AQ46" s="252">
        <f t="shared" si="135"/>
        <v>0</v>
      </c>
      <c r="AR46" s="252">
        <f t="shared" si="136"/>
        <v>0</v>
      </c>
      <c r="AS46" s="248">
        <f t="shared" si="137"/>
        <v>0</v>
      </c>
      <c r="AT46" s="259">
        <f t="shared" si="138"/>
        <v>0</v>
      </c>
      <c r="AU46" s="277">
        <f t="shared" si="139"/>
        <v>0</v>
      </c>
      <c r="AV46" s="362" t="str">
        <f t="shared" si="140"/>
        <v/>
      </c>
      <c r="AW46" s="248">
        <f t="shared" si="141"/>
        <v>0</v>
      </c>
      <c r="AX46" s="362" t="str">
        <f t="shared" si="142"/>
        <v/>
      </c>
      <c r="AY46" s="49"/>
      <c r="AZ46" s="234"/>
      <c r="BA46" s="234"/>
      <c r="BB46" s="234"/>
      <c r="BC46" s="234"/>
      <c r="BD46" s="234"/>
      <c r="BE46" s="234"/>
      <c r="BF46" s="234"/>
      <c r="BG46" s="49"/>
      <c r="BH46" s="49"/>
      <c r="BI46" s="234"/>
      <c r="BJ46" s="234"/>
      <c r="BK46" s="234"/>
      <c r="BL46" s="234"/>
      <c r="BM46" s="234"/>
      <c r="BN46" s="234"/>
      <c r="BO46" s="234"/>
      <c r="BP46" s="49"/>
      <c r="BQ46" s="49"/>
      <c r="BR46" s="234"/>
      <c r="BS46" s="234"/>
      <c r="BT46" s="39"/>
      <c r="BU46" s="39"/>
      <c r="BV46" s="39"/>
      <c r="BW46" s="39"/>
      <c r="BX46" s="39"/>
      <c r="BY46" s="39"/>
      <c r="BZ46" s="234"/>
      <c r="CA46" s="234"/>
      <c r="CB46" s="234"/>
      <c r="CC46" s="234"/>
      <c r="CD46" s="234"/>
      <c r="CE46" s="234"/>
      <c r="CF46" s="234"/>
      <c r="CG46" s="234"/>
      <c r="CH46" s="234"/>
      <c r="CI46" s="234"/>
      <c r="CJ46" s="234"/>
      <c r="CK46" s="234"/>
      <c r="CL46" s="234"/>
      <c r="CM46" s="234"/>
      <c r="CN46" s="234"/>
      <c r="CO46" s="234"/>
      <c r="CP46" s="234"/>
      <c r="CQ46" s="234"/>
      <c r="CR46" s="234"/>
      <c r="CS46" s="234"/>
      <c r="CT46" s="234"/>
      <c r="CU46" s="234"/>
      <c r="CV46" s="234"/>
      <c r="CW46" s="234"/>
      <c r="CX46" s="234"/>
      <c r="CY46" s="31"/>
      <c r="CZ46" s="234"/>
      <c r="DA46" s="234"/>
      <c r="DB46" s="437"/>
      <c r="DC46" s="438" t="s">
        <v>1411</v>
      </c>
      <c r="DD46" s="417" t="e">
        <f ca="1">DD40*1000/'Indata byggnad och BBR krav'!$C$40*'Indata byggnad och BBR krav'!$C$38*DD45</f>
        <v>#DIV/0!</v>
      </c>
      <c r="DE46" s="417" t="e">
        <f ca="1">DE40*1000/'Indata byggnad och BBR krav'!$C$40*'Indata byggnad och BBR krav'!$C$38*DE45</f>
        <v>#DIV/0!</v>
      </c>
      <c r="DF46" s="417" t="e">
        <f ca="1">DF40*1000/'Indata byggnad och BBR krav'!$C$40*'Indata byggnad och BBR krav'!$C$38*DF45</f>
        <v>#DIV/0!</v>
      </c>
      <c r="DG46" s="417" t="e">
        <f ca="1">DG40*1000/'Indata byggnad och BBR krav'!$C$40*'Indata byggnad och BBR krav'!$C$38*DG45</f>
        <v>#DIV/0!</v>
      </c>
      <c r="DH46" s="421" t="e">
        <f ca="1">DH40*1000/'Indata byggnad och BBR krav'!$C$40*'Indata byggnad och BBR krav'!$C$38*DH45</f>
        <v>#DIV/0!</v>
      </c>
      <c r="DI46" s="418" t="e">
        <f ca="1">SUM(DD46:DH46)</f>
        <v>#DIV/0!</v>
      </c>
      <c r="DJ46" s="298"/>
      <c r="DK46" s="234"/>
      <c r="DL46" s="438" t="s">
        <v>1411</v>
      </c>
      <c r="DM46" s="417" t="e">
        <f ca="1">DM40*1000/'Indata byggnad och BBR krav'!$C$40*'Indata byggnad och BBR krav'!$C$38*DM45</f>
        <v>#DIV/0!</v>
      </c>
      <c r="DN46" s="417" t="e">
        <f ca="1">DN40*1000/'Indata byggnad och BBR krav'!$C$40*'Indata byggnad och BBR krav'!$C$38*DN45</f>
        <v>#DIV/0!</v>
      </c>
      <c r="DO46" s="417" t="e">
        <f ca="1">DO40*1000/'Indata byggnad och BBR krav'!$C$40*'Indata byggnad och BBR krav'!$C$38*DO45</f>
        <v>#DIV/0!</v>
      </c>
      <c r="DP46" s="417" t="e">
        <f ca="1">DP40*1000/'Indata byggnad och BBR krav'!$C$40*'Indata byggnad och BBR krav'!$C$38*DP45</f>
        <v>#DIV/0!</v>
      </c>
      <c r="DQ46" s="421" t="e">
        <f ca="1">DQ40*1000/'Indata byggnad och BBR krav'!$C$40*'Indata byggnad och BBR krav'!$C$38*DQ45</f>
        <v>#DIV/0!</v>
      </c>
      <c r="DR46" s="418" t="e">
        <f ca="1">SUM(DM46:DQ46)</f>
        <v>#DIV/0!</v>
      </c>
      <c r="DS46" s="234"/>
      <c r="DT46" s="234"/>
      <c r="EI46" s="253">
        <f>MATCH(EI45,EI3:EI14,0)</f>
        <v>1</v>
      </c>
    </row>
    <row r="47" spans="1:139" s="231" customFormat="1" ht="16.5" customHeight="1" thickBot="1" x14ac:dyDescent="0.3">
      <c r="A47" s="232"/>
      <c r="B47" s="250"/>
      <c r="C47" s="510"/>
      <c r="D47" s="511"/>
      <c r="E47" s="232"/>
      <c r="F47" s="387">
        <f t="shared" ca="1" si="122"/>
        <v>2017</v>
      </c>
      <c r="G47" s="387" t="str">
        <f t="shared" ca="1" si="122"/>
        <v>mars</v>
      </c>
      <c r="H47" s="70"/>
      <c r="I47" s="72">
        <f t="shared" si="123"/>
        <v>0</v>
      </c>
      <c r="J47" s="388"/>
      <c r="K47" s="73"/>
      <c r="L47" s="72">
        <f t="shared" si="124"/>
        <v>0</v>
      </c>
      <c r="M47" s="388"/>
      <c r="N47" s="73"/>
      <c r="O47" s="72">
        <f t="shared" si="125"/>
        <v>0</v>
      </c>
      <c r="P47" s="388"/>
      <c r="Q47" s="246"/>
      <c r="R47" s="246"/>
      <c r="S47" s="246"/>
      <c r="T47" s="246"/>
      <c r="U47" s="246"/>
      <c r="V47" s="246"/>
      <c r="W47" s="232"/>
      <c r="X47" s="233"/>
      <c r="Y47" s="252">
        <f t="shared" si="126"/>
        <v>0</v>
      </c>
      <c r="Z47" s="252">
        <f t="shared" si="115"/>
        <v>0</v>
      </c>
      <c r="AA47" s="252">
        <f t="shared" si="116"/>
        <v>0</v>
      </c>
      <c r="AB47" s="248">
        <f t="shared" si="117"/>
        <v>0</v>
      </c>
      <c r="AC47" s="248">
        <f t="shared" si="118"/>
        <v>0</v>
      </c>
      <c r="AD47" s="248">
        <f t="shared" si="119"/>
        <v>0</v>
      </c>
      <c r="AE47" s="233"/>
      <c r="AF47" s="98"/>
      <c r="AG47" s="252">
        <f t="shared" si="127"/>
        <v>0</v>
      </c>
      <c r="AH47" s="252">
        <f t="shared" si="128"/>
        <v>0</v>
      </c>
      <c r="AI47" s="252">
        <f t="shared" si="129"/>
        <v>0</v>
      </c>
      <c r="AJ47" s="252">
        <f t="shared" si="130"/>
        <v>0</v>
      </c>
      <c r="AK47" s="252">
        <f t="shared" si="131"/>
        <v>0</v>
      </c>
      <c r="AL47" s="248">
        <f t="shared" si="120"/>
        <v>0</v>
      </c>
      <c r="AM47" s="276"/>
      <c r="AN47" s="252">
        <f t="shared" si="132"/>
        <v>0</v>
      </c>
      <c r="AO47" s="252">
        <f t="shared" si="133"/>
        <v>0</v>
      </c>
      <c r="AP47" s="252">
        <f t="shared" si="134"/>
        <v>0</v>
      </c>
      <c r="AQ47" s="252">
        <f t="shared" si="135"/>
        <v>0</v>
      </c>
      <c r="AR47" s="252">
        <f t="shared" si="136"/>
        <v>0</v>
      </c>
      <c r="AS47" s="248">
        <f t="shared" si="137"/>
        <v>0</v>
      </c>
      <c r="AT47" s="259">
        <f t="shared" si="138"/>
        <v>0</v>
      </c>
      <c r="AU47" s="277">
        <f t="shared" si="139"/>
        <v>0</v>
      </c>
      <c r="AV47" s="362" t="str">
        <f t="shared" si="140"/>
        <v/>
      </c>
      <c r="AW47" s="248">
        <f t="shared" si="141"/>
        <v>0</v>
      </c>
      <c r="AX47" s="362" t="str">
        <f t="shared" si="142"/>
        <v/>
      </c>
      <c r="AY47" s="49"/>
      <c r="AZ47" s="234"/>
      <c r="BA47" s="41" t="s">
        <v>1164</v>
      </c>
      <c r="BB47" s="39">
        <v>25</v>
      </c>
      <c r="BC47" s="39"/>
      <c r="BD47" s="39"/>
      <c r="BE47" s="39"/>
      <c r="BF47" s="49"/>
      <c r="BG47" s="49"/>
      <c r="BH47" s="49"/>
      <c r="BI47" s="234"/>
      <c r="BJ47" s="41" t="s">
        <v>1164</v>
      </c>
      <c r="BK47" s="39">
        <v>25</v>
      </c>
      <c r="BL47" s="39"/>
      <c r="BM47" s="39"/>
      <c r="BN47" s="39"/>
      <c r="BO47" s="49"/>
      <c r="BP47" s="49"/>
      <c r="BQ47" s="49"/>
      <c r="BR47" s="234"/>
      <c r="BS47" s="234"/>
      <c r="BT47" s="39"/>
      <c r="BU47" s="39"/>
      <c r="BV47" s="39"/>
      <c r="BW47" s="39"/>
      <c r="BX47" s="39"/>
      <c r="BY47" s="39"/>
      <c r="BZ47" s="234"/>
      <c r="CA47" s="234"/>
      <c r="CB47" s="234"/>
      <c r="CC47" s="234"/>
      <c r="CD47" s="234"/>
      <c r="CE47" s="234"/>
      <c r="CF47" s="234"/>
      <c r="CG47" s="234"/>
      <c r="CH47" s="234"/>
      <c r="CI47" s="234"/>
      <c r="CJ47" s="234"/>
      <c r="CK47" s="234"/>
      <c r="CL47" s="234"/>
      <c r="CM47" s="234"/>
      <c r="CN47" s="234"/>
      <c r="CO47" s="234"/>
      <c r="CP47" s="234"/>
      <c r="CQ47" s="234"/>
      <c r="CR47" s="234"/>
      <c r="CS47" s="234"/>
      <c r="CT47" s="234"/>
      <c r="CU47" s="234"/>
      <c r="CV47" s="234"/>
      <c r="CW47" s="234"/>
      <c r="CX47" s="234"/>
      <c r="CY47" s="31"/>
      <c r="CZ47" s="234"/>
      <c r="DA47" s="234"/>
      <c r="DB47" s="437"/>
      <c r="DC47" s="439" t="s">
        <v>1459</v>
      </c>
      <c r="DD47" s="417" t="e">
        <f ca="1">DD40*1000/'Indata byggnad och BBR krav'!$C$16*'Indata byggnad och BBR krav'!$C$38*DD45</f>
        <v>#DIV/0!</v>
      </c>
      <c r="DE47" s="417" t="e">
        <f ca="1">DE40*1000/'Indata byggnad och BBR krav'!$C$16*'Indata byggnad och BBR krav'!$C$38*DE45</f>
        <v>#DIV/0!</v>
      </c>
      <c r="DF47" s="417" t="e">
        <f ca="1">DF40*1000/'Indata byggnad och BBR krav'!$C$16*'Indata byggnad och BBR krav'!$C$38*DF45</f>
        <v>#DIV/0!</v>
      </c>
      <c r="DG47" s="417" t="e">
        <f ca="1">DG40*1000/'Indata byggnad och BBR krav'!$C$16*'Indata byggnad och BBR krav'!$C$38*DG45</f>
        <v>#DIV/0!</v>
      </c>
      <c r="DH47" s="421" t="e">
        <f ca="1">DH40*1000/'Indata byggnad och BBR krav'!$C$16*'Indata byggnad och BBR krav'!$C$38*DH45</f>
        <v>#DIV/0!</v>
      </c>
      <c r="DI47" s="418" t="e">
        <f t="shared" ref="DI47:DI48" ca="1" si="145">SUM(DD47:DH47)</f>
        <v>#DIV/0!</v>
      </c>
      <c r="DJ47" s="234"/>
      <c r="DK47" s="234"/>
      <c r="DL47" s="439" t="s">
        <v>1459</v>
      </c>
      <c r="DM47" s="417" t="e">
        <f ca="1">DM40*1000/'Indata byggnad och BBR krav'!$C$16*'Indata byggnad och BBR krav'!$C$38*DM45</f>
        <v>#DIV/0!</v>
      </c>
      <c r="DN47" s="417" t="e">
        <f ca="1">DN40*1000/'Indata byggnad och BBR krav'!$C$16*'Indata byggnad och BBR krav'!$C$38*DN45</f>
        <v>#DIV/0!</v>
      </c>
      <c r="DO47" s="417" t="e">
        <f ca="1">DO40*1000/'Indata byggnad och BBR krav'!$C$16*'Indata byggnad och BBR krav'!$C$38*DO45</f>
        <v>#DIV/0!</v>
      </c>
      <c r="DP47" s="417" t="e">
        <f ca="1">DP40*1000/'Indata byggnad och BBR krav'!$C$16*'Indata byggnad och BBR krav'!$C$38*DP45</f>
        <v>#DIV/0!</v>
      </c>
      <c r="DQ47" s="421" t="e">
        <f ca="1">DQ40*1000/'Indata byggnad och BBR krav'!$C$16*'Indata byggnad och BBR krav'!$C$38*DQ45</f>
        <v>#DIV/0!</v>
      </c>
      <c r="DR47" s="418" t="e">
        <f t="shared" ref="DR47:DR48" ca="1" si="146">SUM(DM47:DQ47)</f>
        <v>#DIV/0!</v>
      </c>
      <c r="DS47" s="234"/>
      <c r="DT47" s="234"/>
    </row>
    <row r="48" spans="1:139" s="231" customFormat="1" ht="16.5" customHeight="1" thickBot="1" x14ac:dyDescent="0.3">
      <c r="A48" s="232"/>
      <c r="B48" s="250"/>
      <c r="C48" s="250"/>
      <c r="D48" s="250"/>
      <c r="E48" s="232"/>
      <c r="F48" s="387">
        <f t="shared" ca="1" si="122"/>
        <v>2017</v>
      </c>
      <c r="G48" s="387" t="str">
        <f t="shared" ca="1" si="122"/>
        <v>apr</v>
      </c>
      <c r="H48" s="70"/>
      <c r="I48" s="72">
        <f t="shared" si="123"/>
        <v>0</v>
      </c>
      <c r="J48" s="388"/>
      <c r="K48" s="73"/>
      <c r="L48" s="72">
        <f t="shared" si="124"/>
        <v>0</v>
      </c>
      <c r="M48" s="388"/>
      <c r="N48" s="73"/>
      <c r="O48" s="72">
        <f t="shared" si="125"/>
        <v>0</v>
      </c>
      <c r="P48" s="388"/>
      <c r="Q48" s="246"/>
      <c r="R48" s="246"/>
      <c r="S48" s="246"/>
      <c r="T48" s="246"/>
      <c r="U48" s="246"/>
      <c r="V48" s="246"/>
      <c r="W48" s="232"/>
      <c r="X48" s="233"/>
      <c r="Y48" s="252">
        <f t="shared" si="126"/>
        <v>0</v>
      </c>
      <c r="Z48" s="252">
        <f t="shared" si="115"/>
        <v>0</v>
      </c>
      <c r="AA48" s="252">
        <f t="shared" si="116"/>
        <v>0</v>
      </c>
      <c r="AB48" s="248">
        <f t="shared" si="117"/>
        <v>0</v>
      </c>
      <c r="AC48" s="248">
        <f t="shared" si="118"/>
        <v>0</v>
      </c>
      <c r="AD48" s="248">
        <f t="shared" si="119"/>
        <v>0</v>
      </c>
      <c r="AE48" s="233"/>
      <c r="AF48" s="98"/>
      <c r="AG48" s="252">
        <f t="shared" si="127"/>
        <v>0</v>
      </c>
      <c r="AH48" s="252">
        <f t="shared" si="128"/>
        <v>0</v>
      </c>
      <c r="AI48" s="252">
        <f t="shared" si="129"/>
        <v>0</v>
      </c>
      <c r="AJ48" s="252">
        <f t="shared" si="130"/>
        <v>0</v>
      </c>
      <c r="AK48" s="252">
        <f t="shared" si="131"/>
        <v>0</v>
      </c>
      <c r="AL48" s="248">
        <f t="shared" si="120"/>
        <v>0</v>
      </c>
      <c r="AM48" s="276"/>
      <c r="AN48" s="252">
        <f t="shared" si="132"/>
        <v>0</v>
      </c>
      <c r="AO48" s="252">
        <f t="shared" si="133"/>
        <v>0</v>
      </c>
      <c r="AP48" s="252">
        <f t="shared" si="134"/>
        <v>0</v>
      </c>
      <c r="AQ48" s="252">
        <f t="shared" si="135"/>
        <v>0</v>
      </c>
      <c r="AR48" s="252">
        <f t="shared" si="136"/>
        <v>0</v>
      </c>
      <c r="AS48" s="248">
        <f t="shared" si="137"/>
        <v>0</v>
      </c>
      <c r="AT48" s="259">
        <f t="shared" si="138"/>
        <v>0</v>
      </c>
      <c r="AU48" s="277">
        <f t="shared" si="139"/>
        <v>0</v>
      </c>
      <c r="AV48" s="362" t="str">
        <f t="shared" si="140"/>
        <v/>
      </c>
      <c r="AW48" s="248">
        <f t="shared" si="141"/>
        <v>0</v>
      </c>
      <c r="AX48" s="362" t="str">
        <f t="shared" si="142"/>
        <v/>
      </c>
      <c r="AY48" s="49"/>
      <c r="AZ48" s="234"/>
      <c r="BA48" s="41" t="s">
        <v>1441</v>
      </c>
      <c r="BB48" s="39">
        <f>'Indata byggnad och BBR krav'!$C$17</f>
        <v>0</v>
      </c>
      <c r="BC48" s="39"/>
      <c r="BD48" s="39"/>
      <c r="BE48" s="39"/>
      <c r="BF48" s="49"/>
      <c r="BG48" s="49"/>
      <c r="BH48" s="49"/>
      <c r="BI48" s="234"/>
      <c r="BJ48" s="41" t="s">
        <v>1441</v>
      </c>
      <c r="BK48" s="39">
        <f>'Indata byggnad och BBR krav'!$C$17</f>
        <v>0</v>
      </c>
      <c r="BL48" s="39"/>
      <c r="BM48" s="39"/>
      <c r="BN48" s="39"/>
      <c r="BO48" s="49"/>
      <c r="BP48" s="49"/>
      <c r="BQ48" s="49"/>
      <c r="BR48" s="234"/>
      <c r="BS48" s="234"/>
      <c r="BT48" s="39"/>
      <c r="BU48" s="39"/>
      <c r="BV48" s="39"/>
      <c r="BW48" s="39"/>
      <c r="BX48" s="39"/>
      <c r="BY48" s="39"/>
      <c r="BZ48" s="234"/>
      <c r="CA48" s="234"/>
      <c r="CB48" s="234"/>
      <c r="CC48" s="234"/>
      <c r="CD48" s="234"/>
      <c r="CE48" s="234"/>
      <c r="CF48" s="234"/>
      <c r="CG48" s="234"/>
      <c r="CH48" s="234"/>
      <c r="CI48" s="234"/>
      <c r="CJ48" s="234"/>
      <c r="CK48" s="234"/>
      <c r="CL48" s="234"/>
      <c r="CM48" s="234"/>
      <c r="CN48" s="234"/>
      <c r="CO48" s="234"/>
      <c r="CP48" s="234"/>
      <c r="CQ48" s="234"/>
      <c r="CR48" s="234"/>
      <c r="CS48" s="234"/>
      <c r="CT48" s="234"/>
      <c r="CU48" s="234"/>
      <c r="CV48" s="234"/>
      <c r="CW48" s="234"/>
      <c r="CX48" s="234"/>
      <c r="CY48" s="234"/>
      <c r="CZ48" s="234"/>
      <c r="DA48" s="234"/>
      <c r="DB48" s="437"/>
      <c r="DC48" s="439" t="s">
        <v>1460</v>
      </c>
      <c r="DD48" s="419" t="e">
        <f ca="1">DD46/50</f>
        <v>#DIV/0!</v>
      </c>
      <c r="DE48" s="419" t="e">
        <f t="shared" ref="DE48:DH48" ca="1" si="147">DE46/50</f>
        <v>#DIV/0!</v>
      </c>
      <c r="DF48" s="419" t="e">
        <f t="shared" ca="1" si="147"/>
        <v>#DIV/0!</v>
      </c>
      <c r="DG48" s="419" t="e">
        <f t="shared" ca="1" si="147"/>
        <v>#DIV/0!</v>
      </c>
      <c r="DH48" s="419" t="e">
        <f t="shared" ca="1" si="147"/>
        <v>#DIV/0!</v>
      </c>
      <c r="DI48" s="420" t="e">
        <f t="shared" ca="1" si="145"/>
        <v>#DIV/0!</v>
      </c>
      <c r="DJ48" s="234"/>
      <c r="DK48" s="234"/>
      <c r="DL48" s="439" t="s">
        <v>1460</v>
      </c>
      <c r="DM48" s="419" t="e">
        <f ca="1">DM46/50</f>
        <v>#DIV/0!</v>
      </c>
      <c r="DN48" s="419" t="e">
        <f t="shared" ref="DN48:DQ48" ca="1" si="148">DN46/50</f>
        <v>#DIV/0!</v>
      </c>
      <c r="DO48" s="419" t="e">
        <f t="shared" ca="1" si="148"/>
        <v>#DIV/0!</v>
      </c>
      <c r="DP48" s="419" t="e">
        <f t="shared" ca="1" si="148"/>
        <v>#DIV/0!</v>
      </c>
      <c r="DQ48" s="419" t="e">
        <f t="shared" ca="1" si="148"/>
        <v>#DIV/0!</v>
      </c>
      <c r="DR48" s="420" t="e">
        <f t="shared" ca="1" si="146"/>
        <v>#DIV/0!</v>
      </c>
      <c r="DS48" s="234"/>
      <c r="DT48" s="234"/>
    </row>
    <row r="49" spans="1:124" s="231" customFormat="1" ht="16.5" customHeight="1" x14ac:dyDescent="0.25">
      <c r="A49" s="232"/>
      <c r="B49" s="250"/>
      <c r="C49" s="250"/>
      <c r="D49" s="250"/>
      <c r="E49" s="232"/>
      <c r="F49" s="387">
        <f t="shared" ca="1" si="122"/>
        <v>2017</v>
      </c>
      <c r="G49" s="387" t="str">
        <f t="shared" ca="1" si="122"/>
        <v>maj</v>
      </c>
      <c r="H49" s="70"/>
      <c r="I49" s="72">
        <f t="shared" si="123"/>
        <v>0</v>
      </c>
      <c r="J49" s="388"/>
      <c r="K49" s="73"/>
      <c r="L49" s="72">
        <f t="shared" si="124"/>
        <v>0</v>
      </c>
      <c r="M49" s="388"/>
      <c r="N49" s="73"/>
      <c r="O49" s="72">
        <f t="shared" si="125"/>
        <v>0</v>
      </c>
      <c r="P49" s="388"/>
      <c r="Q49" s="246"/>
      <c r="R49" s="246"/>
      <c r="S49" s="246"/>
      <c r="T49" s="246"/>
      <c r="U49" s="246"/>
      <c r="V49" s="246"/>
      <c r="W49" s="232"/>
      <c r="X49" s="233"/>
      <c r="Y49" s="252">
        <f t="shared" si="126"/>
        <v>0</v>
      </c>
      <c r="Z49" s="252">
        <f t="shared" si="115"/>
        <v>0</v>
      </c>
      <c r="AA49" s="252">
        <f t="shared" si="116"/>
        <v>0</v>
      </c>
      <c r="AB49" s="248">
        <f t="shared" si="117"/>
        <v>0</v>
      </c>
      <c r="AC49" s="248">
        <f t="shared" si="118"/>
        <v>0</v>
      </c>
      <c r="AD49" s="248">
        <f t="shared" si="119"/>
        <v>0</v>
      </c>
      <c r="AE49" s="233"/>
      <c r="AF49" s="98"/>
      <c r="AG49" s="252">
        <f t="shared" si="127"/>
        <v>0</v>
      </c>
      <c r="AH49" s="252">
        <f t="shared" si="128"/>
        <v>0</v>
      </c>
      <c r="AI49" s="252">
        <f t="shared" si="129"/>
        <v>0</v>
      </c>
      <c r="AJ49" s="252">
        <f t="shared" si="130"/>
        <v>0</v>
      </c>
      <c r="AK49" s="252">
        <f t="shared" si="131"/>
        <v>0</v>
      </c>
      <c r="AL49" s="248">
        <f t="shared" si="120"/>
        <v>0</v>
      </c>
      <c r="AM49" s="276"/>
      <c r="AN49" s="252">
        <f t="shared" si="132"/>
        <v>0</v>
      </c>
      <c r="AO49" s="252">
        <f t="shared" si="133"/>
        <v>0</v>
      </c>
      <c r="AP49" s="252">
        <f t="shared" si="134"/>
        <v>0</v>
      </c>
      <c r="AQ49" s="252">
        <f t="shared" si="135"/>
        <v>0</v>
      </c>
      <c r="AR49" s="252">
        <f t="shared" si="136"/>
        <v>0</v>
      </c>
      <c r="AS49" s="248">
        <f t="shared" si="137"/>
        <v>0</v>
      </c>
      <c r="AT49" s="259">
        <f t="shared" si="138"/>
        <v>0</v>
      </c>
      <c r="AU49" s="277">
        <f t="shared" si="139"/>
        <v>0</v>
      </c>
      <c r="AV49" s="362" t="str">
        <f t="shared" si="140"/>
        <v/>
      </c>
      <c r="AW49" s="248">
        <f t="shared" si="141"/>
        <v>0</v>
      </c>
      <c r="AX49" s="362" t="str">
        <f t="shared" si="142"/>
        <v/>
      </c>
      <c r="AY49" s="49"/>
      <c r="AZ49" s="234"/>
      <c r="BA49" s="41"/>
      <c r="BB49" s="39"/>
      <c r="BC49" s="39"/>
      <c r="BD49" s="39"/>
      <c r="BE49" s="39"/>
      <c r="BF49" s="49"/>
      <c r="BG49" s="49"/>
      <c r="BH49" s="49"/>
      <c r="BI49" s="234"/>
      <c r="BJ49" s="41"/>
      <c r="BK49" s="39"/>
      <c r="BL49" s="39"/>
      <c r="BM49" s="39"/>
      <c r="BN49" s="39"/>
      <c r="BO49" s="49"/>
      <c r="BP49" s="49"/>
      <c r="BQ49" s="49"/>
      <c r="BR49" s="234"/>
      <c r="BS49" s="234"/>
      <c r="BT49" s="39"/>
      <c r="BU49" s="39"/>
      <c r="BV49" s="39"/>
      <c r="BW49" s="39"/>
      <c r="BX49" s="39"/>
      <c r="BY49" s="39"/>
      <c r="BZ49" s="234"/>
      <c r="CA49" s="234"/>
      <c r="CB49" s="234"/>
      <c r="CC49" s="234"/>
      <c r="CD49" s="234"/>
      <c r="CE49" s="234"/>
      <c r="CF49" s="234"/>
      <c r="CG49" s="234"/>
      <c r="CH49" s="234"/>
      <c r="CI49" s="234"/>
      <c r="CJ49" s="234"/>
      <c r="CK49" s="234"/>
      <c r="CL49" s="234"/>
      <c r="CM49" s="234"/>
      <c r="CN49" s="234"/>
      <c r="CO49" s="234"/>
      <c r="CP49" s="234"/>
      <c r="CQ49" s="234"/>
      <c r="CR49" s="234"/>
      <c r="CS49" s="234"/>
      <c r="CT49" s="234"/>
      <c r="CU49" s="234"/>
      <c r="CV49" s="234"/>
      <c r="CW49" s="234"/>
      <c r="CX49" s="234"/>
      <c r="CY49" s="234"/>
      <c r="CZ49" s="234"/>
      <c r="DA49" s="234"/>
      <c r="DB49" s="234"/>
      <c r="DC49" s="234"/>
      <c r="DD49" s="234"/>
      <c r="DE49" s="234"/>
      <c r="DF49" s="234"/>
      <c r="DG49" s="234"/>
      <c r="DH49" s="234"/>
      <c r="DI49" s="234"/>
      <c r="DJ49" s="234"/>
      <c r="DK49" s="234"/>
      <c r="DL49" s="234"/>
      <c r="DM49" s="234"/>
      <c r="DN49" s="234"/>
      <c r="DO49" s="234"/>
      <c r="DP49" s="234"/>
      <c r="DQ49" s="234"/>
      <c r="DR49" s="234"/>
      <c r="DS49" s="234"/>
      <c r="DT49" s="234"/>
    </row>
    <row r="50" spans="1:124" s="231" customFormat="1" ht="16.5" customHeight="1" x14ac:dyDescent="0.25">
      <c r="A50" s="232"/>
      <c r="B50" s="250"/>
      <c r="C50" s="250"/>
      <c r="D50" s="250"/>
      <c r="E50" s="232"/>
      <c r="F50" s="387">
        <f t="shared" ca="1" si="122"/>
        <v>2017</v>
      </c>
      <c r="G50" s="387" t="str">
        <f t="shared" ca="1" si="122"/>
        <v xml:space="preserve">jun </v>
      </c>
      <c r="H50" s="70"/>
      <c r="I50" s="72">
        <f t="shared" si="123"/>
        <v>0</v>
      </c>
      <c r="J50" s="388"/>
      <c r="K50" s="73"/>
      <c r="L50" s="72">
        <f t="shared" si="124"/>
        <v>0</v>
      </c>
      <c r="M50" s="388"/>
      <c r="N50" s="73"/>
      <c r="O50" s="72">
        <f t="shared" si="125"/>
        <v>0</v>
      </c>
      <c r="P50" s="388"/>
      <c r="Q50" s="246"/>
      <c r="R50" s="246"/>
      <c r="S50" s="246"/>
      <c r="T50" s="246"/>
      <c r="U50" s="246"/>
      <c r="V50" s="246"/>
      <c r="W50" s="232"/>
      <c r="X50" s="233"/>
      <c r="Y50" s="252">
        <f t="shared" si="126"/>
        <v>0</v>
      </c>
      <c r="Z50" s="252">
        <f t="shared" si="115"/>
        <v>0</v>
      </c>
      <c r="AA50" s="252">
        <f t="shared" si="116"/>
        <v>0</v>
      </c>
      <c r="AB50" s="248">
        <f t="shared" si="117"/>
        <v>0</v>
      </c>
      <c r="AC50" s="248">
        <f t="shared" si="118"/>
        <v>0</v>
      </c>
      <c r="AD50" s="248">
        <f t="shared" si="119"/>
        <v>0</v>
      </c>
      <c r="AE50" s="233"/>
      <c r="AF50" s="98"/>
      <c r="AG50" s="252">
        <f t="shared" si="127"/>
        <v>0</v>
      </c>
      <c r="AH50" s="252">
        <f t="shared" si="128"/>
        <v>0</v>
      </c>
      <c r="AI50" s="252">
        <f t="shared" si="129"/>
        <v>0</v>
      </c>
      <c r="AJ50" s="252">
        <f t="shared" si="130"/>
        <v>0</v>
      </c>
      <c r="AK50" s="252">
        <f t="shared" si="131"/>
        <v>0</v>
      </c>
      <c r="AL50" s="248">
        <f t="shared" si="120"/>
        <v>0</v>
      </c>
      <c r="AM50" s="276"/>
      <c r="AN50" s="252">
        <f t="shared" si="132"/>
        <v>0</v>
      </c>
      <c r="AO50" s="252">
        <f t="shared" si="133"/>
        <v>0</v>
      </c>
      <c r="AP50" s="252">
        <f t="shared" si="134"/>
        <v>0</v>
      </c>
      <c r="AQ50" s="252">
        <f t="shared" si="135"/>
        <v>0</v>
      </c>
      <c r="AR50" s="252">
        <f t="shared" si="136"/>
        <v>0</v>
      </c>
      <c r="AS50" s="248">
        <f t="shared" si="137"/>
        <v>0</v>
      </c>
      <c r="AT50" s="259">
        <f t="shared" si="138"/>
        <v>0</v>
      </c>
      <c r="AU50" s="277">
        <f t="shared" si="139"/>
        <v>0</v>
      </c>
      <c r="AV50" s="362" t="str">
        <f t="shared" si="140"/>
        <v/>
      </c>
      <c r="AW50" s="248">
        <f t="shared" si="141"/>
        <v>0</v>
      </c>
      <c r="AX50" s="362" t="str">
        <f t="shared" si="142"/>
        <v/>
      </c>
      <c r="AY50" s="49"/>
      <c r="AZ50" s="234"/>
      <c r="BA50" s="41" t="s">
        <v>1443</v>
      </c>
      <c r="BB50" s="39">
        <v>2</v>
      </c>
      <c r="BC50" s="39"/>
      <c r="BD50" s="39"/>
      <c r="BE50" s="39"/>
      <c r="BF50" s="49"/>
      <c r="BG50" s="49"/>
      <c r="BH50" s="49"/>
      <c r="BI50" s="234"/>
      <c r="BJ50" s="41" t="s">
        <v>1443</v>
      </c>
      <c r="BK50" s="39">
        <v>2</v>
      </c>
      <c r="BL50" s="39"/>
      <c r="BM50" s="39"/>
      <c r="BN50" s="39"/>
      <c r="BO50" s="49"/>
      <c r="BP50" s="49"/>
      <c r="BQ50" s="49"/>
      <c r="BR50" s="234"/>
      <c r="BS50" s="234"/>
      <c r="BT50" s="39"/>
      <c r="BU50" s="39"/>
      <c r="BV50" s="39"/>
      <c r="BW50" s="39"/>
      <c r="BX50" s="39"/>
      <c r="BY50" s="39"/>
      <c r="BZ50" s="234"/>
      <c r="CA50" s="234"/>
      <c r="CB50" s="234"/>
      <c r="CC50" s="234"/>
      <c r="CD50" s="234"/>
      <c r="CE50" s="234"/>
      <c r="CF50" s="234"/>
      <c r="CG50" s="234"/>
      <c r="CH50" s="234"/>
      <c r="CI50" s="234"/>
      <c r="CJ50" s="234"/>
      <c r="CK50" s="234"/>
      <c r="CL50" s="234"/>
      <c r="CM50" s="234"/>
      <c r="CN50" s="234"/>
      <c r="CO50" s="234"/>
      <c r="CP50" s="234"/>
      <c r="CQ50" s="234"/>
      <c r="CR50" s="234"/>
      <c r="CS50" s="234"/>
      <c r="CT50" s="234"/>
      <c r="CU50" s="234"/>
      <c r="CV50" s="234"/>
      <c r="CW50" s="234"/>
      <c r="CX50" s="234"/>
      <c r="CY50" s="31"/>
      <c r="CZ50" s="234"/>
      <c r="DA50" s="234"/>
      <c r="DB50" s="234"/>
      <c r="DC50" s="234"/>
      <c r="DD50" s="234"/>
      <c r="DE50" s="234"/>
      <c r="DF50" s="234"/>
      <c r="DG50" s="234"/>
      <c r="DH50" s="234"/>
      <c r="DI50" s="234"/>
      <c r="DJ50" s="234"/>
      <c r="DK50" s="234"/>
      <c r="DL50" s="234"/>
      <c r="DM50" s="234"/>
      <c r="DN50" s="234"/>
      <c r="DO50" s="234"/>
      <c r="DP50" s="234"/>
      <c r="DQ50" s="234"/>
      <c r="DR50" s="234"/>
      <c r="DS50" s="234"/>
      <c r="DT50" s="234"/>
    </row>
    <row r="51" spans="1:124" s="231" customFormat="1" ht="16.5" customHeight="1" x14ac:dyDescent="0.25">
      <c r="A51" s="232"/>
      <c r="B51" s="250"/>
      <c r="C51" s="250"/>
      <c r="D51" s="250"/>
      <c r="E51" s="232"/>
      <c r="F51" s="387">
        <f t="shared" ca="1" si="122"/>
        <v>2017</v>
      </c>
      <c r="G51" s="387" t="str">
        <f t="shared" ca="1" si="122"/>
        <v>jul</v>
      </c>
      <c r="H51" s="70"/>
      <c r="I51" s="72">
        <f t="shared" si="123"/>
        <v>0</v>
      </c>
      <c r="J51" s="388"/>
      <c r="K51" s="73"/>
      <c r="L51" s="72">
        <f t="shared" si="124"/>
        <v>0</v>
      </c>
      <c r="M51" s="388"/>
      <c r="N51" s="73"/>
      <c r="O51" s="72">
        <f t="shared" si="125"/>
        <v>0</v>
      </c>
      <c r="P51" s="388"/>
      <c r="Q51" s="246"/>
      <c r="R51" s="246"/>
      <c r="S51" s="246"/>
      <c r="T51" s="246"/>
      <c r="U51" s="246"/>
      <c r="V51" s="246"/>
      <c r="W51" s="232"/>
      <c r="X51" s="233"/>
      <c r="Y51" s="252">
        <f t="shared" si="126"/>
        <v>0</v>
      </c>
      <c r="Z51" s="252">
        <f t="shared" si="115"/>
        <v>0</v>
      </c>
      <c r="AA51" s="252">
        <f t="shared" si="116"/>
        <v>0</v>
      </c>
      <c r="AB51" s="248">
        <f t="shared" si="117"/>
        <v>0</v>
      </c>
      <c r="AC51" s="248">
        <f t="shared" si="118"/>
        <v>0</v>
      </c>
      <c r="AD51" s="248">
        <f t="shared" si="119"/>
        <v>0</v>
      </c>
      <c r="AE51" s="233"/>
      <c r="AF51" s="98"/>
      <c r="AG51" s="252">
        <f t="shared" si="127"/>
        <v>0</v>
      </c>
      <c r="AH51" s="252">
        <f t="shared" si="128"/>
        <v>0</v>
      </c>
      <c r="AI51" s="252">
        <f t="shared" si="129"/>
        <v>0</v>
      </c>
      <c r="AJ51" s="252">
        <f t="shared" si="130"/>
        <v>0</v>
      </c>
      <c r="AK51" s="252">
        <f t="shared" si="131"/>
        <v>0</v>
      </c>
      <c r="AL51" s="248">
        <f t="shared" si="120"/>
        <v>0</v>
      </c>
      <c r="AM51" s="276"/>
      <c r="AN51" s="252">
        <f t="shared" si="132"/>
        <v>0</v>
      </c>
      <c r="AO51" s="252">
        <f t="shared" si="133"/>
        <v>0</v>
      </c>
      <c r="AP51" s="252">
        <f t="shared" si="134"/>
        <v>0</v>
      </c>
      <c r="AQ51" s="252">
        <f t="shared" si="135"/>
        <v>0</v>
      </c>
      <c r="AR51" s="252">
        <f t="shared" si="136"/>
        <v>0</v>
      </c>
      <c r="AS51" s="248">
        <f t="shared" si="137"/>
        <v>0</v>
      </c>
      <c r="AT51" s="259">
        <f t="shared" si="138"/>
        <v>0</v>
      </c>
      <c r="AU51" s="277">
        <f t="shared" si="139"/>
        <v>0</v>
      </c>
      <c r="AV51" s="362" t="str">
        <f t="shared" si="140"/>
        <v/>
      </c>
      <c r="AW51" s="248">
        <f t="shared" si="141"/>
        <v>0</v>
      </c>
      <c r="AX51" s="362" t="str">
        <f t="shared" si="142"/>
        <v/>
      </c>
      <c r="AY51" s="49"/>
      <c r="AZ51" s="234"/>
      <c r="BA51" s="41" t="s">
        <v>1442</v>
      </c>
      <c r="BB51" s="39">
        <f>'Indata byggnad och BBR krav'!$C$18</f>
        <v>0</v>
      </c>
      <c r="BC51" s="39"/>
      <c r="BD51" s="39"/>
      <c r="BE51" s="39"/>
      <c r="BF51" s="49"/>
      <c r="BG51" s="49"/>
      <c r="BH51" s="49"/>
      <c r="BI51" s="234"/>
      <c r="BJ51" s="41" t="s">
        <v>1442</v>
      </c>
      <c r="BK51" s="39">
        <f>'Indata byggnad och BBR krav'!$C$18</f>
        <v>0</v>
      </c>
      <c r="BL51" s="39"/>
      <c r="BM51" s="39"/>
      <c r="BN51" s="39"/>
      <c r="BO51" s="49"/>
      <c r="BP51" s="49"/>
      <c r="BQ51" s="49"/>
      <c r="BR51" s="234"/>
      <c r="BS51" s="234"/>
      <c r="BT51" s="67"/>
      <c r="BU51" s="67"/>
      <c r="BV51" s="67"/>
      <c r="BW51" s="67"/>
      <c r="BX51" s="67"/>
      <c r="BY51" s="67"/>
      <c r="BZ51" s="234"/>
      <c r="CA51" s="234"/>
      <c r="CB51" s="234"/>
      <c r="CC51" s="234"/>
      <c r="CD51" s="234"/>
      <c r="CE51" s="234"/>
      <c r="CF51" s="234"/>
      <c r="CG51" s="234"/>
      <c r="CH51" s="234"/>
      <c r="CI51" s="234"/>
      <c r="CJ51" s="234"/>
      <c r="CK51" s="234"/>
      <c r="CL51" s="234"/>
      <c r="CM51" s="234"/>
      <c r="CN51" s="234"/>
      <c r="CO51" s="234"/>
      <c r="CP51" s="234"/>
      <c r="CQ51" s="234"/>
      <c r="CR51" s="234"/>
      <c r="CS51" s="234"/>
      <c r="CT51" s="234"/>
      <c r="CU51" s="234"/>
      <c r="CV51" s="234"/>
      <c r="CW51" s="234"/>
      <c r="CX51" s="234"/>
      <c r="CY51" s="31"/>
      <c r="CZ51" s="234"/>
      <c r="DA51" s="234"/>
      <c r="DB51" s="234"/>
      <c r="DC51" s="234"/>
      <c r="DD51" s="234"/>
      <c r="DE51" s="234"/>
      <c r="DF51" s="234"/>
      <c r="DG51" s="234"/>
      <c r="DH51" s="234"/>
      <c r="DI51" s="234"/>
      <c r="DJ51" s="234"/>
      <c r="DK51" s="234"/>
      <c r="DL51" s="234"/>
      <c r="DM51" s="234"/>
      <c r="DN51" s="234"/>
      <c r="DO51" s="234"/>
      <c r="DP51" s="234"/>
      <c r="DQ51" s="234"/>
      <c r="DR51" s="234"/>
      <c r="DS51" s="234"/>
      <c r="DT51" s="234"/>
    </row>
    <row r="52" spans="1:124" s="231" customFormat="1" ht="16.5" customHeight="1" x14ac:dyDescent="0.25">
      <c r="A52" s="232"/>
      <c r="B52" s="250"/>
      <c r="C52" s="250"/>
      <c r="D52" s="250"/>
      <c r="E52" s="232"/>
      <c r="F52" s="387">
        <f t="shared" ca="1" si="122"/>
        <v>2017</v>
      </c>
      <c r="G52" s="387" t="str">
        <f t="shared" ca="1" si="122"/>
        <v>aug</v>
      </c>
      <c r="H52" s="70"/>
      <c r="I52" s="72">
        <f t="shared" si="123"/>
        <v>0</v>
      </c>
      <c r="J52" s="388"/>
      <c r="K52" s="73"/>
      <c r="L52" s="72">
        <f t="shared" si="124"/>
        <v>0</v>
      </c>
      <c r="M52" s="388"/>
      <c r="N52" s="73"/>
      <c r="O52" s="72">
        <f t="shared" si="125"/>
        <v>0</v>
      </c>
      <c r="P52" s="388"/>
      <c r="Q52" s="246"/>
      <c r="R52" s="246"/>
      <c r="S52" s="246"/>
      <c r="T52" s="246"/>
      <c r="U52" s="246"/>
      <c r="V52" s="246"/>
      <c r="W52" s="232"/>
      <c r="X52" s="233"/>
      <c r="Y52" s="252">
        <f t="shared" si="126"/>
        <v>0</v>
      </c>
      <c r="Z52" s="252">
        <f t="shared" si="115"/>
        <v>0</v>
      </c>
      <c r="AA52" s="252">
        <f t="shared" si="116"/>
        <v>0</v>
      </c>
      <c r="AB52" s="248">
        <f t="shared" si="117"/>
        <v>0</v>
      </c>
      <c r="AC52" s="248">
        <f t="shared" si="118"/>
        <v>0</v>
      </c>
      <c r="AD52" s="248">
        <f t="shared" si="119"/>
        <v>0</v>
      </c>
      <c r="AE52" s="233"/>
      <c r="AF52" s="98"/>
      <c r="AG52" s="252">
        <f t="shared" si="127"/>
        <v>0</v>
      </c>
      <c r="AH52" s="252">
        <f t="shared" si="128"/>
        <v>0</v>
      </c>
      <c r="AI52" s="252">
        <f t="shared" si="129"/>
        <v>0</v>
      </c>
      <c r="AJ52" s="252">
        <f t="shared" si="130"/>
        <v>0</v>
      </c>
      <c r="AK52" s="252">
        <f t="shared" si="131"/>
        <v>0</v>
      </c>
      <c r="AL52" s="248">
        <f t="shared" si="120"/>
        <v>0</v>
      </c>
      <c r="AM52" s="276"/>
      <c r="AN52" s="252">
        <f t="shared" si="132"/>
        <v>0</v>
      </c>
      <c r="AO52" s="252">
        <f t="shared" si="133"/>
        <v>0</v>
      </c>
      <c r="AP52" s="252">
        <f t="shared" si="134"/>
        <v>0</v>
      </c>
      <c r="AQ52" s="252">
        <f t="shared" si="135"/>
        <v>0</v>
      </c>
      <c r="AR52" s="252">
        <f t="shared" si="136"/>
        <v>0</v>
      </c>
      <c r="AS52" s="248">
        <f t="shared" si="137"/>
        <v>0</v>
      </c>
      <c r="AT52" s="259">
        <f t="shared" si="138"/>
        <v>0</v>
      </c>
      <c r="AU52" s="277">
        <f t="shared" si="139"/>
        <v>0</v>
      </c>
      <c r="AV52" s="362" t="str">
        <f t="shared" si="140"/>
        <v/>
      </c>
      <c r="AW52" s="248">
        <f t="shared" si="141"/>
        <v>0</v>
      </c>
      <c r="AX52" s="362" t="str">
        <f t="shared" si="142"/>
        <v/>
      </c>
      <c r="AY52" s="49"/>
      <c r="AZ52" s="234"/>
      <c r="BA52" s="41"/>
      <c r="BB52" s="234"/>
      <c r="BC52" s="234"/>
      <c r="BD52" s="234"/>
      <c r="BE52" s="234"/>
      <c r="BF52" s="234"/>
      <c r="BG52" s="49"/>
      <c r="BH52" s="49"/>
      <c r="BI52" s="234"/>
      <c r="BJ52" s="41"/>
      <c r="BK52" s="234"/>
      <c r="BL52" s="234"/>
      <c r="BM52" s="234"/>
      <c r="BN52" s="234"/>
      <c r="BO52" s="234"/>
      <c r="BP52" s="49"/>
      <c r="BQ52" s="49"/>
      <c r="BR52" s="234"/>
      <c r="BS52" s="234"/>
      <c r="BT52" s="67"/>
      <c r="BU52" s="67"/>
      <c r="BV52" s="67"/>
      <c r="BW52" s="67"/>
      <c r="BX52" s="67"/>
      <c r="BY52" s="67"/>
      <c r="BZ52" s="234"/>
      <c r="CA52" s="234"/>
      <c r="CB52" s="234"/>
      <c r="CC52" s="234"/>
      <c r="CD52" s="234"/>
      <c r="CE52" s="234"/>
      <c r="CF52" s="234"/>
      <c r="CG52" s="234"/>
      <c r="CH52" s="234"/>
      <c r="CI52" s="234"/>
      <c r="CJ52" s="234"/>
      <c r="CK52" s="234"/>
      <c r="CL52" s="234"/>
      <c r="CM52" s="234"/>
      <c r="CN52" s="234"/>
      <c r="CO52" s="234"/>
      <c r="CP52" s="234"/>
      <c r="CQ52" s="234"/>
      <c r="CR52" s="234"/>
      <c r="CS52" s="234"/>
      <c r="CT52" s="234"/>
      <c r="CU52" s="234"/>
      <c r="CV52" s="234"/>
      <c r="CW52" s="234"/>
      <c r="CX52" s="234"/>
      <c r="CY52" s="31"/>
      <c r="CZ52" s="234"/>
      <c r="DA52" s="234"/>
      <c r="DB52" s="234"/>
      <c r="DC52" s="234"/>
      <c r="DD52" s="234"/>
      <c r="DE52" s="234"/>
      <c r="DF52" s="234"/>
      <c r="DG52" s="234"/>
      <c r="DH52" s="234"/>
      <c r="DI52" s="234"/>
      <c r="DJ52" s="234"/>
      <c r="DK52" s="234"/>
      <c r="DL52" s="234"/>
      <c r="DM52" s="234"/>
      <c r="DN52" s="234"/>
      <c r="DO52" s="234"/>
      <c r="DP52" s="234"/>
      <c r="DQ52" s="234"/>
      <c r="DR52" s="234"/>
      <c r="DS52" s="234"/>
      <c r="DT52" s="234"/>
    </row>
    <row r="53" spans="1:124" s="231" customFormat="1" ht="16.5" customHeight="1" x14ac:dyDescent="0.25">
      <c r="A53" s="232"/>
      <c r="B53" s="250"/>
      <c r="C53" s="250"/>
      <c r="D53" s="250"/>
      <c r="E53" s="232"/>
      <c r="F53" s="387">
        <f t="shared" ca="1" si="122"/>
        <v>2017</v>
      </c>
      <c r="G53" s="387" t="str">
        <f t="shared" ca="1" si="122"/>
        <v>sept</v>
      </c>
      <c r="H53" s="70"/>
      <c r="I53" s="72">
        <f t="shared" si="123"/>
        <v>0</v>
      </c>
      <c r="J53" s="388"/>
      <c r="K53" s="73"/>
      <c r="L53" s="72">
        <f t="shared" si="124"/>
        <v>0</v>
      </c>
      <c r="M53" s="388"/>
      <c r="N53" s="73"/>
      <c r="O53" s="72">
        <f t="shared" si="125"/>
        <v>0</v>
      </c>
      <c r="P53" s="388"/>
      <c r="Q53" s="246"/>
      <c r="R53" s="246"/>
      <c r="S53" s="246"/>
      <c r="T53" s="246"/>
      <c r="U53" s="246"/>
      <c r="V53" s="246"/>
      <c r="W53" s="232"/>
      <c r="X53" s="233"/>
      <c r="Y53" s="252">
        <f t="shared" si="126"/>
        <v>0</v>
      </c>
      <c r="Z53" s="252">
        <f t="shared" si="115"/>
        <v>0</v>
      </c>
      <c r="AA53" s="252">
        <f t="shared" si="116"/>
        <v>0</v>
      </c>
      <c r="AB53" s="248">
        <f t="shared" si="117"/>
        <v>0</v>
      </c>
      <c r="AC53" s="248">
        <f t="shared" si="118"/>
        <v>0</v>
      </c>
      <c r="AD53" s="248">
        <f t="shared" si="119"/>
        <v>0</v>
      </c>
      <c r="AE53" s="233"/>
      <c r="AF53" s="98"/>
      <c r="AG53" s="252">
        <f t="shared" si="127"/>
        <v>0</v>
      </c>
      <c r="AH53" s="252">
        <f t="shared" si="128"/>
        <v>0</v>
      </c>
      <c r="AI53" s="252">
        <f t="shared" si="129"/>
        <v>0</v>
      </c>
      <c r="AJ53" s="252">
        <f t="shared" si="130"/>
        <v>0</v>
      </c>
      <c r="AK53" s="252">
        <f t="shared" si="131"/>
        <v>0</v>
      </c>
      <c r="AL53" s="248">
        <f t="shared" si="120"/>
        <v>0</v>
      </c>
      <c r="AM53" s="276"/>
      <c r="AN53" s="252">
        <f t="shared" si="132"/>
        <v>0</v>
      </c>
      <c r="AO53" s="252">
        <f t="shared" si="133"/>
        <v>0</v>
      </c>
      <c r="AP53" s="252">
        <f t="shared" si="134"/>
        <v>0</v>
      </c>
      <c r="AQ53" s="252">
        <f t="shared" si="135"/>
        <v>0</v>
      </c>
      <c r="AR53" s="252">
        <f t="shared" si="136"/>
        <v>0</v>
      </c>
      <c r="AS53" s="248">
        <f t="shared" si="137"/>
        <v>0</v>
      </c>
      <c r="AT53" s="259">
        <f t="shared" si="138"/>
        <v>0</v>
      </c>
      <c r="AU53" s="277">
        <f t="shared" si="139"/>
        <v>0</v>
      </c>
      <c r="AV53" s="362" t="str">
        <f t="shared" si="140"/>
        <v/>
      </c>
      <c r="AW53" s="248">
        <f t="shared" si="141"/>
        <v>0</v>
      </c>
      <c r="AX53" s="362" t="str">
        <f t="shared" si="142"/>
        <v/>
      </c>
      <c r="AY53" s="49"/>
      <c r="AZ53" s="234"/>
      <c r="BA53" s="41" t="s">
        <v>1444</v>
      </c>
      <c r="BB53" s="39">
        <f>(BB47*BB48+BB50*BB51)/100</f>
        <v>0</v>
      </c>
      <c r="BC53" s="39"/>
      <c r="BD53" s="39"/>
      <c r="BE53" s="39"/>
      <c r="BF53" s="49"/>
      <c r="BG53" s="49"/>
      <c r="BH53" s="49"/>
      <c r="BI53" s="234"/>
      <c r="BJ53" s="41" t="s">
        <v>1444</v>
      </c>
      <c r="BK53" s="39">
        <f>(BK47*BK48+BK50*BK51)/100</f>
        <v>0</v>
      </c>
      <c r="BL53" s="39"/>
      <c r="BM53" s="39"/>
      <c r="BN53" s="39"/>
      <c r="BO53" s="49"/>
      <c r="BP53" s="49"/>
      <c r="BQ53" s="49"/>
      <c r="BR53" s="234"/>
      <c r="BS53" s="234"/>
      <c r="BT53" s="234"/>
      <c r="BU53" s="234"/>
      <c r="BV53" s="234"/>
      <c r="BW53" s="234"/>
      <c r="BX53" s="234"/>
      <c r="BY53" s="234"/>
      <c r="BZ53" s="234"/>
      <c r="CA53" s="234"/>
      <c r="CB53" s="234"/>
      <c r="CC53" s="234"/>
      <c r="CD53" s="234"/>
      <c r="CE53" s="234"/>
      <c r="CF53" s="234"/>
      <c r="CG53" s="234"/>
      <c r="CH53" s="234"/>
      <c r="CI53" s="234"/>
      <c r="CJ53" s="234"/>
      <c r="CK53" s="234"/>
      <c r="CL53" s="234"/>
      <c r="CM53" s="234"/>
      <c r="CN53" s="234"/>
      <c r="CO53" s="234"/>
      <c r="CP53" s="234"/>
      <c r="CQ53" s="234"/>
      <c r="CR53" s="234"/>
      <c r="CS53" s="234"/>
      <c r="CT53" s="234"/>
      <c r="CU53" s="234"/>
      <c r="CV53" s="234"/>
      <c r="CW53" s="234"/>
      <c r="CX53" s="234"/>
      <c r="CY53" s="31"/>
      <c r="CZ53" s="234"/>
      <c r="DA53" s="234"/>
      <c r="DB53" s="234"/>
      <c r="DC53" s="234"/>
      <c r="DD53" s="234"/>
      <c r="DE53" s="234"/>
      <c r="DF53" s="234"/>
      <c r="DG53" s="234"/>
      <c r="DH53" s="234"/>
      <c r="DI53" s="234"/>
      <c r="DJ53" s="234"/>
      <c r="DK53" s="234"/>
      <c r="DL53" s="234"/>
      <c r="DM53" s="234"/>
      <c r="DN53" s="234"/>
      <c r="DO53" s="234"/>
      <c r="DP53" s="234"/>
      <c r="DQ53" s="234"/>
      <c r="DR53" s="234"/>
      <c r="DS53" s="234"/>
      <c r="DT53" s="234"/>
    </row>
    <row r="54" spans="1:124" s="231" customFormat="1" ht="16.5" customHeight="1" x14ac:dyDescent="0.25">
      <c r="A54" s="232"/>
      <c r="B54" s="250"/>
      <c r="C54" s="250"/>
      <c r="D54" s="250"/>
      <c r="E54" s="232"/>
      <c r="F54" s="387">
        <f t="shared" ca="1" si="122"/>
        <v>2017</v>
      </c>
      <c r="G54" s="387" t="str">
        <f t="shared" ca="1" si="122"/>
        <v>okt</v>
      </c>
      <c r="H54" s="70"/>
      <c r="I54" s="72">
        <f t="shared" si="123"/>
        <v>0</v>
      </c>
      <c r="J54" s="388"/>
      <c r="K54" s="73"/>
      <c r="L54" s="72">
        <f t="shared" si="124"/>
        <v>0</v>
      </c>
      <c r="M54" s="388"/>
      <c r="N54" s="73"/>
      <c r="O54" s="72">
        <f t="shared" si="125"/>
        <v>0</v>
      </c>
      <c r="P54" s="388"/>
      <c r="Q54" s="246"/>
      <c r="R54" s="246"/>
      <c r="S54" s="246"/>
      <c r="T54" s="246"/>
      <c r="U54" s="246"/>
      <c r="V54" s="246"/>
      <c r="W54" s="232"/>
      <c r="X54" s="233"/>
      <c r="Y54" s="252">
        <f t="shared" si="126"/>
        <v>0</v>
      </c>
      <c r="Z54" s="252">
        <f t="shared" si="115"/>
        <v>0</v>
      </c>
      <c r="AA54" s="252">
        <f t="shared" si="116"/>
        <v>0</v>
      </c>
      <c r="AB54" s="248">
        <f t="shared" si="117"/>
        <v>0</v>
      </c>
      <c r="AC54" s="248">
        <f t="shared" si="118"/>
        <v>0</v>
      </c>
      <c r="AD54" s="248">
        <f t="shared" si="119"/>
        <v>0</v>
      </c>
      <c r="AE54" s="233"/>
      <c r="AF54" s="98"/>
      <c r="AG54" s="252">
        <f t="shared" si="127"/>
        <v>0</v>
      </c>
      <c r="AH54" s="252">
        <f t="shared" si="128"/>
        <v>0</v>
      </c>
      <c r="AI54" s="252">
        <f t="shared" si="129"/>
        <v>0</v>
      </c>
      <c r="AJ54" s="252">
        <f t="shared" si="130"/>
        <v>0</v>
      </c>
      <c r="AK54" s="252">
        <f t="shared" si="131"/>
        <v>0</v>
      </c>
      <c r="AL54" s="248">
        <f t="shared" si="120"/>
        <v>0</v>
      </c>
      <c r="AM54" s="276"/>
      <c r="AN54" s="252">
        <f t="shared" si="132"/>
        <v>0</v>
      </c>
      <c r="AO54" s="252">
        <f t="shared" si="133"/>
        <v>0</v>
      </c>
      <c r="AP54" s="252">
        <f t="shared" si="134"/>
        <v>0</v>
      </c>
      <c r="AQ54" s="252">
        <f t="shared" si="135"/>
        <v>0</v>
      </c>
      <c r="AR54" s="252">
        <f t="shared" si="136"/>
        <v>0</v>
      </c>
      <c r="AS54" s="248">
        <f t="shared" si="137"/>
        <v>0</v>
      </c>
      <c r="AT54" s="259">
        <f t="shared" si="138"/>
        <v>0</v>
      </c>
      <c r="AU54" s="277">
        <f t="shared" si="139"/>
        <v>0</v>
      </c>
      <c r="AV54" s="362" t="str">
        <f t="shared" si="140"/>
        <v/>
      </c>
      <c r="AW54" s="248">
        <f t="shared" si="141"/>
        <v>0</v>
      </c>
      <c r="AX54" s="362" t="str">
        <f t="shared" si="142"/>
        <v/>
      </c>
      <c r="AY54" s="234"/>
      <c r="AZ54" s="234"/>
      <c r="BA54" s="41" t="s">
        <v>1445</v>
      </c>
      <c r="BB54" s="44">
        <f>IF($D$42="Finns",($BB$53*0.9),$BB$53)</f>
        <v>0</v>
      </c>
      <c r="BC54" s="39"/>
      <c r="BD54" s="39"/>
      <c r="BE54" s="39"/>
      <c r="BF54" s="49"/>
      <c r="BG54" s="49"/>
      <c r="BH54" s="49"/>
      <c r="BI54" s="234"/>
      <c r="BJ54" s="41" t="s">
        <v>1445</v>
      </c>
      <c r="BK54" s="44">
        <f>IF($D$42="Finns",($BK$53*0.9),$BK$53)</f>
        <v>0</v>
      </c>
      <c r="BL54" s="39"/>
      <c r="BM54" s="39"/>
      <c r="BN54" s="39"/>
      <c r="BO54" s="49"/>
      <c r="BP54" s="49"/>
      <c r="BQ54" s="49"/>
      <c r="BR54" s="234"/>
      <c r="BS54" s="234"/>
      <c r="BT54" s="234"/>
      <c r="BU54" s="234"/>
      <c r="BV54" s="234"/>
      <c r="BW54" s="234"/>
      <c r="BX54" s="234"/>
      <c r="BY54" s="234"/>
      <c r="BZ54" s="234"/>
      <c r="CA54" s="234"/>
      <c r="CB54" s="234"/>
      <c r="CC54" s="234"/>
      <c r="CD54" s="234"/>
      <c r="CE54" s="234"/>
      <c r="CF54" s="234"/>
      <c r="CG54" s="234"/>
      <c r="CH54" s="234"/>
      <c r="CI54" s="234"/>
      <c r="CJ54" s="234"/>
      <c r="CK54" s="234"/>
      <c r="CL54" s="234"/>
      <c r="CM54" s="234"/>
      <c r="CN54" s="234"/>
      <c r="CO54" s="234"/>
      <c r="CP54" s="234"/>
      <c r="CQ54" s="234"/>
      <c r="CR54" s="234"/>
      <c r="CS54" s="234"/>
      <c r="CT54" s="234"/>
      <c r="CU54" s="234"/>
      <c r="CV54" s="234"/>
      <c r="CW54" s="234"/>
      <c r="CX54" s="234"/>
      <c r="CY54" s="31"/>
      <c r="CZ54" s="234"/>
      <c r="DA54" s="234"/>
      <c r="DB54" s="234"/>
      <c r="DC54" s="234"/>
      <c r="DD54" s="234"/>
      <c r="DE54" s="234"/>
      <c r="DF54" s="234"/>
      <c r="DG54" s="234"/>
      <c r="DH54" s="234"/>
      <c r="DI54" s="234"/>
      <c r="DJ54" s="234"/>
      <c r="DK54" s="234"/>
      <c r="DL54" s="234"/>
      <c r="DM54" s="234"/>
      <c r="DN54" s="234"/>
      <c r="DO54" s="234"/>
      <c r="DP54" s="234"/>
      <c r="DQ54" s="234"/>
      <c r="DR54" s="234"/>
      <c r="DS54" s="234"/>
      <c r="DT54" s="234"/>
    </row>
    <row r="55" spans="1:124" s="231" customFormat="1" ht="16.5" customHeight="1" thickBot="1" x14ac:dyDescent="0.3">
      <c r="A55" s="232"/>
      <c r="B55" s="250"/>
      <c r="C55" s="250"/>
      <c r="D55" s="250"/>
      <c r="E55" s="232"/>
      <c r="F55" s="387">
        <f t="shared" ca="1" si="122"/>
        <v>2017</v>
      </c>
      <c r="G55" s="387" t="str">
        <f t="shared" ca="1" si="122"/>
        <v>nov</v>
      </c>
      <c r="H55" s="70"/>
      <c r="I55" s="72">
        <f t="shared" si="123"/>
        <v>0</v>
      </c>
      <c r="J55" s="388"/>
      <c r="K55" s="73"/>
      <c r="L55" s="72">
        <f t="shared" si="124"/>
        <v>0</v>
      </c>
      <c r="M55" s="388"/>
      <c r="N55" s="73"/>
      <c r="O55" s="72">
        <f t="shared" si="125"/>
        <v>0</v>
      </c>
      <c r="P55" s="388"/>
      <c r="Q55" s="246"/>
      <c r="R55" s="246"/>
      <c r="S55" s="246"/>
      <c r="T55" s="246"/>
      <c r="U55" s="246"/>
      <c r="V55" s="246"/>
      <c r="W55" s="232"/>
      <c r="X55" s="233"/>
      <c r="Y55" s="254">
        <f t="shared" si="126"/>
        <v>0</v>
      </c>
      <c r="Z55" s="254">
        <f t="shared" si="115"/>
        <v>0</v>
      </c>
      <c r="AA55" s="254">
        <f t="shared" si="116"/>
        <v>0</v>
      </c>
      <c r="AB55" s="255">
        <f t="shared" si="117"/>
        <v>0</v>
      </c>
      <c r="AC55" s="255">
        <f t="shared" si="118"/>
        <v>0</v>
      </c>
      <c r="AD55" s="255">
        <f t="shared" si="119"/>
        <v>0</v>
      </c>
      <c r="AE55" s="233"/>
      <c r="AF55" s="98"/>
      <c r="AG55" s="254">
        <f t="shared" si="127"/>
        <v>0</v>
      </c>
      <c r="AH55" s="254">
        <f t="shared" si="128"/>
        <v>0</v>
      </c>
      <c r="AI55" s="254">
        <f t="shared" si="129"/>
        <v>0</v>
      </c>
      <c r="AJ55" s="254">
        <f t="shared" si="130"/>
        <v>0</v>
      </c>
      <c r="AK55" s="254">
        <f t="shared" si="131"/>
        <v>0</v>
      </c>
      <c r="AL55" s="255">
        <f t="shared" si="120"/>
        <v>0</v>
      </c>
      <c r="AM55" s="276"/>
      <c r="AN55" s="254">
        <f t="shared" si="132"/>
        <v>0</v>
      </c>
      <c r="AO55" s="254">
        <f t="shared" si="133"/>
        <v>0</v>
      </c>
      <c r="AP55" s="254">
        <f t="shared" si="134"/>
        <v>0</v>
      </c>
      <c r="AQ55" s="254">
        <f t="shared" si="135"/>
        <v>0</v>
      </c>
      <c r="AR55" s="254">
        <f t="shared" si="136"/>
        <v>0</v>
      </c>
      <c r="AS55" s="255">
        <f t="shared" si="137"/>
        <v>0</v>
      </c>
      <c r="AT55" s="274">
        <f t="shared" si="138"/>
        <v>0</v>
      </c>
      <c r="AU55" s="278">
        <f t="shared" si="139"/>
        <v>0</v>
      </c>
      <c r="AV55" s="362" t="str">
        <f t="shared" si="140"/>
        <v/>
      </c>
      <c r="AW55" s="255">
        <f t="shared" si="141"/>
        <v>0</v>
      </c>
      <c r="AX55" s="362" t="str">
        <f t="shared" si="142"/>
        <v/>
      </c>
      <c r="AY55" s="234"/>
      <c r="AZ55" s="234"/>
      <c r="BA55" s="41" t="s">
        <v>1446</v>
      </c>
      <c r="BB55" s="44" t="e">
        <f>BB54-($AC$142+$AE$142)/'Indata byggnad och BBR krav'!$C$16</f>
        <v>#DIV/0!</v>
      </c>
      <c r="BC55" s="39"/>
      <c r="BD55" s="39"/>
      <c r="BE55" s="39"/>
      <c r="BF55" s="49"/>
      <c r="BG55" s="234"/>
      <c r="BH55" s="234"/>
      <c r="BI55" s="234"/>
      <c r="BJ55" s="41" t="s">
        <v>1446</v>
      </c>
      <c r="BK55" s="44" t="e">
        <f>BK54-($AE$142)/'Indata byggnad och BBR krav'!$C$16</f>
        <v>#DIV/0!</v>
      </c>
      <c r="BL55" s="39"/>
      <c r="BM55" s="39"/>
      <c r="BN55" s="39"/>
      <c r="BO55" s="49"/>
      <c r="BP55" s="234"/>
      <c r="BQ55" s="234"/>
      <c r="BR55" s="234"/>
      <c r="BS55" s="234"/>
      <c r="BT55" s="234"/>
      <c r="BU55" s="234"/>
      <c r="BV55" s="234"/>
      <c r="BW55" s="234"/>
      <c r="BX55" s="234"/>
      <c r="BY55" s="234"/>
      <c r="BZ55" s="234"/>
      <c r="CA55" s="234"/>
      <c r="CB55" s="234"/>
      <c r="CC55" s="234"/>
      <c r="CD55" s="234"/>
      <c r="CE55" s="234"/>
      <c r="CF55" s="234"/>
      <c r="CG55" s="234"/>
      <c r="CH55" s="234"/>
      <c r="CI55" s="234"/>
      <c r="CJ55" s="234"/>
      <c r="CK55" s="234"/>
      <c r="CL55" s="234"/>
      <c r="CM55" s="234"/>
      <c r="CN55" s="234"/>
      <c r="CO55" s="234"/>
      <c r="CP55" s="234"/>
      <c r="CQ55" s="234"/>
      <c r="CR55" s="234"/>
      <c r="CS55" s="234"/>
      <c r="CT55" s="234"/>
      <c r="CU55" s="234"/>
      <c r="CV55" s="234"/>
      <c r="CW55" s="234"/>
      <c r="CX55" s="234"/>
      <c r="CY55" s="31"/>
      <c r="CZ55" s="234"/>
      <c r="DA55" s="234"/>
      <c r="DB55" s="234"/>
      <c r="DC55" s="234"/>
      <c r="DD55" s="234"/>
      <c r="DE55" s="234"/>
      <c r="DF55" s="234"/>
      <c r="DG55" s="234"/>
      <c r="DH55" s="234"/>
      <c r="DI55" s="234"/>
      <c r="DJ55" s="234"/>
      <c r="DK55" s="234"/>
      <c r="DL55" s="234"/>
      <c r="DM55" s="234"/>
      <c r="DN55" s="234"/>
      <c r="DO55" s="234"/>
      <c r="DP55" s="234"/>
      <c r="DQ55" s="234"/>
      <c r="DR55" s="234"/>
      <c r="DS55" s="234"/>
      <c r="DT55" s="234"/>
    </row>
    <row r="56" spans="1:124" s="231" customFormat="1" ht="16.5" customHeight="1" thickTop="1" x14ac:dyDescent="0.25">
      <c r="A56" s="232"/>
      <c r="B56" s="250"/>
      <c r="C56" s="250"/>
      <c r="D56" s="250"/>
      <c r="E56" s="232"/>
      <c r="F56" s="387">
        <f t="shared" ca="1" si="122"/>
        <v>2017</v>
      </c>
      <c r="G56" s="387" t="str">
        <f t="shared" ca="1" si="122"/>
        <v>dec</v>
      </c>
      <c r="H56" s="70"/>
      <c r="I56" s="72">
        <f t="shared" si="123"/>
        <v>0</v>
      </c>
      <c r="J56" s="388"/>
      <c r="K56" s="73"/>
      <c r="L56" s="72">
        <f t="shared" si="124"/>
        <v>0</v>
      </c>
      <c r="M56" s="388"/>
      <c r="N56" s="73"/>
      <c r="O56" s="72">
        <f t="shared" si="125"/>
        <v>0</v>
      </c>
      <c r="P56" s="388"/>
      <c r="Q56" s="246"/>
      <c r="R56" s="246"/>
      <c r="S56" s="246"/>
      <c r="T56" s="246"/>
      <c r="U56" s="246"/>
      <c r="V56" s="246"/>
      <c r="W56" s="232"/>
      <c r="X56" s="236" t="s">
        <v>1296</v>
      </c>
      <c r="Y56" s="256">
        <f t="shared" ref="Y56:AD56" si="149">SUM(Y44:Y55)</f>
        <v>0</v>
      </c>
      <c r="Z56" s="256">
        <f t="shared" si="149"/>
        <v>0</v>
      </c>
      <c r="AA56" s="256">
        <f t="shared" si="149"/>
        <v>0</v>
      </c>
      <c r="AB56" s="256">
        <f t="shared" si="149"/>
        <v>0</v>
      </c>
      <c r="AC56" s="257">
        <f t="shared" si="149"/>
        <v>0</v>
      </c>
      <c r="AD56" s="256">
        <f t="shared" si="149"/>
        <v>0</v>
      </c>
      <c r="AE56" s="233"/>
      <c r="AF56" s="236" t="s">
        <v>1296</v>
      </c>
      <c r="AG56" s="256">
        <f t="shared" ref="AG56:AL56" si="150">SUM(AG44:AG55)</f>
        <v>0</v>
      </c>
      <c r="AH56" s="256">
        <f t="shared" si="150"/>
        <v>0</v>
      </c>
      <c r="AI56" s="256">
        <f t="shared" si="150"/>
        <v>0</v>
      </c>
      <c r="AJ56" s="256">
        <f t="shared" si="150"/>
        <v>0</v>
      </c>
      <c r="AK56" s="257">
        <f t="shared" si="150"/>
        <v>0</v>
      </c>
      <c r="AL56" s="256">
        <f t="shared" si="150"/>
        <v>0</v>
      </c>
      <c r="AM56" s="276"/>
      <c r="AN56" s="256">
        <f t="shared" ref="AN56:AS56" si="151">SUM(AN44:AN55)</f>
        <v>0</v>
      </c>
      <c r="AO56" s="256">
        <f t="shared" si="151"/>
        <v>0</v>
      </c>
      <c r="AP56" s="256">
        <f t="shared" si="151"/>
        <v>0</v>
      </c>
      <c r="AQ56" s="256">
        <f t="shared" si="151"/>
        <v>0</v>
      </c>
      <c r="AR56" s="256">
        <f t="shared" si="151"/>
        <v>0</v>
      </c>
      <c r="AS56" s="256">
        <f t="shared" si="151"/>
        <v>0</v>
      </c>
      <c r="AT56" s="256">
        <f t="shared" ref="AT56" si="152">SUM(AT44:AT55)</f>
        <v>0</v>
      </c>
      <c r="AU56" s="256">
        <f>SUM(AU44:AU55)</f>
        <v>0</v>
      </c>
      <c r="AV56" s="233"/>
      <c r="AW56" s="256">
        <f>SUM(AW44:AW55)</f>
        <v>0</v>
      </c>
      <c r="AX56" s="233"/>
      <c r="AY56" s="234"/>
      <c r="AZ56" s="234"/>
      <c r="BA56" s="234"/>
      <c r="BB56" s="103" t="s">
        <v>1292</v>
      </c>
      <c r="BC56" s="39"/>
      <c r="BD56" s="39"/>
      <c r="BE56" s="39"/>
      <c r="BF56" s="49"/>
      <c r="BG56" s="39" t="s">
        <v>1094</v>
      </c>
      <c r="BH56" s="234" t="s">
        <v>1293</v>
      </c>
      <c r="BI56" s="234"/>
      <c r="BJ56" s="234"/>
      <c r="BK56" s="103" t="s">
        <v>1292</v>
      </c>
      <c r="BL56" s="39"/>
      <c r="BM56" s="39"/>
      <c r="BN56" s="39"/>
      <c r="BO56" s="49"/>
      <c r="BP56" s="39" t="s">
        <v>1094</v>
      </c>
      <c r="BQ56" s="234" t="s">
        <v>1293</v>
      </c>
      <c r="BR56" s="234"/>
      <c r="BS56" s="234"/>
      <c r="BT56" s="234"/>
      <c r="BU56" s="234"/>
      <c r="BV56" s="234"/>
      <c r="BW56" s="234"/>
      <c r="BX56" s="234"/>
      <c r="BY56" s="234"/>
      <c r="BZ56" s="234"/>
      <c r="CA56" s="234"/>
      <c r="CB56" s="234"/>
      <c r="CC56" s="234"/>
      <c r="CD56" s="234"/>
      <c r="CE56" s="234"/>
      <c r="CF56" s="234"/>
      <c r="CG56" s="234"/>
      <c r="CH56" s="234"/>
      <c r="CI56" s="234"/>
      <c r="CJ56" s="234"/>
      <c r="CK56" s="234"/>
      <c r="CL56" s="234"/>
      <c r="CM56" s="234"/>
      <c r="CN56" s="234"/>
      <c r="CO56" s="234"/>
      <c r="CP56" s="234"/>
      <c r="CQ56" s="234"/>
      <c r="CR56" s="234"/>
      <c r="CS56" s="234"/>
      <c r="CT56" s="234"/>
      <c r="CU56" s="234"/>
      <c r="CV56" s="234"/>
      <c r="CW56" s="234"/>
      <c r="CX56" s="234"/>
      <c r="CY56" s="31"/>
      <c r="CZ56" s="234"/>
      <c r="DA56" s="234"/>
      <c r="DB56" s="234"/>
      <c r="DC56" s="234"/>
      <c r="DD56" s="234"/>
      <c r="DE56" s="234"/>
      <c r="DF56" s="234"/>
      <c r="DG56" s="234"/>
      <c r="DH56" s="234"/>
      <c r="DI56" s="234"/>
      <c r="DJ56" s="234"/>
      <c r="DK56" s="234"/>
      <c r="DL56" s="234"/>
      <c r="DM56" s="234"/>
      <c r="DN56" s="234"/>
      <c r="DO56" s="234"/>
      <c r="DP56" s="234"/>
      <c r="DQ56" s="234"/>
      <c r="DR56" s="234"/>
      <c r="DS56" s="234"/>
      <c r="DT56" s="234"/>
    </row>
    <row r="57" spans="1:124" s="231" customFormat="1" ht="16.5" customHeight="1" x14ac:dyDescent="0.25">
      <c r="A57" s="232"/>
      <c r="B57" s="250"/>
      <c r="C57" s="232"/>
      <c r="D57" s="251"/>
      <c r="E57" s="251"/>
      <c r="F57" s="250"/>
      <c r="G57" s="250"/>
      <c r="H57" s="250"/>
      <c r="I57" s="84">
        <f>SUM(I45:I56)</f>
        <v>0</v>
      </c>
      <c r="J57" s="84">
        <f>SUM(J45:J56)</f>
        <v>0</v>
      </c>
      <c r="K57" s="250"/>
      <c r="L57" s="84">
        <f>SUM(L45:L56)</f>
        <v>0</v>
      </c>
      <c r="M57" s="84">
        <f>SUM(M45:M56)</f>
        <v>0</v>
      </c>
      <c r="N57" s="250"/>
      <c r="O57" s="84">
        <f>SUM(O45:O56)</f>
        <v>0</v>
      </c>
      <c r="P57" s="84">
        <f>SUM(P45:P56)</f>
        <v>0</v>
      </c>
      <c r="Q57" s="250"/>
      <c r="R57" s="250"/>
      <c r="S57" s="250"/>
      <c r="T57" s="250"/>
      <c r="U57" s="250"/>
      <c r="V57" s="250"/>
      <c r="W57" s="232"/>
      <c r="X57" s="236" t="s">
        <v>1377</v>
      </c>
      <c r="Y57" s="256">
        <f>IF($J$40=$Y$43,I57*$J$41,0)+IF($M$40=$Y$43,L57*$M$41,0)+IF($P$40=$Y$43,O57*$P$41,0)</f>
        <v>0</v>
      </c>
      <c r="Z57" s="256">
        <f>IF(OR(J40="El-panna",J40="Värmepump"),I57*J41,0)+IF(OR(M40="El-panna",M40="Värmepump"),L57*M41,0)+IF(OR(P40="El-panna",P40="Värmepump"),O57*P41,0)</f>
        <v>0</v>
      </c>
      <c r="AA57" s="257">
        <f>IF(OR(J40="Flispanna",J40="Pelletspanna",J40="Vedpanna"),I57*J41,0)+IF(OR(M40="Flispanna",M40="Pelletspanna",M40="Vedpanna"),L57*M41,0)+IF(OR(P40="Flispanna",P40="Pelletspanna",P40="Vedpanna"),O57*P41,0)</f>
        <v>0</v>
      </c>
      <c r="AB57" s="257">
        <f>IF(J40="Gaspanna",I57*J41,0)+IF(M40="Gaspanna",L57*M41,0)+IF(P40="Gaspanna",O57*P41,0)</f>
        <v>0</v>
      </c>
      <c r="AC57" s="257">
        <f>IF(J40="Oljepanna",I57/J41,0)+IF(M40="Oljepanna",L57/M41,0)+IF(P40="Oljepanna",O57/P41,0)</f>
        <v>0</v>
      </c>
      <c r="AD57" s="256">
        <f>SUM(Y57:AC57)</f>
        <v>0</v>
      </c>
      <c r="AE57" s="233"/>
      <c r="AF57" s="236" t="s">
        <v>1377</v>
      </c>
      <c r="AG57" s="263">
        <f>IF(AG56&gt;0,AG56*(Y57/Y56),0)</f>
        <v>0</v>
      </c>
      <c r="AH57" s="248">
        <f>IF(AH56&gt;0,AH56*(Z57/Z56),0)</f>
        <v>0</v>
      </c>
      <c r="AI57" s="248">
        <f>IF(AI56&gt;0,AI56*(AA57/AA56),0)</f>
        <v>0</v>
      </c>
      <c r="AJ57" s="248">
        <f>IF(AJ56&gt;0,AJ56*(AB57/AB56),0)</f>
        <v>0</v>
      </c>
      <c r="AK57" s="248">
        <f>IF(AK56&gt;0,AK56*(AC57/AC56),0)</f>
        <v>0</v>
      </c>
      <c r="AL57" s="256">
        <f>AG57+AH57+AI57+AJ57+AK57</f>
        <v>0</v>
      </c>
      <c r="AM57" s="273" t="s">
        <v>1312</v>
      </c>
      <c r="AN57" s="189">
        <f>IF(AG56&gt;0,AN56/AG56,0)</f>
        <v>0</v>
      </c>
      <c r="AO57" s="190">
        <f t="shared" ref="AO57:AR57" si="153">IF(AH56&gt;0,AO56/AH56,0)</f>
        <v>0</v>
      </c>
      <c r="AP57" s="189">
        <f t="shared" si="153"/>
        <v>0</v>
      </c>
      <c r="AQ57" s="189">
        <f t="shared" si="153"/>
        <v>0</v>
      </c>
      <c r="AR57" s="189">
        <f t="shared" si="153"/>
        <v>0</v>
      </c>
      <c r="AS57" s="233"/>
      <c r="AT57" s="233"/>
      <c r="AU57" s="233"/>
      <c r="AV57" s="233"/>
      <c r="AW57" s="233"/>
      <c r="AX57" s="233"/>
      <c r="AY57" s="58"/>
      <c r="AZ57" s="234"/>
      <c r="BA57" s="41" t="s">
        <v>1290</v>
      </c>
      <c r="BB57" s="47">
        <f>IF(BB45&gt;0,($BB$55*BB45*'Indata byggnad och BBR krav'!$C$16/1000),0)</f>
        <v>0</v>
      </c>
      <c r="BC57" s="47">
        <f>IF(BC45&gt;0,($BB$55*BC45*'Indata byggnad och BBR krav'!$C$16/1000),0)</f>
        <v>0</v>
      </c>
      <c r="BD57" s="47">
        <f>IF(BD45&gt;0,($BB$55*BD45*'Indata byggnad och BBR krav'!$C$16/1000),0)</f>
        <v>0</v>
      </c>
      <c r="BE57" s="47">
        <f>IF(BE45&gt;0,($BB$55*BE45*'Indata byggnad och BBR krav'!$C$16/1000),0)</f>
        <v>0</v>
      </c>
      <c r="BF57" s="47">
        <f>IF(BF45&gt;0,($BB$55*BF45*'Indata byggnad och BBR krav'!$C$16/1000),0)</f>
        <v>0</v>
      </c>
      <c r="BG57" s="104">
        <f>SUM(BB57:BF57)</f>
        <v>0</v>
      </c>
      <c r="BH57" s="44" t="e">
        <f>BG57*1000/'Indata byggnad och BBR krav'!$C$16</f>
        <v>#DIV/0!</v>
      </c>
      <c r="BI57" s="234"/>
      <c r="BJ57" s="41" t="s">
        <v>1290</v>
      </c>
      <c r="BK57" s="47">
        <f>IF(BK45&gt;0,($BK$55*BK45*'Indata byggnad och BBR krav'!$C$16/1000),0)</f>
        <v>0</v>
      </c>
      <c r="BL57" s="47">
        <f>IF(BL45&gt;0,($BK$55*BL45*'Indata byggnad och BBR krav'!$C$16/1000),0)</f>
        <v>0</v>
      </c>
      <c r="BM57" s="47">
        <f>IF(BM45&gt;0,($BK$55*BM45*'Indata byggnad och BBR krav'!$C$16/1000),0)</f>
        <v>0</v>
      </c>
      <c r="BN57" s="47">
        <f>IF(BN45&gt;0,($BK$55*BN45*'Indata byggnad och BBR krav'!$C$16/1000),0)</f>
        <v>0</v>
      </c>
      <c r="BO57" s="47">
        <f>IF(BO45&gt;0,($BK$55*BO45*'Indata byggnad och BBR krav'!$C$16/1000),0)</f>
        <v>0</v>
      </c>
      <c r="BP57" s="104">
        <f>SUM(BK57:BO57)</f>
        <v>0</v>
      </c>
      <c r="BQ57" s="44" t="e">
        <f>BP57*1000/'Indata byggnad och BBR krav'!$C$16</f>
        <v>#DIV/0!</v>
      </c>
      <c r="BR57" s="234"/>
      <c r="BS57" s="234"/>
      <c r="BT57" s="234"/>
      <c r="BU57" s="234"/>
      <c r="BV57" s="234"/>
      <c r="BW57" s="234"/>
      <c r="BX57" s="234"/>
      <c r="BY57" s="234"/>
      <c r="BZ57" s="234"/>
      <c r="CA57" s="234"/>
      <c r="CB57" s="234"/>
      <c r="CC57" s="234"/>
      <c r="CD57" s="234"/>
      <c r="CE57" s="234"/>
      <c r="CF57" s="234"/>
      <c r="CG57" s="234"/>
      <c r="CH57" s="234"/>
      <c r="CI57" s="234"/>
      <c r="CJ57" s="234"/>
      <c r="CK57" s="234"/>
      <c r="CL57" s="234"/>
      <c r="CM57" s="234"/>
      <c r="CN57" s="234"/>
      <c r="CO57" s="234"/>
      <c r="CP57" s="234"/>
      <c r="CQ57" s="234"/>
      <c r="CR57" s="234"/>
      <c r="CS57" s="234"/>
      <c r="CT57" s="234"/>
      <c r="CU57" s="234"/>
      <c r="CV57" s="234"/>
      <c r="CW57" s="234"/>
      <c r="CX57" s="234"/>
      <c r="CY57" s="31"/>
      <c r="CZ57" s="234"/>
      <c r="DA57" s="234"/>
      <c r="DB57" s="234"/>
      <c r="DC57" s="234"/>
      <c r="DD57" s="234"/>
      <c r="DE57" s="234"/>
      <c r="DF57" s="234"/>
      <c r="DG57" s="234"/>
      <c r="DH57" s="234"/>
      <c r="DI57" s="234"/>
      <c r="DJ57" s="234"/>
      <c r="DK57" s="234"/>
      <c r="DL57" s="234"/>
      <c r="DM57" s="234"/>
      <c r="DN57" s="234"/>
      <c r="DO57" s="234"/>
      <c r="DP57" s="234"/>
      <c r="DQ57" s="234"/>
      <c r="DR57" s="234"/>
      <c r="DS57" s="234"/>
      <c r="DT57" s="234"/>
    </row>
    <row r="58" spans="1:124" s="231" customFormat="1" ht="20.25" customHeight="1" thickBot="1" x14ac:dyDescent="0.3">
      <c r="A58" s="232"/>
      <c r="B58" s="232"/>
      <c r="D58" s="232"/>
      <c r="E58" s="232"/>
      <c r="F58" s="211"/>
      <c r="G58" s="211"/>
      <c r="H58" s="211"/>
      <c r="I58" s="211"/>
      <c r="J58" s="211"/>
      <c r="K58" s="211"/>
      <c r="L58" s="211"/>
      <c r="M58" s="211"/>
      <c r="N58" s="211"/>
      <c r="O58" s="211"/>
      <c r="P58" s="211"/>
      <c r="Q58" s="211"/>
      <c r="R58" s="232"/>
      <c r="S58" s="232"/>
      <c r="T58" s="232"/>
      <c r="U58" s="232"/>
      <c r="V58" s="232"/>
      <c r="W58" s="232"/>
      <c r="X58" s="273" t="s">
        <v>1195</v>
      </c>
      <c r="Y58" s="258">
        <f>IF($AD$57&gt;0,Y57/$AD$57,0)</f>
        <v>0</v>
      </c>
      <c r="Z58" s="258">
        <f t="shared" ref="Z58:AC58" si="154">IF($AD$57&gt;0,Z57/$AD$57,0)</f>
        <v>0</v>
      </c>
      <c r="AA58" s="258">
        <f t="shared" si="154"/>
        <v>0</v>
      </c>
      <c r="AB58" s="258">
        <f t="shared" si="154"/>
        <v>0</v>
      </c>
      <c r="AC58" s="258">
        <f t="shared" si="154"/>
        <v>0</v>
      </c>
      <c r="AD58" s="233"/>
      <c r="AE58" s="233"/>
      <c r="AF58" s="273" t="s">
        <v>1195</v>
      </c>
      <c r="AG58" s="275">
        <f>IF($AL$57&gt;0,AG57/$AL$57,0)</f>
        <v>0</v>
      </c>
      <c r="AH58" s="275">
        <f t="shared" ref="AH58:AK58" si="155">IF($AL$57&gt;0,AH57/$AL$57,0)</f>
        <v>0</v>
      </c>
      <c r="AI58" s="275">
        <f t="shared" si="155"/>
        <v>0</v>
      </c>
      <c r="AJ58" s="275">
        <f t="shared" si="155"/>
        <v>0</v>
      </c>
      <c r="AK58" s="275">
        <f t="shared" si="155"/>
        <v>0</v>
      </c>
      <c r="AL58" s="233"/>
      <c r="AM58" s="273" t="s">
        <v>1195</v>
      </c>
      <c r="AN58" s="275">
        <f>IF($AS$56&gt;0,AN56/$AS$56,0)</f>
        <v>0</v>
      </c>
      <c r="AO58" s="275">
        <f t="shared" ref="AO58:AR58" si="156">IF($AS$56&gt;0,AO56/$AS$56,0)</f>
        <v>0</v>
      </c>
      <c r="AP58" s="275">
        <f t="shared" si="156"/>
        <v>0</v>
      </c>
      <c r="AQ58" s="275">
        <f t="shared" si="156"/>
        <v>0</v>
      </c>
      <c r="AR58" s="275">
        <f t="shared" si="156"/>
        <v>0</v>
      </c>
      <c r="AS58" s="233"/>
      <c r="AT58" s="233"/>
      <c r="AU58" s="233"/>
      <c r="AV58" s="233"/>
      <c r="AW58" s="233"/>
      <c r="AX58" s="233"/>
      <c r="AY58" s="49"/>
      <c r="AZ58" s="49"/>
      <c r="BA58" s="41" t="s">
        <v>1291</v>
      </c>
      <c r="BB58" s="104">
        <f>IF(BB45&gt;0,BB57/BB44,0)</f>
        <v>0</v>
      </c>
      <c r="BC58" s="104">
        <f>IF(BC45&gt;0,BC57/BC44,0)</f>
        <v>0</v>
      </c>
      <c r="BD58" s="104">
        <f>IF(BD45&gt;0,BD57/BD44,0)</f>
        <v>0</v>
      </c>
      <c r="BE58" s="104">
        <f>IF(BE45&gt;0,BE57/BE44,0)</f>
        <v>0</v>
      </c>
      <c r="BF58" s="104">
        <f>IF(BF45&gt;0,BF57/BF44,0)</f>
        <v>0</v>
      </c>
      <c r="BG58" s="104">
        <f>SUM(BB58:BF58)</f>
        <v>0</v>
      </c>
      <c r="BH58" s="44" t="e">
        <f>BG58*1000/'Indata byggnad och BBR krav'!$C$16</f>
        <v>#DIV/0!</v>
      </c>
      <c r="BI58" s="49"/>
      <c r="BJ58" s="41" t="s">
        <v>1291</v>
      </c>
      <c r="BK58" s="104">
        <f>IF(BK45&gt;0,BK57/BK44,0)</f>
        <v>0</v>
      </c>
      <c r="BL58" s="104">
        <f t="shared" ref="BL58:BO58" si="157">IF(BL45&gt;0,BL57/BL44,0)</f>
        <v>0</v>
      </c>
      <c r="BM58" s="104">
        <f t="shared" si="157"/>
        <v>0</v>
      </c>
      <c r="BN58" s="104">
        <f t="shared" si="157"/>
        <v>0</v>
      </c>
      <c r="BO58" s="104">
        <f t="shared" si="157"/>
        <v>0</v>
      </c>
      <c r="BP58" s="104">
        <f>SUM(BK58:BO58)</f>
        <v>0</v>
      </c>
      <c r="BQ58" s="44" t="e">
        <f>BP58*1000/'Indata byggnad och BBR krav'!$C$16</f>
        <v>#DIV/0!</v>
      </c>
      <c r="BR58" s="234"/>
      <c r="BS58" s="234"/>
      <c r="BT58" s="234"/>
      <c r="BU58" s="234"/>
      <c r="BV58" s="234"/>
      <c r="BW58" s="234"/>
      <c r="BX58" s="234"/>
      <c r="BY58" s="234"/>
      <c r="BZ58" s="234"/>
      <c r="CA58" s="234"/>
      <c r="CB58" s="234"/>
      <c r="CC58" s="234"/>
      <c r="CD58" s="234"/>
      <c r="CE58" s="234"/>
      <c r="CF58" s="234"/>
      <c r="CG58" s="234"/>
      <c r="CH58" s="234"/>
      <c r="CI58" s="234"/>
      <c r="CJ58" s="234"/>
      <c r="CK58" s="234"/>
      <c r="CL58" s="234"/>
      <c r="CM58" s="234"/>
      <c r="CN58" s="234"/>
      <c r="CO58" s="234"/>
      <c r="CP58" s="234"/>
      <c r="CQ58" s="234"/>
      <c r="CR58" s="234"/>
      <c r="CS58" s="234"/>
      <c r="CT58" s="234"/>
      <c r="CU58" s="234"/>
      <c r="CV58" s="234"/>
      <c r="CW58" s="234"/>
      <c r="CX58" s="234"/>
      <c r="CY58" s="31"/>
      <c r="CZ58" s="234"/>
      <c r="DA58" s="234"/>
      <c r="DB58" s="234"/>
      <c r="DC58" s="234"/>
      <c r="DD58" s="234"/>
      <c r="DE58" s="234"/>
      <c r="DF58" s="234"/>
      <c r="DG58" s="234"/>
      <c r="DH58" s="234"/>
      <c r="DI58" s="234"/>
      <c r="DJ58" s="234"/>
      <c r="DK58" s="234"/>
      <c r="DL58" s="234"/>
      <c r="DM58" s="234"/>
      <c r="DN58" s="234"/>
      <c r="DO58" s="234"/>
      <c r="DP58" s="234"/>
      <c r="DQ58" s="234"/>
      <c r="DR58" s="234"/>
      <c r="DS58" s="234"/>
      <c r="DT58" s="234"/>
    </row>
    <row r="59" spans="1:124" s="231" customFormat="1" ht="16.5" customHeight="1" thickBot="1" x14ac:dyDescent="0.3">
      <c r="A59" s="232"/>
      <c r="B59" s="232"/>
      <c r="D59" s="232"/>
      <c r="E59" s="232"/>
      <c r="F59" s="214" t="s">
        <v>1346</v>
      </c>
      <c r="G59" s="211"/>
      <c r="H59" s="211"/>
      <c r="I59" s="211"/>
      <c r="J59" s="211"/>
      <c r="K59" s="211"/>
      <c r="L59" s="211"/>
      <c r="M59" s="211"/>
      <c r="N59" s="211"/>
      <c r="O59" s="211"/>
      <c r="P59" s="211"/>
      <c r="Q59" s="211"/>
      <c r="R59" s="37"/>
      <c r="S59" s="37"/>
      <c r="T59" s="37"/>
      <c r="U59" s="37"/>
      <c r="V59" s="37"/>
      <c r="W59" s="232"/>
      <c r="X59" s="236" t="s">
        <v>1378</v>
      </c>
      <c r="Y59" s="248">
        <f>(Y57-$AC$142*Y58)</f>
        <v>0</v>
      </c>
      <c r="Z59" s="248">
        <f>(Z57-$AC$142*Z58)</f>
        <v>0</v>
      </c>
      <c r="AA59" s="248">
        <f>(AA57-$AC$142*AA58)</f>
        <v>0</v>
      </c>
      <c r="AB59" s="248">
        <f>(AB57-$AC$142*AB58)</f>
        <v>0</v>
      </c>
      <c r="AC59" s="248">
        <f>(AC57-$AC$142*AC58)</f>
        <v>0</v>
      </c>
      <c r="AD59" s="248">
        <f>SUM(Y59:AC59)</f>
        <v>0</v>
      </c>
      <c r="AE59" s="233"/>
      <c r="AF59" s="236" t="s">
        <v>1378</v>
      </c>
      <c r="AG59" s="248">
        <f>(AG57-$AC$142*AG58)</f>
        <v>0</v>
      </c>
      <c r="AH59" s="248">
        <f>(AH57-$AC$142*AH58)</f>
        <v>0</v>
      </c>
      <c r="AI59" s="248">
        <f>(AI57-$AC$142*AI58)</f>
        <v>0</v>
      </c>
      <c r="AJ59" s="248">
        <f>(AJ57-$AC$142*AJ58)</f>
        <v>0</v>
      </c>
      <c r="AK59" s="248">
        <f>(AK57-$AC$142*AK58)</f>
        <v>0</v>
      </c>
      <c r="AL59" s="248">
        <f>SUM(AG59:AK59)</f>
        <v>0</v>
      </c>
      <c r="AM59" s="247"/>
      <c r="AN59" s="249"/>
      <c r="AO59" s="249"/>
      <c r="AP59" s="249"/>
      <c r="AQ59" s="249"/>
      <c r="AR59" s="249"/>
      <c r="AS59" s="249"/>
      <c r="AT59" s="249"/>
      <c r="AU59" s="249"/>
      <c r="AV59" s="249"/>
      <c r="AW59" s="249"/>
      <c r="AX59" s="249"/>
      <c r="AY59" s="49"/>
      <c r="AZ59" s="49"/>
      <c r="BA59" s="41" t="s">
        <v>1201</v>
      </c>
      <c r="BB59" s="47">
        <f>BB58</f>
        <v>0</v>
      </c>
      <c r="BC59" s="47">
        <f>BC58-$Y$142</f>
        <v>0</v>
      </c>
      <c r="BD59" s="47">
        <f>BD58</f>
        <v>0</v>
      </c>
      <c r="BE59" s="47">
        <f>BE58</f>
        <v>0</v>
      </c>
      <c r="BF59" s="47">
        <f>BF58</f>
        <v>0</v>
      </c>
      <c r="BG59" s="105">
        <f>SUM(BB59:BF59)</f>
        <v>0</v>
      </c>
      <c r="BH59" s="44" t="e">
        <f>BG59*1000/'Indata byggnad och BBR krav'!$C$16</f>
        <v>#DIV/0!</v>
      </c>
      <c r="BI59" s="49"/>
      <c r="BJ59" s="291" t="s">
        <v>1395</v>
      </c>
      <c r="BK59" s="47">
        <f>BK58</f>
        <v>0</v>
      </c>
      <c r="BL59" s="47">
        <f t="shared" ref="BL59:BO59" si="158">BL58</f>
        <v>0</v>
      </c>
      <c r="BM59" s="47">
        <f t="shared" si="158"/>
        <v>0</v>
      </c>
      <c r="BN59" s="47">
        <f t="shared" si="158"/>
        <v>0</v>
      </c>
      <c r="BO59" s="47">
        <f t="shared" si="158"/>
        <v>0</v>
      </c>
      <c r="BP59" s="105">
        <f>SUM(BK59:BO59)</f>
        <v>0</v>
      </c>
      <c r="BQ59" s="44" t="e">
        <f>BP59*1000/'Indata byggnad och BBR krav'!$C$16</f>
        <v>#DIV/0!</v>
      </c>
      <c r="BR59" s="234"/>
      <c r="BS59" s="234"/>
      <c r="BT59" s="234"/>
      <c r="BU59" s="234"/>
      <c r="BV59" s="234"/>
      <c r="BW59" s="234"/>
      <c r="BX59" s="234"/>
      <c r="BY59" s="234"/>
      <c r="BZ59" s="234"/>
      <c r="CA59" s="234"/>
      <c r="CB59" s="234"/>
      <c r="CC59" s="234"/>
      <c r="CD59" s="234"/>
      <c r="CE59" s="234"/>
      <c r="CF59" s="234"/>
      <c r="CG59" s="234"/>
      <c r="CH59" s="234"/>
      <c r="CI59" s="234"/>
      <c r="CJ59" s="234"/>
      <c r="CK59" s="234"/>
      <c r="CL59" s="234"/>
      <c r="CM59" s="234"/>
      <c r="CN59" s="234"/>
      <c r="CO59" s="234"/>
      <c r="CP59" s="234"/>
      <c r="CQ59" s="234"/>
      <c r="CR59" s="234"/>
      <c r="CS59" s="234"/>
      <c r="CT59" s="234"/>
      <c r="CU59" s="234"/>
      <c r="CV59" s="234"/>
      <c r="CW59" s="234"/>
      <c r="CX59" s="234"/>
      <c r="CY59" s="31"/>
      <c r="CZ59" s="234"/>
      <c r="DA59" s="234"/>
      <c r="DB59" s="234"/>
      <c r="DC59" s="234"/>
      <c r="DD59" s="234"/>
      <c r="DE59" s="234"/>
      <c r="DF59" s="234"/>
      <c r="DG59" s="234"/>
      <c r="DH59" s="234"/>
      <c r="DI59" s="234"/>
      <c r="DJ59" s="234"/>
      <c r="DK59" s="234"/>
      <c r="DL59" s="234"/>
      <c r="DM59" s="234"/>
      <c r="DN59" s="234"/>
      <c r="DO59" s="234"/>
      <c r="DP59" s="234"/>
      <c r="DQ59" s="234"/>
      <c r="DR59" s="234"/>
      <c r="DS59" s="234"/>
      <c r="DT59" s="234"/>
    </row>
    <row r="60" spans="1:124" s="231" customFormat="1" ht="16.5" customHeight="1" thickBot="1" x14ac:dyDescent="0.3">
      <c r="A60" s="232"/>
      <c r="B60" s="232"/>
      <c r="C60" s="232"/>
      <c r="D60" s="232"/>
      <c r="E60" s="232"/>
      <c r="F60" s="215" t="str">
        <f>IF(OR($D$41="Inkluderad i energi för uppvärmning",$D$41="Inkluderad i energi för tappvarmvatten"),"(Separat mätning finns inte)","")</f>
        <v/>
      </c>
      <c r="G60" s="211"/>
      <c r="H60" s="211"/>
      <c r="I60" s="211"/>
      <c r="J60" s="461" t="str">
        <f>J40</f>
        <v>Fjärrvärme</v>
      </c>
      <c r="K60" s="211"/>
      <c r="L60" s="211"/>
      <c r="M60" s="212" t="str">
        <f>IF(M40="","",M40)</f>
        <v>Värmepump</v>
      </c>
      <c r="N60" s="211"/>
      <c r="O60" s="211"/>
      <c r="P60" s="212" t="str">
        <f>IF(P40="","",P40)</f>
        <v>El-panna</v>
      </c>
      <c r="Q60" s="211"/>
      <c r="R60" s="246"/>
      <c r="S60" s="246"/>
      <c r="T60" s="246"/>
      <c r="U60" s="246"/>
      <c r="V60" s="246"/>
      <c r="W60" s="232"/>
      <c r="X60" s="236" t="s">
        <v>1379</v>
      </c>
      <c r="Y60" s="248">
        <f>(Y59-($AE$142+$AG$142)*Y58)</f>
        <v>0</v>
      </c>
      <c r="Z60" s="248">
        <f>(Z59-($AE$142+$AG$142)*Z58)</f>
        <v>0</v>
      </c>
      <c r="AA60" s="248">
        <f>(AA59-($AE$142+$AG$142)*AA58)</f>
        <v>0</v>
      </c>
      <c r="AB60" s="248">
        <f>(AB59-($AE$142+$AG$142)*AB58)</f>
        <v>0</v>
      </c>
      <c r="AC60" s="248">
        <f>(AC59-($AE$142+$AG$142)*AC58)</f>
        <v>0</v>
      </c>
      <c r="AD60" s="248">
        <f>SUM(Y60:AC60)</f>
        <v>0</v>
      </c>
      <c r="AE60" s="233"/>
      <c r="AF60" s="236" t="s">
        <v>1379</v>
      </c>
      <c r="AG60" s="248">
        <f>(AG59-($AE$142+$AG$142)*AG58)</f>
        <v>0</v>
      </c>
      <c r="AH60" s="248">
        <f>(AH59-($AE$142+$AG$142)*AH58)</f>
        <v>0</v>
      </c>
      <c r="AI60" s="248">
        <f>(AI59-($AE$142+$AG$142)*AI58)</f>
        <v>0</v>
      </c>
      <c r="AJ60" s="248">
        <f>(AJ59-($AE$142+$AG$142)*AJ58)</f>
        <v>0</v>
      </c>
      <c r="AK60" s="248">
        <f>(AK59-($AE$142+$AG$142)*AK58)</f>
        <v>0</v>
      </c>
      <c r="AL60" s="248">
        <f>SUM(AG60:AK60)</f>
        <v>0</v>
      </c>
      <c r="AM60" s="247"/>
      <c r="AN60" s="247"/>
      <c r="AO60" s="247"/>
      <c r="AP60" s="247"/>
      <c r="AQ60" s="247"/>
      <c r="AR60" s="247"/>
      <c r="AS60" s="247"/>
      <c r="AT60" s="247"/>
      <c r="AU60" s="247"/>
      <c r="AV60" s="247"/>
      <c r="AW60" s="247"/>
      <c r="AX60" s="247"/>
      <c r="AY60" s="49"/>
      <c r="AZ60" s="49"/>
      <c r="BA60" s="41" t="s">
        <v>1294</v>
      </c>
      <c r="BB60" s="85">
        <f>BB59*BB40</f>
        <v>0</v>
      </c>
      <c r="BC60" s="85">
        <f>BC59*BC40</f>
        <v>0</v>
      </c>
      <c r="BD60" s="85">
        <f>BD59*BD40</f>
        <v>0</v>
      </c>
      <c r="BE60" s="85">
        <f>BE59*BE40</f>
        <v>0</v>
      </c>
      <c r="BF60" s="85">
        <f>BF59*BF40</f>
        <v>0</v>
      </c>
      <c r="BG60" s="96">
        <f>SUM(BB60:BF60)</f>
        <v>0</v>
      </c>
      <c r="BH60" s="44" t="e">
        <f>BG60*1000/'Indata byggnad och BBR krav'!$C$16</f>
        <v>#DIV/0!</v>
      </c>
      <c r="BI60" s="49"/>
      <c r="BJ60" s="41" t="s">
        <v>1294</v>
      </c>
      <c r="BK60" s="85">
        <f>BK59*BK40</f>
        <v>0</v>
      </c>
      <c r="BL60" s="85">
        <f>BL59*BL40</f>
        <v>0</v>
      </c>
      <c r="BM60" s="85">
        <f>BM59*BM40</f>
        <v>0</v>
      </c>
      <c r="BN60" s="85">
        <f>BN59*BN40</f>
        <v>0</v>
      </c>
      <c r="BO60" s="85">
        <f>BO59*BO40</f>
        <v>0</v>
      </c>
      <c r="BP60" s="96">
        <f>SUM(BK60:BO60)</f>
        <v>0</v>
      </c>
      <c r="BQ60" s="44" t="e">
        <f>BP60*1000/'Indata byggnad och BBR krav'!$C$16</f>
        <v>#DIV/0!</v>
      </c>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31"/>
      <c r="CZ60" s="234"/>
      <c r="DA60" s="234"/>
      <c r="DB60" s="234"/>
      <c r="DC60" s="234"/>
      <c r="DD60" s="234"/>
      <c r="DE60" s="234"/>
      <c r="DF60" s="234"/>
      <c r="DG60" s="234"/>
      <c r="DH60" s="234"/>
      <c r="DI60" s="234"/>
      <c r="DJ60" s="234"/>
      <c r="DK60" s="234"/>
      <c r="DL60" s="234"/>
      <c r="DM60" s="234"/>
      <c r="DN60" s="234"/>
      <c r="DO60" s="234"/>
      <c r="DP60" s="234"/>
      <c r="DQ60" s="234"/>
      <c r="DR60" s="234"/>
      <c r="DS60" s="234"/>
      <c r="DT60" s="234"/>
    </row>
    <row r="61" spans="1:124" s="231" customFormat="1" ht="16.5" customHeight="1" thickBot="1" x14ac:dyDescent="0.3">
      <c r="A61" s="232"/>
      <c r="B61" s="232"/>
      <c r="C61" s="232"/>
      <c r="D61" s="232"/>
      <c r="E61" s="232"/>
      <c r="F61" s="232"/>
      <c r="G61" s="37"/>
      <c r="H61" s="37"/>
      <c r="I61" s="97"/>
      <c r="J61" s="477" t="s">
        <v>1132</v>
      </c>
      <c r="K61" s="66"/>
      <c r="L61" s="97"/>
      <c r="M61" s="66" t="s">
        <v>1132</v>
      </c>
      <c r="N61" s="66"/>
      <c r="O61" s="97"/>
      <c r="P61" s="66" t="s">
        <v>1132</v>
      </c>
      <c r="Q61" s="66"/>
      <c r="R61" s="66"/>
      <c r="S61" s="66"/>
      <c r="T61" s="66"/>
      <c r="U61" s="66"/>
      <c r="V61" s="66"/>
      <c r="W61" s="232"/>
      <c r="X61" s="236" t="s">
        <v>1380</v>
      </c>
      <c r="Y61" s="259">
        <f>IF(Y58&gt;0,Y60/(Y57/Y56),0)</f>
        <v>0</v>
      </c>
      <c r="Z61" s="259">
        <f t="shared" ref="Z61:AC61" si="159">IF(Z58&gt;0,Z60/(Z57/Z56),0)</f>
        <v>0</v>
      </c>
      <c r="AA61" s="259">
        <f t="shared" si="159"/>
        <v>0</v>
      </c>
      <c r="AB61" s="259">
        <f t="shared" si="159"/>
        <v>0</v>
      </c>
      <c r="AC61" s="259">
        <f t="shared" si="159"/>
        <v>0</v>
      </c>
      <c r="AD61" s="303">
        <f>SUM(Y61:AC61)</f>
        <v>0</v>
      </c>
      <c r="AE61" s="233"/>
      <c r="AF61" s="236" t="s">
        <v>1380</v>
      </c>
      <c r="AG61" s="259">
        <f>IF(AG58&gt;0,AG60/(AG57/AG56),0)</f>
        <v>0</v>
      </c>
      <c r="AH61" s="259">
        <f t="shared" ref="AH61:AK61" si="160">IF(AH58&gt;0,AH60/(AH57/AH56),0)</f>
        <v>0</v>
      </c>
      <c r="AI61" s="259">
        <f t="shared" si="160"/>
        <v>0</v>
      </c>
      <c r="AJ61" s="259">
        <f t="shared" si="160"/>
        <v>0</v>
      </c>
      <c r="AK61" s="259">
        <f t="shared" si="160"/>
        <v>0</v>
      </c>
      <c r="AL61" s="176">
        <f>SUM(AG61:AK61)</f>
        <v>0</v>
      </c>
      <c r="AM61" s="247"/>
      <c r="AN61" s="247"/>
      <c r="AO61" s="247"/>
      <c r="AP61" s="247"/>
      <c r="AQ61" s="247"/>
      <c r="AR61" s="247"/>
      <c r="AS61" s="247"/>
      <c r="AT61" s="247"/>
      <c r="AU61" s="247"/>
      <c r="AV61" s="247"/>
      <c r="AW61" s="247"/>
      <c r="AX61" s="247"/>
      <c r="AY61" s="49"/>
      <c r="AZ61" s="49"/>
      <c r="BA61" s="41" t="s">
        <v>1295</v>
      </c>
      <c r="BB61" s="85">
        <f>BB59*BB41</f>
        <v>0</v>
      </c>
      <c r="BC61" s="85">
        <f>BC59*BC41</f>
        <v>0</v>
      </c>
      <c r="BD61" s="85">
        <f>BD59*BD41</f>
        <v>0</v>
      </c>
      <c r="BE61" s="85">
        <f>BE59*BE41</f>
        <v>0</v>
      </c>
      <c r="BF61" s="85">
        <f>BF59*BF41</f>
        <v>0</v>
      </c>
      <c r="BG61" s="96">
        <f>SUM(BB61:BF61)</f>
        <v>0</v>
      </c>
      <c r="BH61" s="44" t="e">
        <f>BG61*1000/'Indata byggnad och BBR krav'!$C$16</f>
        <v>#DIV/0!</v>
      </c>
      <c r="BI61" s="49"/>
      <c r="BJ61" s="41" t="s">
        <v>1295</v>
      </c>
      <c r="BK61" s="85">
        <f>BK59*BK41</f>
        <v>0</v>
      </c>
      <c r="BL61" s="85">
        <f>BL59*BL41</f>
        <v>0</v>
      </c>
      <c r="BM61" s="85">
        <f>BM59*BM41</f>
        <v>0</v>
      </c>
      <c r="BN61" s="85">
        <f>BN59*BN41</f>
        <v>0</v>
      </c>
      <c r="BO61" s="85">
        <f>BO59*BO41</f>
        <v>0</v>
      </c>
      <c r="BP61" s="96">
        <f>SUM(BK61:BO61)</f>
        <v>0</v>
      </c>
      <c r="BQ61" s="44" t="e">
        <f>BP61*1000/'Indata byggnad och BBR krav'!$C$16</f>
        <v>#DIV/0!</v>
      </c>
      <c r="BR61" s="234"/>
      <c r="BS61" s="234"/>
      <c r="BT61" s="234"/>
      <c r="BU61" s="234"/>
      <c r="BV61" s="234"/>
      <c r="BW61" s="234"/>
      <c r="BX61" s="234"/>
      <c r="BY61" s="234"/>
      <c r="BZ61" s="234"/>
      <c r="CA61" s="234"/>
      <c r="CB61" s="234"/>
      <c r="CC61" s="234"/>
      <c r="CD61" s="234"/>
      <c r="CE61" s="234"/>
      <c r="CF61" s="234"/>
      <c r="CG61" s="234"/>
      <c r="CH61" s="234"/>
      <c r="CI61" s="234"/>
      <c r="CJ61" s="234"/>
      <c r="CK61" s="234"/>
      <c r="CL61" s="234"/>
      <c r="CM61" s="234"/>
      <c r="CN61" s="234"/>
      <c r="CO61" s="234"/>
      <c r="CP61" s="234"/>
      <c r="CQ61" s="234"/>
      <c r="CR61" s="234"/>
      <c r="CS61" s="234"/>
      <c r="CT61" s="234"/>
      <c r="CU61" s="234"/>
      <c r="CV61" s="234"/>
      <c r="CW61" s="234"/>
      <c r="CX61" s="234"/>
      <c r="CY61" s="31"/>
      <c r="CZ61" s="234"/>
      <c r="DA61" s="234"/>
      <c r="DB61" s="234"/>
      <c r="DC61" s="234"/>
      <c r="DD61" s="234"/>
      <c r="DE61" s="234"/>
      <c r="DF61" s="234"/>
      <c r="DG61" s="234"/>
      <c r="DH61" s="234"/>
      <c r="DI61" s="234"/>
      <c r="DJ61" s="234"/>
      <c r="DK61" s="234"/>
      <c r="DL61" s="234"/>
      <c r="DM61" s="234"/>
      <c r="DN61" s="234"/>
      <c r="DO61" s="234"/>
      <c r="DP61" s="234"/>
      <c r="DQ61" s="234"/>
      <c r="DR61" s="234"/>
      <c r="DS61" s="234"/>
      <c r="DT61" s="234"/>
    </row>
    <row r="62" spans="1:124" s="231" customFormat="1" ht="16.5" customHeight="1" thickBot="1" x14ac:dyDescent="0.3">
      <c r="A62" s="232"/>
      <c r="B62" s="250"/>
      <c r="C62" s="232"/>
      <c r="D62" s="232"/>
      <c r="E62" s="251"/>
      <c r="F62" s="391" t="s">
        <v>1044</v>
      </c>
      <c r="G62" s="391" t="s">
        <v>1045</v>
      </c>
      <c r="H62" s="70"/>
      <c r="I62" s="106" t="s">
        <v>1075</v>
      </c>
      <c r="J62" s="442" t="s">
        <v>1046</v>
      </c>
      <c r="K62" s="70"/>
      <c r="L62" s="106" t="s">
        <v>1075</v>
      </c>
      <c r="M62" s="442" t="s">
        <v>1046</v>
      </c>
      <c r="N62" s="9"/>
      <c r="O62" s="444" t="s">
        <v>1075</v>
      </c>
      <c r="P62" s="442" t="s">
        <v>1046</v>
      </c>
      <c r="Q62" s="37"/>
      <c r="R62" s="37"/>
      <c r="S62" s="37"/>
      <c r="T62" s="37"/>
      <c r="U62" s="37"/>
      <c r="V62" s="37"/>
      <c r="W62" s="232"/>
      <c r="X62" s="236" t="s">
        <v>1381</v>
      </c>
      <c r="Y62" s="248">
        <f>Y61</f>
        <v>0</v>
      </c>
      <c r="Z62" s="248">
        <f>Z61-$Y$142</f>
        <v>0</v>
      </c>
      <c r="AA62" s="248">
        <f>AA60</f>
        <v>0</v>
      </c>
      <c r="AB62" s="248">
        <f>AB61</f>
        <v>0</v>
      </c>
      <c r="AC62" s="263">
        <f>AC61</f>
        <v>0</v>
      </c>
      <c r="AD62" s="248">
        <f>SUM(Y62:AC62)</f>
        <v>0</v>
      </c>
      <c r="AE62" s="233"/>
      <c r="AF62" s="236" t="s">
        <v>1381</v>
      </c>
      <c r="AG62" s="248">
        <f>AG61</f>
        <v>0</v>
      </c>
      <c r="AH62" s="248">
        <f>AH61-$Y$142</f>
        <v>0</v>
      </c>
      <c r="AI62" s="248">
        <f>AI60</f>
        <v>0</v>
      </c>
      <c r="AJ62" s="248">
        <f>AJ61</f>
        <v>0</v>
      </c>
      <c r="AK62" s="263">
        <f>AK61</f>
        <v>0</v>
      </c>
      <c r="AL62" s="260">
        <f>SUM(AG62:AK62)</f>
        <v>0</v>
      </c>
      <c r="AM62" s="247"/>
      <c r="AN62" s="247"/>
      <c r="AO62" s="247"/>
      <c r="AP62" s="247"/>
      <c r="AQ62" s="247"/>
      <c r="AR62" s="247"/>
      <c r="AS62" s="247"/>
      <c r="AT62" s="247"/>
      <c r="AU62" s="247"/>
      <c r="AV62" s="247"/>
      <c r="AW62" s="247"/>
      <c r="AX62" s="247"/>
      <c r="AY62" s="49"/>
      <c r="AZ62" s="49"/>
      <c r="BA62" s="49"/>
      <c r="BB62" s="49"/>
      <c r="BC62" s="49"/>
      <c r="BD62" s="49"/>
      <c r="BE62" s="49"/>
      <c r="BF62" s="49"/>
      <c r="BG62" s="49"/>
      <c r="BH62" s="49"/>
      <c r="BI62" s="49"/>
      <c r="BJ62" s="49"/>
      <c r="BK62" s="49"/>
      <c r="BL62" s="234"/>
      <c r="BM62" s="234"/>
      <c r="BN62" s="234"/>
      <c r="BO62" s="234"/>
      <c r="BP62" s="234"/>
      <c r="BQ62" s="234"/>
      <c r="BR62" s="234"/>
      <c r="BS62" s="234"/>
      <c r="BT62" s="234"/>
      <c r="BU62" s="234"/>
      <c r="BV62" s="234"/>
      <c r="BW62" s="234"/>
      <c r="BX62" s="234"/>
      <c r="BY62" s="234"/>
      <c r="BZ62" s="234"/>
      <c r="CA62" s="234"/>
      <c r="CB62" s="234"/>
      <c r="CC62" s="234"/>
      <c r="CD62" s="234"/>
      <c r="CE62" s="234"/>
      <c r="CF62" s="234"/>
      <c r="CG62" s="234"/>
      <c r="CH62" s="234"/>
      <c r="CI62" s="234"/>
      <c r="CJ62" s="234"/>
      <c r="CK62" s="234"/>
      <c r="CL62" s="234"/>
      <c r="CM62" s="234"/>
      <c r="CN62" s="234"/>
      <c r="CO62" s="234"/>
      <c r="CP62" s="234"/>
      <c r="CQ62" s="234"/>
      <c r="CR62" s="234"/>
      <c r="CS62" s="234"/>
      <c r="CT62" s="234"/>
      <c r="CU62" s="234"/>
      <c r="CV62" s="234"/>
      <c r="CW62" s="234"/>
      <c r="CX62" s="234"/>
      <c r="CY62" s="31"/>
      <c r="CZ62" s="234"/>
      <c r="DA62" s="234"/>
      <c r="DB62" s="234"/>
      <c r="DC62" s="234"/>
      <c r="DD62" s="234"/>
      <c r="DE62" s="234"/>
      <c r="DF62" s="234"/>
      <c r="DG62" s="234"/>
      <c r="DH62" s="234"/>
      <c r="DI62" s="234"/>
      <c r="DJ62" s="234"/>
      <c r="DK62" s="234"/>
      <c r="DL62" s="234"/>
      <c r="DM62" s="234"/>
      <c r="DN62" s="234"/>
      <c r="DO62" s="234"/>
      <c r="DP62" s="234"/>
      <c r="DQ62" s="234"/>
      <c r="DR62" s="234"/>
      <c r="DS62" s="234"/>
      <c r="DT62" s="234"/>
    </row>
    <row r="63" spans="1:124" s="231" customFormat="1" ht="16.5" customHeight="1" thickBot="1" x14ac:dyDescent="0.3">
      <c r="A63" s="232"/>
      <c r="B63" s="250"/>
      <c r="C63" s="232"/>
      <c r="D63" s="232"/>
      <c r="E63" s="232"/>
      <c r="F63" s="387">
        <f t="shared" ref="F63:G74" si="161">F19</f>
        <v>2017</v>
      </c>
      <c r="G63" s="387" t="str">
        <f t="shared" ca="1" si="161"/>
        <v>jan</v>
      </c>
      <c r="H63" s="70"/>
      <c r="I63" s="109">
        <f t="shared" ref="I63:I74" si="162">IF(AND($D$41="Mäts separat",$D$40&gt;0),(J63/$J$41),0)</f>
        <v>0</v>
      </c>
      <c r="J63" s="388"/>
      <c r="K63" s="73"/>
      <c r="L63" s="109">
        <f t="shared" ref="L63:L74" si="163">IF(AND($D$41="Mäts separat",$D$40&gt;1),(M63/$M$41),0)</f>
        <v>0</v>
      </c>
      <c r="M63" s="372"/>
      <c r="N63" s="73"/>
      <c r="O63" s="109">
        <f t="shared" ref="O63:O74" si="164">IF(AND($D$41="Mäts separat",$D$40&gt;2),(P63/$P$41),0)</f>
        <v>0</v>
      </c>
      <c r="P63" s="372"/>
      <c r="Q63" s="246"/>
      <c r="R63" s="246"/>
      <c r="S63" s="246"/>
      <c r="T63" s="246"/>
      <c r="U63" s="246"/>
      <c r="V63" s="246"/>
      <c r="W63" s="232"/>
      <c r="X63" s="247"/>
      <c r="Y63" s="242" t="s">
        <v>1261</v>
      </c>
      <c r="Z63" s="233"/>
      <c r="AA63" s="233"/>
      <c r="AB63" s="233"/>
      <c r="AC63" s="233"/>
      <c r="AD63" s="233"/>
      <c r="AE63" s="233"/>
      <c r="AF63" s="233"/>
      <c r="AG63" s="242" t="s">
        <v>1262</v>
      </c>
      <c r="AH63" s="233"/>
      <c r="AI63" s="233"/>
      <c r="AJ63" s="233"/>
      <c r="AK63" s="233"/>
      <c r="AL63" s="233"/>
      <c r="AM63" s="247"/>
      <c r="AN63" s="247"/>
      <c r="AO63" s="247"/>
      <c r="AP63" s="247"/>
      <c r="AQ63" s="247"/>
      <c r="AR63" s="247"/>
      <c r="AS63" s="247"/>
      <c r="AT63" s="247"/>
      <c r="AU63" s="247"/>
      <c r="AV63" s="247"/>
      <c r="AW63" s="247"/>
      <c r="AX63" s="247"/>
      <c r="AY63" s="49"/>
      <c r="AZ63" s="49"/>
      <c r="BA63" s="122" t="s">
        <v>1401</v>
      </c>
      <c r="BB63" s="52">
        <f>'Indata byggnad och BBR krav'!$AA$9</f>
        <v>0.06</v>
      </c>
      <c r="BC63" s="52">
        <f>'Indata byggnad och BBR krav'!$AA$8</f>
        <v>2.1999999999999999E-2</v>
      </c>
      <c r="BD63" s="52">
        <f>'Indata byggnad och BBR krav'!$AA$10</f>
        <v>2.1999999999999999E-2</v>
      </c>
      <c r="BE63" s="52">
        <f>'Indata byggnad och BBR krav'!$AA$11</f>
        <v>0.26369999999999999</v>
      </c>
      <c r="BF63" s="52">
        <f>'Indata byggnad och BBR krav'!$AA$12</f>
        <v>0.30130000000000001</v>
      </c>
      <c r="BG63" s="299"/>
      <c r="BH63" s="49"/>
      <c r="BI63" s="49"/>
      <c r="BJ63" s="122" t="s">
        <v>1401</v>
      </c>
      <c r="BK63" s="52">
        <f>'Indata byggnad och BBR krav'!$AA$9</f>
        <v>0.06</v>
      </c>
      <c r="BL63" s="52">
        <f>'Indata byggnad och BBR krav'!$AA$8</f>
        <v>2.1999999999999999E-2</v>
      </c>
      <c r="BM63" s="52">
        <f>'Indata byggnad och BBR krav'!$AA$10</f>
        <v>2.1999999999999999E-2</v>
      </c>
      <c r="BN63" s="52">
        <f>'Indata byggnad och BBR krav'!$AA$11</f>
        <v>0.26369999999999999</v>
      </c>
      <c r="BO63" s="52">
        <f>'Indata byggnad och BBR krav'!$AA$12</f>
        <v>0.30130000000000001</v>
      </c>
      <c r="BP63" s="299"/>
      <c r="BQ63" s="234"/>
      <c r="BR63" s="234"/>
      <c r="BS63" s="234"/>
      <c r="BT63" s="234"/>
      <c r="BU63" s="234"/>
      <c r="BV63" s="234"/>
      <c r="BW63" s="234"/>
      <c r="BX63" s="234"/>
      <c r="BY63" s="234"/>
      <c r="BZ63" s="234"/>
      <c r="CA63" s="234"/>
      <c r="CB63" s="234"/>
      <c r="CC63" s="234"/>
      <c r="CD63" s="234"/>
      <c r="CE63" s="234"/>
      <c r="CF63" s="234"/>
      <c r="CG63" s="234"/>
      <c r="CH63" s="234"/>
      <c r="CI63" s="234"/>
      <c r="CJ63" s="234"/>
      <c r="CK63" s="234"/>
      <c r="CL63" s="234"/>
      <c r="CM63" s="234"/>
      <c r="CN63" s="234"/>
      <c r="CO63" s="234"/>
      <c r="CP63" s="234"/>
      <c r="CQ63" s="234"/>
      <c r="CR63" s="234"/>
      <c r="CS63" s="234"/>
      <c r="CT63" s="234"/>
      <c r="CU63" s="234"/>
      <c r="CV63" s="234"/>
      <c r="CW63" s="234"/>
      <c r="CX63" s="234"/>
      <c r="CY63" s="31"/>
      <c r="CZ63" s="234"/>
      <c r="DA63" s="234"/>
      <c r="DB63" s="234"/>
      <c r="DC63" s="234"/>
      <c r="DD63" s="234"/>
      <c r="DE63" s="234"/>
      <c r="DF63" s="234"/>
      <c r="DG63" s="234"/>
      <c r="DH63" s="234"/>
      <c r="DI63" s="234"/>
      <c r="DJ63" s="234"/>
      <c r="DK63" s="234"/>
      <c r="DL63" s="234"/>
      <c r="DM63" s="234"/>
      <c r="DN63" s="234"/>
      <c r="DO63" s="234"/>
      <c r="DP63" s="234"/>
      <c r="DQ63" s="234"/>
      <c r="DR63" s="234"/>
      <c r="DS63" s="234"/>
      <c r="DT63" s="234"/>
    </row>
    <row r="64" spans="1:124" s="231" customFormat="1" ht="16.5" customHeight="1" thickBot="1" x14ac:dyDescent="0.3">
      <c r="A64" s="232"/>
      <c r="B64" s="250"/>
      <c r="C64" s="232"/>
      <c r="D64" s="232"/>
      <c r="E64" s="232"/>
      <c r="F64" s="387">
        <f t="shared" ca="1" si="161"/>
        <v>2017</v>
      </c>
      <c r="G64" s="387" t="str">
        <f t="shared" ca="1" si="161"/>
        <v>feb</v>
      </c>
      <c r="H64" s="70"/>
      <c r="I64" s="109">
        <f t="shared" si="162"/>
        <v>0</v>
      </c>
      <c r="J64" s="388"/>
      <c r="K64" s="73"/>
      <c r="L64" s="109">
        <f t="shared" si="163"/>
        <v>0</v>
      </c>
      <c r="M64" s="372"/>
      <c r="N64" s="73"/>
      <c r="O64" s="109">
        <f t="shared" si="164"/>
        <v>0</v>
      </c>
      <c r="P64" s="372"/>
      <c r="Q64" s="246"/>
      <c r="R64" s="246"/>
      <c r="S64" s="246"/>
      <c r="T64" s="246"/>
      <c r="U64" s="246"/>
      <c r="V64" s="246"/>
      <c r="W64" s="232"/>
      <c r="X64" s="247"/>
      <c r="Y64" s="287" t="s">
        <v>14</v>
      </c>
      <c r="Z64" s="287" t="s">
        <v>1085</v>
      </c>
      <c r="AA64" s="287" t="s">
        <v>1100</v>
      </c>
      <c r="AB64" s="287" t="s">
        <v>1096</v>
      </c>
      <c r="AC64" s="287" t="s">
        <v>1097</v>
      </c>
      <c r="AD64" s="249" t="s">
        <v>1094</v>
      </c>
      <c r="AE64" s="233"/>
      <c r="AF64" s="247"/>
      <c r="AG64" s="287" t="s">
        <v>14</v>
      </c>
      <c r="AH64" s="287" t="s">
        <v>1085</v>
      </c>
      <c r="AI64" s="287" t="s">
        <v>1100</v>
      </c>
      <c r="AJ64" s="287" t="s">
        <v>1096</v>
      </c>
      <c r="AK64" s="287" t="s">
        <v>1097</v>
      </c>
      <c r="AL64" s="249" t="s">
        <v>1094</v>
      </c>
      <c r="AM64" s="247"/>
      <c r="AN64" s="247"/>
      <c r="AO64" s="247"/>
      <c r="AP64" s="247"/>
      <c r="AQ64" s="247"/>
      <c r="AR64" s="247"/>
      <c r="AS64" s="247"/>
      <c r="AT64" s="247"/>
      <c r="AU64" s="247"/>
      <c r="AV64" s="247"/>
      <c r="AW64" s="247"/>
      <c r="AX64" s="247"/>
      <c r="AY64" s="49"/>
      <c r="AZ64" s="437"/>
      <c r="BA64" s="438" t="s">
        <v>1411</v>
      </c>
      <c r="BB64" s="417" t="e">
        <f>BB59*1000/'Indata byggnad och BBR krav'!$C$40*'Indata byggnad och BBR krav'!$C$38*BB63</f>
        <v>#DIV/0!</v>
      </c>
      <c r="BC64" s="417" t="e">
        <f>BC59*1000/'Indata byggnad och BBR krav'!$C$40*'Indata byggnad och BBR krav'!$C$38*BC63</f>
        <v>#DIV/0!</v>
      </c>
      <c r="BD64" s="417" t="e">
        <f>BD59*1000/'Indata byggnad och BBR krav'!$C$40*'Indata byggnad och BBR krav'!$C$38*BD63</f>
        <v>#DIV/0!</v>
      </c>
      <c r="BE64" s="417" t="e">
        <f>BE59*1000/'Indata byggnad och BBR krav'!$C$40*'Indata byggnad och BBR krav'!$C$38*BE63</f>
        <v>#DIV/0!</v>
      </c>
      <c r="BF64" s="417" t="e">
        <f>BF59*1000/'Indata byggnad och BBR krav'!$C$40*'Indata byggnad och BBR krav'!$C$38*BF63</f>
        <v>#DIV/0!</v>
      </c>
      <c r="BG64" s="418" t="e">
        <f>SUM(BB64:BF64)</f>
        <v>#DIV/0!</v>
      </c>
      <c r="BH64" s="49"/>
      <c r="BI64" s="437"/>
      <c r="BJ64" s="438" t="s">
        <v>1411</v>
      </c>
      <c r="BK64" s="417" t="e">
        <f>BK59*1000/'Indata byggnad och BBR krav'!$C$40*'Indata byggnad och BBR krav'!$C$38*BK63</f>
        <v>#DIV/0!</v>
      </c>
      <c r="BL64" s="417" t="e">
        <f>BL59*1000/'Indata byggnad och BBR krav'!$C$40*'Indata byggnad och BBR krav'!$C$38*BL63</f>
        <v>#DIV/0!</v>
      </c>
      <c r="BM64" s="417" t="e">
        <f>BM59*1000/'Indata byggnad och BBR krav'!$C$40*'Indata byggnad och BBR krav'!$C$38*BM63</f>
        <v>#DIV/0!</v>
      </c>
      <c r="BN64" s="417" t="e">
        <f>BN59*1000/'Indata byggnad och BBR krav'!$C$40*'Indata byggnad och BBR krav'!$C$38*BN63</f>
        <v>#DIV/0!</v>
      </c>
      <c r="BO64" s="417" t="e">
        <f>BO59*1000/'Indata byggnad och BBR krav'!$C$40*'Indata byggnad och BBR krav'!$C$38*BO63</f>
        <v>#DIV/0!</v>
      </c>
      <c r="BP64" s="418" t="e">
        <f>SUM(BK64:BO64)</f>
        <v>#DIV/0!</v>
      </c>
      <c r="BQ64" s="234"/>
      <c r="BR64" s="234"/>
      <c r="BS64" s="234"/>
      <c r="BT64" s="234"/>
      <c r="BU64" s="234"/>
      <c r="BV64" s="234"/>
      <c r="BW64" s="234"/>
      <c r="BX64" s="234"/>
      <c r="BY64" s="234"/>
      <c r="BZ64" s="234"/>
      <c r="CA64" s="234"/>
      <c r="CB64" s="234"/>
      <c r="CC64" s="234"/>
      <c r="CD64" s="234"/>
      <c r="CE64" s="234"/>
      <c r="CF64" s="234"/>
      <c r="CG64" s="234"/>
      <c r="CH64" s="234"/>
      <c r="CI64" s="234"/>
      <c r="CJ64" s="234"/>
      <c r="CK64" s="234"/>
      <c r="CL64" s="234"/>
      <c r="CM64" s="234"/>
      <c r="CN64" s="234"/>
      <c r="CO64" s="234"/>
      <c r="CP64" s="234"/>
      <c r="CQ64" s="234"/>
      <c r="CR64" s="234"/>
      <c r="CS64" s="234"/>
      <c r="CT64" s="234"/>
      <c r="CU64" s="234"/>
      <c r="CV64" s="234"/>
      <c r="CW64" s="234"/>
      <c r="CX64" s="234"/>
      <c r="CY64" s="31"/>
      <c r="CZ64" s="234"/>
      <c r="DA64" s="234"/>
      <c r="DB64" s="234"/>
      <c r="DC64" s="234"/>
      <c r="DD64" s="234"/>
      <c r="DE64" s="234"/>
      <c r="DF64" s="234"/>
      <c r="DG64" s="234"/>
      <c r="DH64" s="234"/>
      <c r="DI64" s="234"/>
      <c r="DJ64" s="234"/>
      <c r="DK64" s="234"/>
      <c r="DL64" s="234"/>
      <c r="DM64" s="234"/>
      <c r="DN64" s="234"/>
      <c r="DO64" s="234"/>
      <c r="DP64" s="234"/>
      <c r="DQ64" s="234"/>
      <c r="DR64" s="234"/>
      <c r="DS64" s="234"/>
      <c r="DT64" s="234"/>
    </row>
    <row r="65" spans="1:124" s="231" customFormat="1" ht="16.5" customHeight="1" thickBot="1" x14ac:dyDescent="0.3">
      <c r="A65" s="232"/>
      <c r="B65" s="250"/>
      <c r="C65" s="232"/>
      <c r="D65" s="232"/>
      <c r="E65" s="232"/>
      <c r="F65" s="387">
        <f t="shared" ca="1" si="161"/>
        <v>2017</v>
      </c>
      <c r="G65" s="387" t="str">
        <f t="shared" ca="1" si="161"/>
        <v>mars</v>
      </c>
      <c r="H65" s="70"/>
      <c r="I65" s="109">
        <f t="shared" si="162"/>
        <v>0</v>
      </c>
      <c r="J65" s="388"/>
      <c r="K65" s="73"/>
      <c r="L65" s="109">
        <f t="shared" si="163"/>
        <v>0</v>
      </c>
      <c r="M65" s="372"/>
      <c r="N65" s="73"/>
      <c r="O65" s="109">
        <f t="shared" si="164"/>
        <v>0</v>
      </c>
      <c r="P65" s="372"/>
      <c r="Q65" s="246"/>
      <c r="R65" s="246"/>
      <c r="S65" s="246"/>
      <c r="T65" s="246"/>
      <c r="U65" s="246"/>
      <c r="V65" s="246"/>
      <c r="W65" s="232"/>
      <c r="X65" s="247"/>
      <c r="Y65" s="252">
        <f>IF($J$40=$Y$64,I63,0)+IF($M$40=$Y$64,L63,0)+IF($P$40=$Y$64,O63,0)</f>
        <v>0</v>
      </c>
      <c r="Z65" s="99">
        <f>IF(OR($J$40="El-panna",$J$40="Värmepump"),I63,0)+IF(OR($M$40="El-panna",$M$40="Värmepump"),L63,0)+IF(OR($P$40="El-panna",$P$40="Värmepump"),O63,0)</f>
        <v>0</v>
      </c>
      <c r="AA65" s="99">
        <f>IF(OR($J$40="Flispanna",$J$40="Pelletspanna",$J$40="Vedpanna"),I63,0)+IF(OR($M$40="Flispanna",$M$40="Pelletspanna",$M$40="Vedpanna"),L63,0)+IF(OR($P$40="Flispanna",$P$40="Pelletspanna",$P$40="Vedpanna"),O63,0)</f>
        <v>0</v>
      </c>
      <c r="AB65" s="100">
        <f>IF($J$40="Gaspanna",I63,0)+IF($M$40="Gaspanna",L63,0)+IF($P$40="Gaspanna",O63,0)</f>
        <v>0</v>
      </c>
      <c r="AC65" s="100">
        <f>IF($J$40="Oljepanna",I63,0)+IF($M$40="Oljepanna",L63,0)+IF($P$40="Oljepanna",O63,0)</f>
        <v>0</v>
      </c>
      <c r="AD65" s="100">
        <f t="shared" ref="AD65:AD76" si="165">Y65+Z65+AA65+AB65+AC65</f>
        <v>0</v>
      </c>
      <c r="AE65" s="233"/>
      <c r="AF65" s="247"/>
      <c r="AG65" s="252">
        <f>IF($D$41="Inkluderad i energi för tappvarmvatten",Y44*0.25,IF($D$41="Mäts separat",Y65,0))</f>
        <v>0</v>
      </c>
      <c r="AH65" s="252">
        <f t="shared" ref="AH65:AH76" si="166">IF($D$41="Inkluderad i energi för tappvarmvatten",Z44*0.25,IF($D$41="Mäts separat",Z65,0))</f>
        <v>0</v>
      </c>
      <c r="AI65" s="252">
        <f t="shared" ref="AI65:AI76" si="167">IF($D$41="Inkluderad i energi för tappvarmvatten",AA44*0.25,IF($D$41="Mäts separat",AA65,0))</f>
        <v>0</v>
      </c>
      <c r="AJ65" s="252">
        <f t="shared" ref="AJ65:AJ76" si="168">IF($D$41="Inkluderad i energi för tappvarmvatten",AB44*0.25,IF($D$41="Mäts separat",AB65,0))</f>
        <v>0</v>
      </c>
      <c r="AK65" s="252">
        <f t="shared" ref="AK65:AK76" si="169">IF($D$41="Inkluderad i energi för tappvarmvatten",AC44*0.25,IF($D$41="Mäts separat",AC65,0))</f>
        <v>0</v>
      </c>
      <c r="AL65" s="248">
        <f t="shared" ref="AL65:AL76" si="170">AG65+AH65+AI65+AJ65+AK65</f>
        <v>0</v>
      </c>
      <c r="AM65" s="247"/>
      <c r="AN65" s="247"/>
      <c r="AO65" s="247"/>
      <c r="AP65" s="247"/>
      <c r="AQ65" s="247"/>
      <c r="AR65" s="247"/>
      <c r="AS65" s="247"/>
      <c r="AT65" s="247"/>
      <c r="AU65" s="247"/>
      <c r="AV65" s="247"/>
      <c r="AW65" s="247"/>
      <c r="AX65" s="247"/>
      <c r="AY65" s="49"/>
      <c r="AZ65" s="437"/>
      <c r="BA65" s="439" t="s">
        <v>1459</v>
      </c>
      <c r="BB65" s="417" t="e">
        <f>BB59*1000/'Indata byggnad och BBR krav'!$C$16*'Indata byggnad och BBR krav'!$C$38*BB63</f>
        <v>#DIV/0!</v>
      </c>
      <c r="BC65" s="417" t="e">
        <f>BC59*1000/'Indata byggnad och BBR krav'!$C$16*'Indata byggnad och BBR krav'!$C$38*BC63</f>
        <v>#DIV/0!</v>
      </c>
      <c r="BD65" s="417" t="e">
        <f>BD59*1000/'Indata byggnad och BBR krav'!$C$16*'Indata byggnad och BBR krav'!$C$38*BD63</f>
        <v>#DIV/0!</v>
      </c>
      <c r="BE65" s="417" t="e">
        <f>BE59*1000/'Indata byggnad och BBR krav'!$C$16*'Indata byggnad och BBR krav'!$C$38*BE63</f>
        <v>#DIV/0!</v>
      </c>
      <c r="BF65" s="417" t="e">
        <f>BF59*1000/'Indata byggnad och BBR krav'!$C$16*'Indata byggnad och BBR krav'!$C$38*BF63</f>
        <v>#DIV/0!</v>
      </c>
      <c r="BG65" s="418" t="e">
        <f t="shared" ref="BG65:BG66" si="171">SUM(BB65:BF65)</f>
        <v>#DIV/0!</v>
      </c>
      <c r="BH65" s="49"/>
      <c r="BI65" s="437"/>
      <c r="BJ65" s="439" t="s">
        <v>1459</v>
      </c>
      <c r="BK65" s="417" t="e">
        <f>BK59*1000/'Indata byggnad och BBR krav'!$C$16*'Indata byggnad och BBR krav'!$C$38*BK63</f>
        <v>#DIV/0!</v>
      </c>
      <c r="BL65" s="417" t="e">
        <f>BL59*1000/'Indata byggnad och BBR krav'!$C$16*'Indata byggnad och BBR krav'!$C$38*BL63</f>
        <v>#DIV/0!</v>
      </c>
      <c r="BM65" s="417" t="e">
        <f>BM59*1000/'Indata byggnad och BBR krav'!$C$16*'Indata byggnad och BBR krav'!$C$38*BM63</f>
        <v>#DIV/0!</v>
      </c>
      <c r="BN65" s="417" t="e">
        <f>BN59*1000/'Indata byggnad och BBR krav'!$C$16*'Indata byggnad och BBR krav'!$C$38*BN63</f>
        <v>#DIV/0!</v>
      </c>
      <c r="BO65" s="417" t="e">
        <f>BO59*1000/'Indata byggnad och BBR krav'!$C$16*'Indata byggnad och BBR krav'!$C$38*BO63</f>
        <v>#DIV/0!</v>
      </c>
      <c r="BP65" s="418" t="e">
        <f t="shared" ref="BP65:BP66" si="172">SUM(BK65:BO65)</f>
        <v>#DIV/0!</v>
      </c>
      <c r="BQ65" s="234"/>
      <c r="BR65" s="234"/>
      <c r="BS65" s="234"/>
      <c r="BT65" s="234"/>
      <c r="BU65" s="234"/>
      <c r="BV65" s="234"/>
      <c r="BW65" s="234"/>
      <c r="BX65" s="234"/>
      <c r="BY65" s="234"/>
      <c r="BZ65" s="234"/>
      <c r="CA65" s="234"/>
      <c r="CB65" s="234"/>
      <c r="CC65" s="234"/>
      <c r="CD65" s="234"/>
      <c r="CE65" s="234"/>
      <c r="CF65" s="234"/>
      <c r="CG65" s="234"/>
      <c r="CH65" s="234"/>
      <c r="CI65" s="234"/>
      <c r="CJ65" s="234"/>
      <c r="CK65" s="234"/>
      <c r="CL65" s="234"/>
      <c r="CM65" s="234"/>
      <c r="CN65" s="234"/>
      <c r="CO65" s="234"/>
      <c r="CP65" s="234"/>
      <c r="CQ65" s="234"/>
      <c r="CR65" s="234"/>
      <c r="CS65" s="234"/>
      <c r="CT65" s="234"/>
      <c r="CU65" s="234"/>
      <c r="CV65" s="234"/>
      <c r="CW65" s="234"/>
      <c r="CX65" s="234"/>
      <c r="CY65" s="31"/>
      <c r="CZ65" s="234"/>
      <c r="DA65" s="234"/>
      <c r="DB65" s="234"/>
      <c r="DC65" s="234"/>
      <c r="DD65" s="234"/>
      <c r="DE65" s="234"/>
      <c r="DF65" s="234"/>
      <c r="DG65" s="234"/>
      <c r="DH65" s="234"/>
      <c r="DI65" s="234"/>
      <c r="DJ65" s="234"/>
      <c r="DK65" s="234"/>
      <c r="DL65" s="234"/>
      <c r="DM65" s="234"/>
      <c r="DN65" s="234"/>
      <c r="DO65" s="234"/>
      <c r="DP65" s="234"/>
      <c r="DQ65" s="234"/>
      <c r="DR65" s="234"/>
      <c r="DS65" s="234"/>
      <c r="DT65" s="234"/>
    </row>
    <row r="66" spans="1:124" s="231" customFormat="1" ht="16.5" customHeight="1" thickBot="1" x14ac:dyDescent="0.3">
      <c r="A66" s="232"/>
      <c r="B66" s="250"/>
      <c r="C66" s="232"/>
      <c r="D66" s="232"/>
      <c r="E66" s="232"/>
      <c r="F66" s="387">
        <f t="shared" ca="1" si="161"/>
        <v>2017</v>
      </c>
      <c r="G66" s="387" t="str">
        <f t="shared" ca="1" si="161"/>
        <v>apr</v>
      </c>
      <c r="H66" s="70"/>
      <c r="I66" s="109">
        <f t="shared" si="162"/>
        <v>0</v>
      </c>
      <c r="J66" s="388"/>
      <c r="K66" s="73"/>
      <c r="L66" s="109">
        <f t="shared" si="163"/>
        <v>0</v>
      </c>
      <c r="M66" s="372"/>
      <c r="N66" s="73"/>
      <c r="O66" s="109">
        <f t="shared" si="164"/>
        <v>0</v>
      </c>
      <c r="P66" s="372"/>
      <c r="Q66" s="246"/>
      <c r="R66" s="246"/>
      <c r="S66" s="246"/>
      <c r="T66" s="246"/>
      <c r="U66" s="246"/>
      <c r="V66" s="246"/>
      <c r="W66" s="232"/>
      <c r="X66" s="247"/>
      <c r="Y66" s="252">
        <f t="shared" ref="Y66:Y76" si="173">IF($J$40=$Y$64,I64,0)+IF($M$40=$Y$64,L64,0)+IF($P$40=$Y$64,O64,0)</f>
        <v>0</v>
      </c>
      <c r="Z66" s="99">
        <f t="shared" ref="Z66:Z76" si="174">IF(OR($J$40="El-panna",$J$40="Värmepump"),I64,0)+IF(OR($M$40="El-panna",$M$40="Värmepump"),L64,0)+IF(OR($P$40="El-panna",$P$40="Värmepump"),O64,0)</f>
        <v>0</v>
      </c>
      <c r="AA66" s="99">
        <f t="shared" ref="AA66:AA76" si="175">IF(OR($J$40="Flispanna",$J$40="Pelletspanna",$J$40="Vedpanna"),I64,0)+IF(OR($M$40="Flispanna",$M$40="Pelletspanna",$M$40="Vedpanna"),L64,0)+IF(OR($P$40="Flispanna",$P$40="Pelletspanna",$P$40="Vedpanna"),O64,0)</f>
        <v>0</v>
      </c>
      <c r="AB66" s="100">
        <f t="shared" ref="AB66:AB76" si="176">IF($J$40="Gaspanna",I64,0)+IF($M$40="Gaspanna",L64,0)+IF($P$40="Gaspanna",O64,0)</f>
        <v>0</v>
      </c>
      <c r="AC66" s="100">
        <f t="shared" ref="AC66:AC76" si="177">IF($J$40="Oljepanna",I64,0)+IF($M$40="Oljepanna",L64,0)+IF($P$40="Oljepanna",O64,0)</f>
        <v>0</v>
      </c>
      <c r="AD66" s="100">
        <f t="shared" si="165"/>
        <v>0</v>
      </c>
      <c r="AE66" s="233"/>
      <c r="AF66" s="247"/>
      <c r="AG66" s="252">
        <f t="shared" ref="AG66:AG76" si="178">IF($D$41="Inkluderad i energi för tappvarmvatten",Y45*0.25,IF($D$41="Mäts separat",Y66,0))</f>
        <v>0</v>
      </c>
      <c r="AH66" s="252">
        <f t="shared" si="166"/>
        <v>0</v>
      </c>
      <c r="AI66" s="252">
        <f t="shared" si="167"/>
        <v>0</v>
      </c>
      <c r="AJ66" s="252">
        <f t="shared" si="168"/>
        <v>0</v>
      </c>
      <c r="AK66" s="252">
        <f t="shared" si="169"/>
        <v>0</v>
      </c>
      <c r="AL66" s="248">
        <f t="shared" si="170"/>
        <v>0</v>
      </c>
      <c r="AM66" s="247"/>
      <c r="AN66" s="247"/>
      <c r="AO66" s="247"/>
      <c r="AP66" s="247"/>
      <c r="AQ66" s="247"/>
      <c r="AR66" s="247"/>
      <c r="AS66" s="247"/>
      <c r="AT66" s="247"/>
      <c r="AU66" s="247"/>
      <c r="AV66" s="247"/>
      <c r="AW66" s="247"/>
      <c r="AX66" s="247"/>
      <c r="AY66" s="49"/>
      <c r="AZ66" s="437"/>
      <c r="BA66" s="439" t="s">
        <v>1460</v>
      </c>
      <c r="BB66" s="419" t="e">
        <f>BB64/50</f>
        <v>#DIV/0!</v>
      </c>
      <c r="BC66" s="419" t="e">
        <f t="shared" ref="BC66:BF66" si="179">BC64/50</f>
        <v>#DIV/0!</v>
      </c>
      <c r="BD66" s="419" t="e">
        <f t="shared" si="179"/>
        <v>#DIV/0!</v>
      </c>
      <c r="BE66" s="419" t="e">
        <f t="shared" si="179"/>
        <v>#DIV/0!</v>
      </c>
      <c r="BF66" s="419" t="e">
        <f t="shared" si="179"/>
        <v>#DIV/0!</v>
      </c>
      <c r="BG66" s="420" t="e">
        <f t="shared" si="171"/>
        <v>#DIV/0!</v>
      </c>
      <c r="BH66" s="49"/>
      <c r="BI66" s="437"/>
      <c r="BJ66" s="439" t="s">
        <v>1460</v>
      </c>
      <c r="BK66" s="419" t="e">
        <f>BK64/50</f>
        <v>#DIV/0!</v>
      </c>
      <c r="BL66" s="419" t="e">
        <f t="shared" ref="BL66:BO66" si="180">BL64/50</f>
        <v>#DIV/0!</v>
      </c>
      <c r="BM66" s="419" t="e">
        <f t="shared" si="180"/>
        <v>#DIV/0!</v>
      </c>
      <c r="BN66" s="419" t="e">
        <f t="shared" si="180"/>
        <v>#DIV/0!</v>
      </c>
      <c r="BO66" s="419" t="e">
        <f t="shared" si="180"/>
        <v>#DIV/0!</v>
      </c>
      <c r="BP66" s="420" t="e">
        <f t="shared" si="172"/>
        <v>#DIV/0!</v>
      </c>
      <c r="BQ66" s="234"/>
      <c r="BR66" s="234"/>
      <c r="BS66" s="234"/>
      <c r="BT66" s="234"/>
      <c r="BU66" s="234"/>
      <c r="BV66" s="234"/>
      <c r="BW66" s="234"/>
      <c r="BX66" s="234"/>
      <c r="BY66" s="234"/>
      <c r="BZ66" s="234"/>
      <c r="CA66" s="234"/>
      <c r="CB66" s="234"/>
      <c r="CC66" s="234"/>
      <c r="CD66" s="234"/>
      <c r="CE66" s="234"/>
      <c r="CF66" s="234"/>
      <c r="CG66" s="234"/>
      <c r="CH66" s="234"/>
      <c r="CI66" s="234"/>
      <c r="CJ66" s="234"/>
      <c r="CK66" s="234"/>
      <c r="CL66" s="234"/>
      <c r="CM66" s="234"/>
      <c r="CN66" s="234"/>
      <c r="CO66" s="234"/>
      <c r="CP66" s="234"/>
      <c r="CQ66" s="234"/>
      <c r="CR66" s="234"/>
      <c r="CS66" s="234"/>
      <c r="CT66" s="234"/>
      <c r="CU66" s="234"/>
      <c r="CV66" s="234"/>
      <c r="CW66" s="234"/>
      <c r="CX66" s="234"/>
      <c r="CY66" s="31"/>
      <c r="CZ66" s="234"/>
      <c r="DA66" s="234"/>
      <c r="DB66" s="234"/>
      <c r="DC66" s="234"/>
      <c r="DD66" s="234"/>
      <c r="DE66" s="234"/>
      <c r="DF66" s="234"/>
      <c r="DG66" s="234"/>
      <c r="DH66" s="234"/>
      <c r="DI66" s="234"/>
      <c r="DJ66" s="234"/>
      <c r="DK66" s="234"/>
      <c r="DL66" s="234"/>
      <c r="DM66" s="234"/>
      <c r="DN66" s="234"/>
      <c r="DO66" s="234"/>
      <c r="DP66" s="234"/>
      <c r="DQ66" s="234"/>
      <c r="DR66" s="234"/>
      <c r="DS66" s="234"/>
      <c r="DT66" s="234"/>
    </row>
    <row r="67" spans="1:124" s="231" customFormat="1" ht="16.5" customHeight="1" x14ac:dyDescent="0.25">
      <c r="A67" s="232"/>
      <c r="B67" s="250"/>
      <c r="C67" s="232"/>
      <c r="D67" s="232"/>
      <c r="E67" s="232"/>
      <c r="F67" s="387">
        <f t="shared" ca="1" si="161"/>
        <v>2017</v>
      </c>
      <c r="G67" s="387" t="str">
        <f t="shared" ca="1" si="161"/>
        <v>maj</v>
      </c>
      <c r="H67" s="70"/>
      <c r="I67" s="109">
        <f t="shared" si="162"/>
        <v>0</v>
      </c>
      <c r="J67" s="388"/>
      <c r="K67" s="73"/>
      <c r="L67" s="109">
        <f t="shared" si="163"/>
        <v>0</v>
      </c>
      <c r="M67" s="372"/>
      <c r="N67" s="73"/>
      <c r="O67" s="109">
        <f t="shared" si="164"/>
        <v>0</v>
      </c>
      <c r="P67" s="372"/>
      <c r="Q67" s="246"/>
      <c r="R67" s="246"/>
      <c r="S67" s="246"/>
      <c r="T67" s="246"/>
      <c r="U67" s="246"/>
      <c r="V67" s="246"/>
      <c r="W67" s="232"/>
      <c r="X67" s="247"/>
      <c r="Y67" s="252">
        <f t="shared" si="173"/>
        <v>0</v>
      </c>
      <c r="Z67" s="99">
        <f t="shared" si="174"/>
        <v>0</v>
      </c>
      <c r="AA67" s="99">
        <f t="shared" si="175"/>
        <v>0</v>
      </c>
      <c r="AB67" s="100">
        <f t="shared" si="176"/>
        <v>0</v>
      </c>
      <c r="AC67" s="100">
        <f t="shared" si="177"/>
        <v>0</v>
      </c>
      <c r="AD67" s="100">
        <f t="shared" si="165"/>
        <v>0</v>
      </c>
      <c r="AE67" s="233"/>
      <c r="AF67" s="247"/>
      <c r="AG67" s="252">
        <f t="shared" si="178"/>
        <v>0</v>
      </c>
      <c r="AH67" s="252">
        <f t="shared" si="166"/>
        <v>0</v>
      </c>
      <c r="AI67" s="252">
        <f t="shared" si="167"/>
        <v>0</v>
      </c>
      <c r="AJ67" s="252">
        <f t="shared" si="168"/>
        <v>0</v>
      </c>
      <c r="AK67" s="252">
        <f t="shared" si="169"/>
        <v>0</v>
      </c>
      <c r="AL67" s="248">
        <f t="shared" si="170"/>
        <v>0</v>
      </c>
      <c r="AM67" s="247"/>
      <c r="AN67" s="247"/>
      <c r="AO67" s="247"/>
      <c r="AP67" s="247"/>
      <c r="AQ67" s="247"/>
      <c r="AR67" s="247"/>
      <c r="AS67" s="247"/>
      <c r="AT67" s="247"/>
      <c r="AU67" s="247"/>
      <c r="AV67" s="247"/>
      <c r="AW67" s="247"/>
      <c r="AX67" s="247"/>
      <c r="AY67" s="49"/>
      <c r="AZ67" s="49"/>
      <c r="BA67" s="49"/>
      <c r="BB67" s="49"/>
      <c r="BC67" s="49"/>
      <c r="BD67" s="49"/>
      <c r="BE67" s="49"/>
      <c r="BF67" s="49"/>
      <c r="BG67" s="49"/>
      <c r="BH67" s="49"/>
      <c r="BI67" s="49"/>
      <c r="BJ67" s="49"/>
      <c r="BK67" s="49"/>
      <c r="BL67" s="234"/>
      <c r="BM67" s="234"/>
      <c r="BN67" s="234"/>
      <c r="BO67" s="234"/>
      <c r="BP67" s="234"/>
      <c r="BQ67" s="234"/>
      <c r="BR67" s="234"/>
      <c r="BS67" s="234"/>
      <c r="BT67" s="234"/>
      <c r="BU67" s="234"/>
      <c r="BV67" s="234"/>
      <c r="BW67" s="234"/>
      <c r="BX67" s="234"/>
      <c r="BY67" s="234"/>
      <c r="BZ67" s="234"/>
      <c r="CA67" s="234"/>
      <c r="CB67" s="234"/>
      <c r="CC67" s="234"/>
      <c r="CD67" s="234"/>
      <c r="CE67" s="234"/>
      <c r="CF67" s="234"/>
      <c r="CG67" s="234"/>
      <c r="CH67" s="234"/>
      <c r="CI67" s="234"/>
      <c r="CJ67" s="234"/>
      <c r="CK67" s="234"/>
      <c r="CL67" s="234"/>
      <c r="CM67" s="234"/>
      <c r="CN67" s="234"/>
      <c r="CO67" s="234"/>
      <c r="CP67" s="234"/>
      <c r="CQ67" s="234"/>
      <c r="CR67" s="234"/>
      <c r="CS67" s="234"/>
      <c r="CT67" s="234"/>
      <c r="CU67" s="234"/>
      <c r="CV67" s="234"/>
      <c r="CW67" s="234"/>
      <c r="CX67" s="234"/>
      <c r="CY67" s="31"/>
      <c r="CZ67" s="234"/>
      <c r="DA67" s="234"/>
      <c r="DB67" s="234"/>
      <c r="DC67" s="234"/>
      <c r="DD67" s="234"/>
      <c r="DE67" s="234"/>
      <c r="DF67" s="234"/>
      <c r="DG67" s="234"/>
      <c r="DH67" s="234"/>
      <c r="DI67" s="234"/>
      <c r="DJ67" s="234"/>
      <c r="DK67" s="234"/>
      <c r="DL67" s="234"/>
      <c r="DM67" s="234"/>
      <c r="DN67" s="234"/>
      <c r="DO67" s="234"/>
      <c r="DP67" s="234"/>
      <c r="DQ67" s="234"/>
      <c r="DR67" s="234"/>
      <c r="DS67" s="234"/>
      <c r="DT67" s="234"/>
    </row>
    <row r="68" spans="1:124" s="231" customFormat="1" ht="16.5" customHeight="1" x14ac:dyDescent="0.25">
      <c r="A68" s="232"/>
      <c r="B68" s="250"/>
      <c r="C68" s="250"/>
      <c r="D68" s="250"/>
      <c r="E68" s="232"/>
      <c r="F68" s="387">
        <f t="shared" ca="1" si="161"/>
        <v>2017</v>
      </c>
      <c r="G68" s="387" t="str">
        <f t="shared" ca="1" si="161"/>
        <v xml:space="preserve">jun </v>
      </c>
      <c r="H68" s="70"/>
      <c r="I68" s="109">
        <f t="shared" si="162"/>
        <v>0</v>
      </c>
      <c r="J68" s="388"/>
      <c r="K68" s="73"/>
      <c r="L68" s="109">
        <f t="shared" si="163"/>
        <v>0</v>
      </c>
      <c r="M68" s="372"/>
      <c r="N68" s="73"/>
      <c r="O68" s="109">
        <f t="shared" si="164"/>
        <v>0</v>
      </c>
      <c r="P68" s="372"/>
      <c r="Q68" s="246"/>
      <c r="R68" s="246"/>
      <c r="S68" s="246"/>
      <c r="T68" s="246"/>
      <c r="U68" s="246"/>
      <c r="V68" s="246"/>
      <c r="W68" s="232"/>
      <c r="X68" s="247"/>
      <c r="Y68" s="252">
        <f t="shared" si="173"/>
        <v>0</v>
      </c>
      <c r="Z68" s="99">
        <f t="shared" si="174"/>
        <v>0</v>
      </c>
      <c r="AA68" s="99">
        <f t="shared" si="175"/>
        <v>0</v>
      </c>
      <c r="AB68" s="100">
        <f t="shared" si="176"/>
        <v>0</v>
      </c>
      <c r="AC68" s="100">
        <f t="shared" si="177"/>
        <v>0</v>
      </c>
      <c r="AD68" s="100">
        <f t="shared" si="165"/>
        <v>0</v>
      </c>
      <c r="AE68" s="233"/>
      <c r="AF68" s="247"/>
      <c r="AG68" s="252">
        <f t="shared" si="178"/>
        <v>0</v>
      </c>
      <c r="AH68" s="252">
        <f t="shared" si="166"/>
        <v>0</v>
      </c>
      <c r="AI68" s="252">
        <f t="shared" si="167"/>
        <v>0</v>
      </c>
      <c r="AJ68" s="252">
        <f t="shared" si="168"/>
        <v>0</v>
      </c>
      <c r="AK68" s="252">
        <f t="shared" si="169"/>
        <v>0</v>
      </c>
      <c r="AL68" s="248">
        <f t="shared" si="170"/>
        <v>0</v>
      </c>
      <c r="AM68" s="247"/>
      <c r="AN68" s="247"/>
      <c r="AO68" s="247"/>
      <c r="AP68" s="247"/>
      <c r="AQ68" s="247"/>
      <c r="AR68" s="247"/>
      <c r="AS68" s="247"/>
      <c r="AT68" s="247"/>
      <c r="AU68" s="247"/>
      <c r="AV68" s="247"/>
      <c r="AW68" s="247"/>
      <c r="AX68" s="247"/>
      <c r="AY68" s="49"/>
      <c r="AZ68" s="49"/>
      <c r="BA68" s="49"/>
      <c r="BB68" s="49"/>
      <c r="BC68" s="49"/>
      <c r="BD68" s="49"/>
      <c r="BE68" s="49"/>
      <c r="BF68" s="49"/>
      <c r="BG68" s="49"/>
      <c r="BH68" s="49"/>
      <c r="BI68" s="49"/>
      <c r="BJ68" s="49"/>
      <c r="BK68" s="49"/>
      <c r="BL68" s="234"/>
      <c r="BM68" s="234"/>
      <c r="BN68" s="234"/>
      <c r="BO68" s="234"/>
      <c r="BP68" s="234"/>
      <c r="BQ68" s="234"/>
      <c r="BR68" s="234"/>
      <c r="BS68" s="234"/>
      <c r="BT68" s="234"/>
      <c r="BU68" s="234"/>
      <c r="BV68" s="234"/>
      <c r="BW68" s="234"/>
      <c r="BX68" s="234"/>
      <c r="BY68" s="234"/>
      <c r="BZ68" s="234"/>
      <c r="CA68" s="234"/>
      <c r="CB68" s="234"/>
      <c r="CC68" s="234"/>
      <c r="CD68" s="234"/>
      <c r="CE68" s="234"/>
      <c r="CF68" s="234"/>
      <c r="CG68" s="234"/>
      <c r="CH68" s="234"/>
      <c r="CI68" s="234"/>
      <c r="CJ68" s="234"/>
      <c r="CK68" s="234"/>
      <c r="CL68" s="234"/>
      <c r="CM68" s="234"/>
      <c r="CN68" s="234"/>
      <c r="CO68" s="234"/>
      <c r="CP68" s="234"/>
      <c r="CQ68" s="234"/>
      <c r="CR68" s="234"/>
      <c r="CS68" s="234"/>
      <c r="CT68" s="234"/>
      <c r="CU68" s="234"/>
      <c r="CV68" s="234"/>
      <c r="CW68" s="234"/>
      <c r="CX68" s="234"/>
      <c r="CY68" s="31"/>
      <c r="CZ68" s="234"/>
      <c r="DA68" s="234"/>
      <c r="DB68" s="234"/>
      <c r="DC68" s="234"/>
      <c r="DD68" s="234"/>
      <c r="DE68" s="234"/>
      <c r="DF68" s="234"/>
      <c r="DG68" s="234"/>
      <c r="DH68" s="234"/>
      <c r="DI68" s="234"/>
      <c r="DJ68" s="234"/>
      <c r="DK68" s="234"/>
      <c r="DL68" s="234"/>
      <c r="DM68" s="234"/>
      <c r="DN68" s="234"/>
      <c r="DO68" s="234"/>
      <c r="DP68" s="234"/>
      <c r="DQ68" s="234"/>
      <c r="DR68" s="234"/>
      <c r="DS68" s="234"/>
      <c r="DT68" s="234"/>
    </row>
    <row r="69" spans="1:124" s="231" customFormat="1" ht="16.5" customHeight="1" x14ac:dyDescent="0.25">
      <c r="A69" s="232"/>
      <c r="B69" s="250"/>
      <c r="C69" s="120"/>
      <c r="D69" s="250"/>
      <c r="E69" s="232"/>
      <c r="F69" s="387">
        <f t="shared" ca="1" si="161"/>
        <v>2017</v>
      </c>
      <c r="G69" s="387" t="str">
        <f t="shared" ca="1" si="161"/>
        <v>jul</v>
      </c>
      <c r="H69" s="70"/>
      <c r="I69" s="109">
        <f t="shared" si="162"/>
        <v>0</v>
      </c>
      <c r="J69" s="388"/>
      <c r="K69" s="73"/>
      <c r="L69" s="109">
        <f t="shared" si="163"/>
        <v>0</v>
      </c>
      <c r="M69" s="372"/>
      <c r="N69" s="73"/>
      <c r="O69" s="109">
        <f t="shared" si="164"/>
        <v>0</v>
      </c>
      <c r="P69" s="372"/>
      <c r="Q69" s="246"/>
      <c r="R69" s="246"/>
      <c r="S69" s="246"/>
      <c r="T69" s="246"/>
      <c r="U69" s="246"/>
      <c r="V69" s="246"/>
      <c r="W69" s="232"/>
      <c r="X69" s="247"/>
      <c r="Y69" s="252">
        <f t="shared" si="173"/>
        <v>0</v>
      </c>
      <c r="Z69" s="99">
        <f t="shared" si="174"/>
        <v>0</v>
      </c>
      <c r="AA69" s="99">
        <f t="shared" si="175"/>
        <v>0</v>
      </c>
      <c r="AB69" s="100">
        <f t="shared" si="176"/>
        <v>0</v>
      </c>
      <c r="AC69" s="100">
        <f t="shared" si="177"/>
        <v>0</v>
      </c>
      <c r="AD69" s="100">
        <f t="shared" si="165"/>
        <v>0</v>
      </c>
      <c r="AE69" s="233"/>
      <c r="AF69" s="247"/>
      <c r="AG69" s="252">
        <f t="shared" si="178"/>
        <v>0</v>
      </c>
      <c r="AH69" s="252">
        <f t="shared" si="166"/>
        <v>0</v>
      </c>
      <c r="AI69" s="252">
        <f t="shared" si="167"/>
        <v>0</v>
      </c>
      <c r="AJ69" s="252">
        <f t="shared" si="168"/>
        <v>0</v>
      </c>
      <c r="AK69" s="252">
        <f t="shared" si="169"/>
        <v>0</v>
      </c>
      <c r="AL69" s="248">
        <f t="shared" si="170"/>
        <v>0</v>
      </c>
      <c r="AM69" s="247"/>
      <c r="AN69" s="247"/>
      <c r="AO69" s="247"/>
      <c r="AP69" s="247"/>
      <c r="AQ69" s="247"/>
      <c r="AR69" s="247"/>
      <c r="AS69" s="247"/>
      <c r="AT69" s="247"/>
      <c r="AU69" s="247"/>
      <c r="AV69" s="247"/>
      <c r="AW69" s="247"/>
      <c r="AX69" s="247"/>
      <c r="AY69" s="49"/>
      <c r="AZ69" s="49"/>
      <c r="BA69" s="49"/>
      <c r="BB69" s="49"/>
      <c r="BC69" s="49"/>
      <c r="BD69" s="49"/>
      <c r="BE69" s="49"/>
      <c r="BF69" s="49"/>
      <c r="BG69" s="49"/>
      <c r="BH69" s="49"/>
      <c r="BI69" s="49"/>
      <c r="BJ69" s="49"/>
      <c r="BK69" s="49"/>
      <c r="BL69" s="234"/>
      <c r="BM69" s="234"/>
      <c r="BN69" s="234"/>
      <c r="BO69" s="234"/>
      <c r="BP69" s="234"/>
      <c r="BQ69" s="234"/>
      <c r="BR69" s="234"/>
      <c r="BS69" s="234"/>
      <c r="BT69" s="234"/>
      <c r="BU69" s="234"/>
      <c r="BV69" s="234"/>
      <c r="BW69" s="234"/>
      <c r="BX69" s="234"/>
      <c r="BY69" s="234"/>
      <c r="BZ69" s="234"/>
      <c r="CA69" s="234"/>
      <c r="CB69" s="234"/>
      <c r="CC69" s="234"/>
      <c r="CD69" s="234"/>
      <c r="CE69" s="234"/>
      <c r="CF69" s="234"/>
      <c r="CG69" s="234"/>
      <c r="CH69" s="234"/>
      <c r="CI69" s="234"/>
      <c r="CJ69" s="234"/>
      <c r="CK69" s="234"/>
      <c r="CL69" s="234"/>
      <c r="CM69" s="234"/>
      <c r="CN69" s="234"/>
      <c r="CO69" s="234"/>
      <c r="CP69" s="234"/>
      <c r="CQ69" s="234"/>
      <c r="CR69" s="234"/>
      <c r="CS69" s="234"/>
      <c r="CT69" s="234"/>
      <c r="CU69" s="234"/>
      <c r="CV69" s="234"/>
      <c r="CW69" s="234"/>
      <c r="CX69" s="234"/>
      <c r="CY69" s="31"/>
      <c r="CZ69" s="234"/>
      <c r="DA69" s="234"/>
      <c r="DB69" s="234"/>
      <c r="DC69" s="234"/>
      <c r="DD69" s="234"/>
      <c r="DE69" s="234"/>
      <c r="DF69" s="234"/>
      <c r="DG69" s="234"/>
      <c r="DH69" s="234"/>
      <c r="DI69" s="234"/>
      <c r="DJ69" s="234"/>
      <c r="DK69" s="234"/>
      <c r="DL69" s="234"/>
      <c r="DM69" s="234"/>
      <c r="DN69" s="234"/>
      <c r="DO69" s="234"/>
      <c r="DP69" s="234"/>
      <c r="DQ69" s="234"/>
      <c r="DR69" s="234"/>
      <c r="DS69" s="234"/>
      <c r="DT69" s="234"/>
    </row>
    <row r="70" spans="1:124" s="231" customFormat="1" ht="16.5" customHeight="1" x14ac:dyDescent="0.25">
      <c r="A70" s="232"/>
      <c r="B70" s="250"/>
      <c r="C70" s="250"/>
      <c r="D70" s="250"/>
      <c r="E70" s="232"/>
      <c r="F70" s="387">
        <f t="shared" ca="1" si="161"/>
        <v>2017</v>
      </c>
      <c r="G70" s="387" t="str">
        <f t="shared" ca="1" si="161"/>
        <v>aug</v>
      </c>
      <c r="H70" s="70"/>
      <c r="I70" s="109">
        <f t="shared" si="162"/>
        <v>0</v>
      </c>
      <c r="J70" s="388"/>
      <c r="K70" s="73"/>
      <c r="L70" s="109">
        <f t="shared" si="163"/>
        <v>0</v>
      </c>
      <c r="M70" s="372"/>
      <c r="N70" s="73"/>
      <c r="O70" s="109">
        <f t="shared" si="164"/>
        <v>0</v>
      </c>
      <c r="P70" s="372"/>
      <c r="Q70" s="246"/>
      <c r="R70" s="246"/>
      <c r="S70" s="246"/>
      <c r="T70" s="246"/>
      <c r="U70" s="246"/>
      <c r="V70" s="246"/>
      <c r="W70" s="232"/>
      <c r="X70" s="247"/>
      <c r="Y70" s="252">
        <f t="shared" si="173"/>
        <v>0</v>
      </c>
      <c r="Z70" s="99">
        <f t="shared" si="174"/>
        <v>0</v>
      </c>
      <c r="AA70" s="99">
        <f t="shared" si="175"/>
        <v>0</v>
      </c>
      <c r="AB70" s="100">
        <f t="shared" si="176"/>
        <v>0</v>
      </c>
      <c r="AC70" s="100">
        <f t="shared" si="177"/>
        <v>0</v>
      </c>
      <c r="AD70" s="100">
        <f t="shared" si="165"/>
        <v>0</v>
      </c>
      <c r="AE70" s="233"/>
      <c r="AF70" s="247"/>
      <c r="AG70" s="252">
        <f t="shared" si="178"/>
        <v>0</v>
      </c>
      <c r="AH70" s="252">
        <f t="shared" si="166"/>
        <v>0</v>
      </c>
      <c r="AI70" s="252">
        <f t="shared" si="167"/>
        <v>0</v>
      </c>
      <c r="AJ70" s="252">
        <f t="shared" si="168"/>
        <v>0</v>
      </c>
      <c r="AK70" s="252">
        <f t="shared" si="169"/>
        <v>0</v>
      </c>
      <c r="AL70" s="248">
        <f t="shared" si="170"/>
        <v>0</v>
      </c>
      <c r="AM70" s="247"/>
      <c r="AN70" s="247"/>
      <c r="AO70" s="247"/>
      <c r="AP70" s="247"/>
      <c r="AQ70" s="247"/>
      <c r="AR70" s="247"/>
      <c r="AS70" s="247"/>
      <c r="AT70" s="247"/>
      <c r="AU70" s="247"/>
      <c r="AV70" s="247"/>
      <c r="AW70" s="247"/>
      <c r="AX70" s="247"/>
      <c r="AY70" s="49"/>
      <c r="AZ70" s="49"/>
      <c r="BA70" s="49"/>
      <c r="BB70" s="49"/>
      <c r="BC70" s="49"/>
      <c r="BD70" s="49"/>
      <c r="BE70" s="49"/>
      <c r="BF70" s="49"/>
      <c r="BG70" s="49"/>
      <c r="BH70" s="49"/>
      <c r="BI70" s="49"/>
      <c r="BJ70" s="49"/>
      <c r="BK70" s="49"/>
      <c r="BL70" s="290" t="s">
        <v>1393</v>
      </c>
      <c r="BM70" s="49"/>
      <c r="BN70" s="49"/>
      <c r="BO70" s="234"/>
      <c r="BP70" s="234"/>
      <c r="BQ70" s="234"/>
      <c r="BR70" s="234"/>
      <c r="BS70" s="234"/>
      <c r="BT70" s="234"/>
      <c r="BU70" s="234"/>
      <c r="BV70" s="234"/>
      <c r="BW70" s="234"/>
      <c r="BX70" s="234"/>
      <c r="BY70" s="234"/>
      <c r="BZ70" s="234"/>
      <c r="CA70" s="234"/>
      <c r="CB70" s="234"/>
      <c r="CC70" s="234"/>
      <c r="CD70" s="234"/>
      <c r="CE70" s="234"/>
      <c r="CF70" s="234"/>
      <c r="CG70" s="234"/>
      <c r="CH70" s="234"/>
      <c r="CI70" s="234"/>
      <c r="CJ70" s="234"/>
      <c r="CK70" s="234"/>
      <c r="CL70" s="234"/>
      <c r="CM70" s="234"/>
      <c r="CN70" s="234"/>
      <c r="CO70" s="234"/>
      <c r="CP70" s="234"/>
      <c r="CQ70" s="234"/>
      <c r="CR70" s="234"/>
      <c r="CS70" s="234"/>
      <c r="CT70" s="234"/>
      <c r="CU70" s="234"/>
      <c r="CV70" s="234"/>
      <c r="CW70" s="234"/>
      <c r="CX70" s="234"/>
      <c r="CY70" s="31"/>
      <c r="CZ70" s="234"/>
      <c r="DA70" s="234"/>
      <c r="DB70" s="234"/>
      <c r="DC70" s="234"/>
      <c r="DD70" s="234"/>
      <c r="DE70" s="234"/>
      <c r="DF70" s="234"/>
      <c r="DG70" s="234"/>
      <c r="DH70" s="234"/>
      <c r="DI70" s="234"/>
      <c r="DJ70" s="234"/>
      <c r="DK70" s="234"/>
      <c r="DL70" s="234"/>
      <c r="DM70" s="234"/>
      <c r="DN70" s="234"/>
      <c r="DO70" s="234"/>
      <c r="DP70" s="234"/>
      <c r="DQ70" s="234"/>
      <c r="DR70" s="234"/>
      <c r="DS70" s="234"/>
      <c r="DT70" s="234"/>
    </row>
    <row r="71" spans="1:124" s="231" customFormat="1" ht="16.5" customHeight="1" x14ac:dyDescent="0.25">
      <c r="A71" s="232"/>
      <c r="B71" s="250"/>
      <c r="C71" s="250"/>
      <c r="D71" s="250"/>
      <c r="E71" s="232"/>
      <c r="F71" s="387">
        <f t="shared" ca="1" si="161"/>
        <v>2017</v>
      </c>
      <c r="G71" s="387" t="str">
        <f t="shared" ca="1" si="161"/>
        <v>sept</v>
      </c>
      <c r="H71" s="70"/>
      <c r="I71" s="109">
        <f t="shared" si="162"/>
        <v>0</v>
      </c>
      <c r="J71" s="388"/>
      <c r="K71" s="73"/>
      <c r="L71" s="109">
        <f t="shared" si="163"/>
        <v>0</v>
      </c>
      <c r="M71" s="372"/>
      <c r="N71" s="73"/>
      <c r="O71" s="109">
        <f t="shared" si="164"/>
        <v>0</v>
      </c>
      <c r="P71" s="372"/>
      <c r="Q71" s="246"/>
      <c r="R71" s="246"/>
      <c r="S71" s="246"/>
      <c r="T71" s="246"/>
      <c r="U71" s="246"/>
      <c r="V71" s="246"/>
      <c r="W71" s="232"/>
      <c r="X71" s="247"/>
      <c r="Y71" s="252">
        <f t="shared" si="173"/>
        <v>0</v>
      </c>
      <c r="Z71" s="99">
        <f t="shared" si="174"/>
        <v>0</v>
      </c>
      <c r="AA71" s="99">
        <f t="shared" si="175"/>
        <v>0</v>
      </c>
      <c r="AB71" s="100">
        <f t="shared" si="176"/>
        <v>0</v>
      </c>
      <c r="AC71" s="100">
        <f t="shared" si="177"/>
        <v>0</v>
      </c>
      <c r="AD71" s="100">
        <f t="shared" si="165"/>
        <v>0</v>
      </c>
      <c r="AE71" s="233"/>
      <c r="AF71" s="247"/>
      <c r="AG71" s="252">
        <f t="shared" si="178"/>
        <v>0</v>
      </c>
      <c r="AH71" s="252">
        <f t="shared" si="166"/>
        <v>0</v>
      </c>
      <c r="AI71" s="252">
        <f t="shared" si="167"/>
        <v>0</v>
      </c>
      <c r="AJ71" s="252">
        <f t="shared" si="168"/>
        <v>0</v>
      </c>
      <c r="AK71" s="252">
        <f t="shared" si="169"/>
        <v>0</v>
      </c>
      <c r="AL71" s="248">
        <f t="shared" si="170"/>
        <v>0</v>
      </c>
      <c r="AM71" s="247"/>
      <c r="AN71" s="247"/>
      <c r="AO71" s="247"/>
      <c r="AP71" s="247"/>
      <c r="AQ71" s="247"/>
      <c r="AR71" s="247"/>
      <c r="AS71" s="247"/>
      <c r="AT71" s="247"/>
      <c r="AU71" s="247"/>
      <c r="AV71" s="247"/>
      <c r="AW71" s="247"/>
      <c r="AX71" s="247"/>
      <c r="AY71" s="49"/>
      <c r="AZ71" s="49"/>
      <c r="BA71" s="49"/>
      <c r="BB71" s="290" t="s">
        <v>1392</v>
      </c>
      <c r="BC71" s="49"/>
      <c r="BD71" s="49"/>
      <c r="BE71" s="49"/>
      <c r="BF71" s="49"/>
      <c r="BG71" s="49"/>
      <c r="BH71" s="49"/>
      <c r="BI71" s="49"/>
      <c r="BJ71" s="49"/>
      <c r="BK71" s="234"/>
      <c r="BL71" s="234"/>
      <c r="BM71" s="234"/>
      <c r="BN71" s="234"/>
      <c r="BO71" s="234"/>
      <c r="BP71" s="234"/>
      <c r="BQ71" s="234"/>
      <c r="BR71" s="234"/>
      <c r="BS71" s="234"/>
      <c r="BT71" s="234"/>
      <c r="BU71" s="234"/>
      <c r="BV71" s="234"/>
      <c r="BW71" s="234"/>
      <c r="BX71" s="234"/>
      <c r="BY71" s="234"/>
      <c r="BZ71" s="234"/>
      <c r="CA71" s="234"/>
      <c r="CB71" s="234"/>
      <c r="CC71" s="234"/>
      <c r="CD71" s="234"/>
      <c r="CE71" s="234"/>
      <c r="CF71" s="234"/>
      <c r="CG71" s="234"/>
      <c r="CH71" s="234"/>
      <c r="CI71" s="234"/>
      <c r="CJ71" s="234"/>
      <c r="CK71" s="234"/>
      <c r="CL71" s="234"/>
      <c r="CM71" s="234"/>
      <c r="CN71" s="234"/>
      <c r="CO71" s="234"/>
      <c r="CP71" s="234"/>
      <c r="CQ71" s="234"/>
      <c r="CR71" s="234"/>
      <c r="CS71" s="234"/>
      <c r="CT71" s="234"/>
      <c r="CU71" s="234"/>
      <c r="CV71" s="234"/>
      <c r="CW71" s="234"/>
      <c r="CX71" s="234"/>
      <c r="CY71" s="31"/>
      <c r="CZ71" s="234"/>
      <c r="DA71" s="234"/>
      <c r="DB71" s="234"/>
      <c r="DC71" s="234"/>
      <c r="DD71" s="234"/>
      <c r="DE71" s="234"/>
      <c r="DF71" s="234"/>
      <c r="DG71" s="234"/>
      <c r="DH71" s="234"/>
      <c r="DI71" s="234"/>
      <c r="DJ71" s="234"/>
      <c r="DK71" s="234"/>
      <c r="DL71" s="234"/>
      <c r="DM71" s="234"/>
      <c r="DN71" s="234"/>
      <c r="DO71" s="234"/>
      <c r="DP71" s="234"/>
      <c r="DQ71" s="234"/>
      <c r="DR71" s="234"/>
      <c r="DS71" s="234"/>
      <c r="DT71" s="234"/>
    </row>
    <row r="72" spans="1:124" s="231" customFormat="1" ht="16.5" customHeight="1" x14ac:dyDescent="0.25">
      <c r="A72" s="232"/>
      <c r="B72" s="250"/>
      <c r="C72" s="250"/>
      <c r="D72" s="250"/>
      <c r="E72" s="232"/>
      <c r="F72" s="387">
        <f t="shared" ca="1" si="161"/>
        <v>2017</v>
      </c>
      <c r="G72" s="387" t="str">
        <f t="shared" ca="1" si="161"/>
        <v>okt</v>
      </c>
      <c r="H72" s="70"/>
      <c r="I72" s="109">
        <f t="shared" si="162"/>
        <v>0</v>
      </c>
      <c r="J72" s="388"/>
      <c r="K72" s="73"/>
      <c r="L72" s="109">
        <f t="shared" si="163"/>
        <v>0</v>
      </c>
      <c r="M72" s="372"/>
      <c r="N72" s="73"/>
      <c r="O72" s="109">
        <f t="shared" si="164"/>
        <v>0</v>
      </c>
      <c r="P72" s="372"/>
      <c r="Q72" s="246"/>
      <c r="R72" s="246"/>
      <c r="S72" s="246"/>
      <c r="T72" s="246"/>
      <c r="U72" s="246"/>
      <c r="V72" s="246"/>
      <c r="W72" s="232"/>
      <c r="X72" s="247"/>
      <c r="Y72" s="252">
        <f t="shared" si="173"/>
        <v>0</v>
      </c>
      <c r="Z72" s="99">
        <f t="shared" si="174"/>
        <v>0</v>
      </c>
      <c r="AA72" s="99">
        <f t="shared" si="175"/>
        <v>0</v>
      </c>
      <c r="AB72" s="100">
        <f t="shared" si="176"/>
        <v>0</v>
      </c>
      <c r="AC72" s="100">
        <f t="shared" si="177"/>
        <v>0</v>
      </c>
      <c r="AD72" s="100">
        <f t="shared" si="165"/>
        <v>0</v>
      </c>
      <c r="AE72" s="233"/>
      <c r="AF72" s="247"/>
      <c r="AG72" s="252">
        <f t="shared" si="178"/>
        <v>0</v>
      </c>
      <c r="AH72" s="252">
        <f t="shared" si="166"/>
        <v>0</v>
      </c>
      <c r="AI72" s="252">
        <f t="shared" si="167"/>
        <v>0</v>
      </c>
      <c r="AJ72" s="252">
        <f t="shared" si="168"/>
        <v>0</v>
      </c>
      <c r="AK72" s="252">
        <f t="shared" si="169"/>
        <v>0</v>
      </c>
      <c r="AL72" s="248">
        <f t="shared" si="170"/>
        <v>0</v>
      </c>
      <c r="AM72" s="247"/>
      <c r="AN72" s="247"/>
      <c r="AO72" s="247"/>
      <c r="AP72" s="247"/>
      <c r="AQ72" s="247"/>
      <c r="AR72" s="247"/>
      <c r="AS72" s="247"/>
      <c r="AT72" s="247"/>
      <c r="AU72" s="247"/>
      <c r="AV72" s="247"/>
      <c r="AW72" s="247"/>
      <c r="AX72" s="247"/>
      <c r="AY72" s="234"/>
      <c r="AZ72" s="234"/>
      <c r="BA72" s="234"/>
      <c r="BB72" s="234"/>
      <c r="BC72" s="234"/>
      <c r="BD72" s="234"/>
      <c r="BE72" s="234"/>
      <c r="BF72" s="234"/>
      <c r="BG72" s="234"/>
      <c r="BH72" s="234"/>
      <c r="BI72" s="234"/>
      <c r="BJ72" s="234"/>
      <c r="BK72" s="234"/>
      <c r="BL72" s="38" t="s">
        <v>1105</v>
      </c>
      <c r="BM72" s="234"/>
      <c r="BN72" s="234"/>
      <c r="BO72" s="234"/>
      <c r="BP72" s="234"/>
      <c r="BQ72" s="234"/>
      <c r="BR72" s="234"/>
      <c r="BS72" s="234"/>
      <c r="BT72" s="234"/>
      <c r="BU72" s="234"/>
      <c r="BV72" s="234"/>
      <c r="BW72" s="234"/>
      <c r="BX72" s="234"/>
      <c r="BY72" s="234"/>
      <c r="BZ72" s="234"/>
      <c r="CA72" s="234"/>
      <c r="CB72" s="234"/>
      <c r="CC72" s="234"/>
      <c r="CD72" s="234"/>
      <c r="CE72" s="234"/>
      <c r="CF72" s="234"/>
      <c r="CG72" s="234"/>
      <c r="CH72" s="234"/>
      <c r="CI72" s="234"/>
      <c r="CJ72" s="234"/>
      <c r="CK72" s="234"/>
      <c r="CL72" s="234"/>
      <c r="CM72" s="234"/>
      <c r="CN72" s="234"/>
      <c r="CO72" s="234"/>
      <c r="CP72" s="234"/>
      <c r="CQ72" s="234"/>
      <c r="CR72" s="234"/>
      <c r="CS72" s="234"/>
      <c r="CT72" s="234"/>
      <c r="CU72" s="234"/>
      <c r="CV72" s="234"/>
      <c r="CW72" s="234"/>
      <c r="CX72" s="234"/>
      <c r="CY72" s="31"/>
      <c r="CZ72" s="234"/>
      <c r="DA72" s="234"/>
      <c r="DB72" s="234"/>
      <c r="DC72" s="234"/>
      <c r="DD72" s="234"/>
      <c r="DE72" s="234"/>
      <c r="DF72" s="234"/>
      <c r="DG72" s="234"/>
      <c r="DH72" s="234"/>
      <c r="DI72" s="234"/>
      <c r="DJ72" s="234"/>
      <c r="DK72" s="234"/>
      <c r="DL72" s="234"/>
      <c r="DM72" s="234"/>
      <c r="DN72" s="234"/>
      <c r="DO72" s="234"/>
      <c r="DP72" s="234"/>
      <c r="DQ72" s="234"/>
      <c r="DR72" s="234"/>
      <c r="DS72" s="234"/>
      <c r="DT72" s="234"/>
    </row>
    <row r="73" spans="1:124" s="231" customFormat="1" ht="16.5" customHeight="1" x14ac:dyDescent="0.25">
      <c r="A73" s="232"/>
      <c r="B73" s="250"/>
      <c r="C73" s="250"/>
      <c r="D73" s="250"/>
      <c r="E73" s="232"/>
      <c r="F73" s="387">
        <f t="shared" ca="1" si="161"/>
        <v>2017</v>
      </c>
      <c r="G73" s="387" t="str">
        <f t="shared" ca="1" si="161"/>
        <v>nov</v>
      </c>
      <c r="H73" s="70"/>
      <c r="I73" s="109">
        <f t="shared" si="162"/>
        <v>0</v>
      </c>
      <c r="J73" s="388"/>
      <c r="K73" s="73"/>
      <c r="L73" s="109">
        <f t="shared" si="163"/>
        <v>0</v>
      </c>
      <c r="M73" s="372"/>
      <c r="N73" s="73"/>
      <c r="O73" s="109">
        <f t="shared" si="164"/>
        <v>0</v>
      </c>
      <c r="P73" s="372"/>
      <c r="Q73" s="246"/>
      <c r="R73" s="246"/>
      <c r="S73" s="246"/>
      <c r="T73" s="246"/>
      <c r="U73" s="246"/>
      <c r="V73" s="246"/>
      <c r="W73" s="232"/>
      <c r="X73" s="247"/>
      <c r="Y73" s="252">
        <f t="shared" si="173"/>
        <v>0</v>
      </c>
      <c r="Z73" s="99">
        <f t="shared" si="174"/>
        <v>0</v>
      </c>
      <c r="AA73" s="99">
        <f t="shared" si="175"/>
        <v>0</v>
      </c>
      <c r="AB73" s="100">
        <f t="shared" si="176"/>
        <v>0</v>
      </c>
      <c r="AC73" s="100">
        <f t="shared" si="177"/>
        <v>0</v>
      </c>
      <c r="AD73" s="100">
        <f t="shared" si="165"/>
        <v>0</v>
      </c>
      <c r="AE73" s="233"/>
      <c r="AF73" s="247"/>
      <c r="AG73" s="252">
        <f t="shared" si="178"/>
        <v>0</v>
      </c>
      <c r="AH73" s="252">
        <f t="shared" si="166"/>
        <v>0</v>
      </c>
      <c r="AI73" s="252">
        <f t="shared" si="167"/>
        <v>0</v>
      </c>
      <c r="AJ73" s="252">
        <f t="shared" si="168"/>
        <v>0</v>
      </c>
      <c r="AK73" s="252">
        <f t="shared" si="169"/>
        <v>0</v>
      </c>
      <c r="AL73" s="248">
        <f t="shared" si="170"/>
        <v>0</v>
      </c>
      <c r="AM73" s="247"/>
      <c r="AN73" s="247"/>
      <c r="AO73" s="247"/>
      <c r="AP73" s="247"/>
      <c r="AQ73" s="247"/>
      <c r="AR73" s="247"/>
      <c r="AS73" s="247"/>
      <c r="AT73" s="247"/>
      <c r="AU73" s="247"/>
      <c r="AV73" s="247"/>
      <c r="AW73" s="247"/>
      <c r="AX73" s="247"/>
      <c r="AY73" s="234"/>
      <c r="AZ73" s="234"/>
      <c r="BA73" s="234"/>
      <c r="BB73" s="38" t="s">
        <v>1105</v>
      </c>
      <c r="BC73" s="234"/>
      <c r="BD73" s="234"/>
      <c r="BE73" s="234"/>
      <c r="BF73" s="234"/>
      <c r="BG73" s="234"/>
      <c r="BH73" s="234"/>
      <c r="BI73" s="234"/>
      <c r="BJ73" s="234"/>
      <c r="BK73" s="57" t="s">
        <v>1093</v>
      </c>
      <c r="BL73" s="52" t="s">
        <v>25</v>
      </c>
      <c r="BM73" s="52" t="s">
        <v>1085</v>
      </c>
      <c r="BN73" s="234"/>
      <c r="BO73" s="234"/>
      <c r="BP73" s="234"/>
      <c r="BQ73" s="234"/>
      <c r="BR73" s="234"/>
      <c r="BS73" s="234"/>
      <c r="BT73" s="234"/>
      <c r="BU73" s="234"/>
      <c r="BV73" s="234"/>
      <c r="BW73" s="234"/>
      <c r="BX73" s="234"/>
      <c r="BY73" s="234"/>
      <c r="BZ73" s="234"/>
      <c r="CA73" s="234"/>
      <c r="CB73" s="234"/>
      <c r="CC73" s="234"/>
      <c r="CD73" s="234"/>
      <c r="CE73" s="234"/>
      <c r="CF73" s="234"/>
      <c r="CG73" s="234"/>
      <c r="CH73" s="234"/>
      <c r="CI73" s="234"/>
      <c r="CJ73" s="234"/>
      <c r="CK73" s="234"/>
      <c r="CL73" s="234"/>
      <c r="CM73" s="234"/>
      <c r="CN73" s="234"/>
      <c r="CO73" s="234"/>
      <c r="CP73" s="234"/>
      <c r="CQ73" s="234"/>
      <c r="CR73" s="234"/>
      <c r="CS73" s="234"/>
      <c r="CT73" s="234"/>
      <c r="CU73" s="234"/>
      <c r="CV73" s="234"/>
      <c r="CW73" s="234"/>
      <c r="CX73" s="234"/>
      <c r="CY73" s="31"/>
      <c r="CZ73" s="234"/>
      <c r="DA73" s="234"/>
      <c r="DB73" s="234"/>
      <c r="DC73" s="234"/>
      <c r="DD73" s="234"/>
      <c r="DE73" s="234"/>
      <c r="DF73" s="234"/>
      <c r="DG73" s="234"/>
      <c r="DH73" s="234"/>
      <c r="DI73" s="234"/>
      <c r="DJ73" s="234"/>
      <c r="DK73" s="234"/>
      <c r="DL73" s="234"/>
      <c r="DM73" s="234"/>
      <c r="DN73" s="234"/>
      <c r="DO73" s="234"/>
      <c r="DP73" s="234"/>
      <c r="DQ73" s="234"/>
      <c r="DR73" s="234"/>
      <c r="DS73" s="234"/>
      <c r="DT73" s="234"/>
    </row>
    <row r="74" spans="1:124" s="231" customFormat="1" ht="16.5" customHeight="1" x14ac:dyDescent="0.25">
      <c r="A74" s="232"/>
      <c r="B74" s="250"/>
      <c r="C74" s="250"/>
      <c r="D74" s="250"/>
      <c r="E74" s="232"/>
      <c r="F74" s="387">
        <f t="shared" ca="1" si="161"/>
        <v>2017</v>
      </c>
      <c r="G74" s="387" t="str">
        <f t="shared" ca="1" si="161"/>
        <v>dec</v>
      </c>
      <c r="H74" s="70"/>
      <c r="I74" s="109">
        <f t="shared" si="162"/>
        <v>0</v>
      </c>
      <c r="J74" s="388"/>
      <c r="K74" s="73"/>
      <c r="L74" s="109">
        <f t="shared" si="163"/>
        <v>0</v>
      </c>
      <c r="M74" s="372"/>
      <c r="N74" s="73"/>
      <c r="O74" s="109">
        <f t="shared" si="164"/>
        <v>0</v>
      </c>
      <c r="P74" s="372"/>
      <c r="Q74" s="246"/>
      <c r="R74" s="246"/>
      <c r="S74" s="246"/>
      <c r="T74" s="246"/>
      <c r="U74" s="246"/>
      <c r="V74" s="246"/>
      <c r="W74" s="232"/>
      <c r="X74" s="236"/>
      <c r="Y74" s="252">
        <f t="shared" si="173"/>
        <v>0</v>
      </c>
      <c r="Z74" s="99">
        <f t="shared" si="174"/>
        <v>0</v>
      </c>
      <c r="AA74" s="99">
        <f t="shared" si="175"/>
        <v>0</v>
      </c>
      <c r="AB74" s="100">
        <f t="shared" si="176"/>
        <v>0</v>
      </c>
      <c r="AC74" s="100">
        <f t="shared" si="177"/>
        <v>0</v>
      </c>
      <c r="AD74" s="100">
        <f t="shared" si="165"/>
        <v>0</v>
      </c>
      <c r="AE74" s="233"/>
      <c r="AF74" s="247"/>
      <c r="AG74" s="252">
        <f t="shared" si="178"/>
        <v>0</v>
      </c>
      <c r="AH74" s="252">
        <f t="shared" si="166"/>
        <v>0</v>
      </c>
      <c r="AI74" s="252">
        <f t="shared" si="167"/>
        <v>0</v>
      </c>
      <c r="AJ74" s="252">
        <f t="shared" si="168"/>
        <v>0</v>
      </c>
      <c r="AK74" s="252">
        <f t="shared" si="169"/>
        <v>0</v>
      </c>
      <c r="AL74" s="248">
        <f t="shared" si="170"/>
        <v>0</v>
      </c>
      <c r="AM74" s="233"/>
      <c r="AN74" s="233"/>
      <c r="AO74" s="233"/>
      <c r="AP74" s="233"/>
      <c r="AQ74" s="233"/>
      <c r="AR74" s="233"/>
      <c r="AS74" s="233"/>
      <c r="AT74" s="233"/>
      <c r="AU74" s="233"/>
      <c r="AV74" s="233"/>
      <c r="AW74" s="233"/>
      <c r="AX74" s="233"/>
      <c r="AY74" s="234"/>
      <c r="AZ74" s="234"/>
      <c r="BA74" s="57" t="s">
        <v>1093</v>
      </c>
      <c r="BB74" s="52" t="s">
        <v>25</v>
      </c>
      <c r="BC74" s="52" t="s">
        <v>1085</v>
      </c>
      <c r="BD74" s="234"/>
      <c r="BE74" s="234"/>
      <c r="BF74" s="234"/>
      <c r="BG74" s="234"/>
      <c r="BH74" s="234"/>
      <c r="BI74" s="234"/>
      <c r="BJ74" s="234"/>
      <c r="BK74" s="57" t="s">
        <v>1286</v>
      </c>
      <c r="BL74" s="52">
        <v>1</v>
      </c>
      <c r="BM74" s="52">
        <v>1.6</v>
      </c>
      <c r="BN74" s="234"/>
      <c r="BO74" s="234"/>
      <c r="BP74" s="234"/>
      <c r="BQ74" s="234"/>
      <c r="BR74" s="234"/>
      <c r="BS74" s="234"/>
      <c r="BT74" s="234"/>
      <c r="BU74" s="234"/>
      <c r="BV74" s="234"/>
      <c r="BW74" s="234"/>
      <c r="BX74" s="234"/>
      <c r="BY74" s="234"/>
      <c r="BZ74" s="234"/>
      <c r="CA74" s="234"/>
      <c r="CB74" s="234"/>
      <c r="CC74" s="234"/>
      <c r="CD74" s="234"/>
      <c r="CE74" s="234"/>
      <c r="CF74" s="234"/>
      <c r="CG74" s="234"/>
      <c r="CH74" s="234"/>
      <c r="CI74" s="234"/>
      <c r="CJ74" s="234"/>
      <c r="CK74" s="234"/>
      <c r="CL74" s="234"/>
      <c r="CM74" s="234"/>
      <c r="CN74" s="234"/>
      <c r="CO74" s="234"/>
      <c r="CP74" s="234"/>
      <c r="CQ74" s="234"/>
      <c r="CR74" s="234"/>
      <c r="CS74" s="234"/>
      <c r="CT74" s="234"/>
      <c r="CU74" s="234"/>
      <c r="CV74" s="234"/>
      <c r="CW74" s="234"/>
      <c r="CX74" s="234"/>
      <c r="CY74" s="31"/>
      <c r="CZ74" s="234"/>
      <c r="DA74" s="234"/>
      <c r="DB74" s="234"/>
      <c r="DC74" s="234"/>
      <c r="DD74" s="234"/>
      <c r="DE74" s="234"/>
      <c r="DF74" s="234"/>
      <c r="DG74" s="234"/>
      <c r="DH74" s="234"/>
      <c r="DI74" s="234"/>
      <c r="DJ74" s="234"/>
      <c r="DK74" s="234"/>
      <c r="DL74" s="234"/>
      <c r="DM74" s="234"/>
      <c r="DN74" s="234"/>
      <c r="DO74" s="234"/>
      <c r="DP74" s="234"/>
      <c r="DQ74" s="234"/>
      <c r="DR74" s="234"/>
      <c r="DS74" s="234"/>
      <c r="DT74" s="234"/>
    </row>
    <row r="75" spans="1:124" s="231" customFormat="1" ht="16.5" customHeight="1" x14ac:dyDescent="0.25">
      <c r="A75" s="232"/>
      <c r="B75" s="250"/>
      <c r="C75" s="232"/>
      <c r="D75" s="251"/>
      <c r="E75" s="251"/>
      <c r="F75" s="250"/>
      <c r="G75" s="250"/>
      <c r="H75" s="250"/>
      <c r="I75" s="84">
        <f>SUM(I63:I74)</f>
        <v>0</v>
      </c>
      <c r="J75" s="84">
        <f>SUM(J63:J74)</f>
        <v>0</v>
      </c>
      <c r="K75" s="250"/>
      <c r="L75" s="84">
        <f>SUM(L63:L74)</f>
        <v>0</v>
      </c>
      <c r="M75" s="84">
        <f>SUM(M63:M74)</f>
        <v>0</v>
      </c>
      <c r="N75" s="250"/>
      <c r="O75" s="84">
        <f>SUM(O63:O74)</f>
        <v>0</v>
      </c>
      <c r="P75" s="84">
        <f>SUM(P63:P74)</f>
        <v>0</v>
      </c>
      <c r="Q75" s="250"/>
      <c r="R75" s="250"/>
      <c r="S75" s="250"/>
      <c r="T75" s="250"/>
      <c r="U75" s="250"/>
      <c r="V75" s="250"/>
      <c r="W75" s="232"/>
      <c r="X75" s="236"/>
      <c r="Y75" s="252">
        <f t="shared" si="173"/>
        <v>0</v>
      </c>
      <c r="Z75" s="99">
        <f t="shared" si="174"/>
        <v>0</v>
      </c>
      <c r="AA75" s="99">
        <f t="shared" si="175"/>
        <v>0</v>
      </c>
      <c r="AB75" s="100">
        <f t="shared" si="176"/>
        <v>0</v>
      </c>
      <c r="AC75" s="100">
        <f t="shared" si="177"/>
        <v>0</v>
      </c>
      <c r="AD75" s="100">
        <f t="shared" si="165"/>
        <v>0</v>
      </c>
      <c r="AE75" s="233"/>
      <c r="AF75" s="247"/>
      <c r="AG75" s="252">
        <f t="shared" si="178"/>
        <v>0</v>
      </c>
      <c r="AH75" s="252">
        <f t="shared" si="166"/>
        <v>0</v>
      </c>
      <c r="AI75" s="252">
        <f t="shared" si="167"/>
        <v>0</v>
      </c>
      <c r="AJ75" s="252">
        <f t="shared" si="168"/>
        <v>0</v>
      </c>
      <c r="AK75" s="252">
        <f t="shared" si="169"/>
        <v>0</v>
      </c>
      <c r="AL75" s="248">
        <f t="shared" si="170"/>
        <v>0</v>
      </c>
      <c r="AM75" s="233"/>
      <c r="AN75" s="233"/>
      <c r="AO75" s="233"/>
      <c r="AP75" s="233"/>
      <c r="AQ75" s="233"/>
      <c r="AR75" s="233"/>
      <c r="AS75" s="233"/>
      <c r="AT75" s="233"/>
      <c r="AU75" s="233"/>
      <c r="AV75" s="233"/>
      <c r="AW75" s="233"/>
      <c r="AX75" s="233"/>
      <c r="AY75" s="234"/>
      <c r="AZ75" s="234"/>
      <c r="BA75" s="57" t="s">
        <v>1286</v>
      </c>
      <c r="BB75" s="52">
        <v>1</v>
      </c>
      <c r="BC75" s="52">
        <v>1.6</v>
      </c>
      <c r="BD75" s="234"/>
      <c r="BE75" s="234"/>
      <c r="BF75" s="234"/>
      <c r="BG75" s="234"/>
      <c r="BH75" s="234"/>
      <c r="BI75" s="234"/>
      <c r="BJ75" s="234"/>
      <c r="BK75" s="57" t="s">
        <v>1287</v>
      </c>
      <c r="BL75" s="52">
        <v>0.6</v>
      </c>
      <c r="BM75" s="52">
        <v>1.8</v>
      </c>
      <c r="BN75" s="234"/>
      <c r="BO75" s="234"/>
      <c r="BP75" s="234"/>
      <c r="BQ75" s="234"/>
      <c r="BR75" s="234"/>
      <c r="BS75" s="234"/>
      <c r="BT75" s="234"/>
      <c r="BU75" s="234"/>
      <c r="BV75" s="234"/>
      <c r="BW75" s="234"/>
      <c r="BX75" s="234"/>
      <c r="BY75" s="234"/>
      <c r="BZ75" s="234"/>
      <c r="CA75" s="234"/>
      <c r="CB75" s="234"/>
      <c r="CC75" s="234"/>
      <c r="CD75" s="234"/>
      <c r="CE75" s="234"/>
      <c r="CF75" s="234"/>
      <c r="CG75" s="234"/>
      <c r="CH75" s="234"/>
      <c r="CI75" s="234"/>
      <c r="CJ75" s="234"/>
      <c r="CK75" s="234"/>
      <c r="CL75" s="234"/>
      <c r="CM75" s="234"/>
      <c r="CN75" s="234"/>
      <c r="CO75" s="234"/>
      <c r="CP75" s="234"/>
      <c r="CQ75" s="234"/>
      <c r="CR75" s="234"/>
      <c r="CS75" s="234"/>
      <c r="CT75" s="234"/>
      <c r="CU75" s="234"/>
      <c r="CV75" s="234"/>
      <c r="CW75" s="234"/>
      <c r="CX75" s="234"/>
      <c r="CY75" s="31"/>
      <c r="CZ75" s="234"/>
      <c r="DA75" s="234"/>
      <c r="DB75" s="234"/>
      <c r="DC75" s="234"/>
      <c r="DD75" s="234"/>
      <c r="DE75" s="234"/>
      <c r="DF75" s="234"/>
      <c r="DG75" s="234"/>
      <c r="DH75" s="234"/>
      <c r="DI75" s="234"/>
      <c r="DJ75" s="234"/>
      <c r="DK75" s="234"/>
      <c r="DL75" s="234"/>
      <c r="DM75" s="234"/>
      <c r="DN75" s="234"/>
      <c r="DO75" s="234"/>
      <c r="DP75" s="234"/>
      <c r="DQ75" s="234"/>
      <c r="DR75" s="234"/>
      <c r="DS75" s="234"/>
      <c r="DT75" s="234"/>
    </row>
    <row r="76" spans="1:124" s="231" customFormat="1" ht="16.5" customHeight="1" thickBot="1" x14ac:dyDescent="0.3">
      <c r="A76" s="232"/>
      <c r="B76" s="250"/>
      <c r="C76" s="232"/>
      <c r="D76" s="251"/>
      <c r="E76" s="251"/>
      <c r="F76" s="250"/>
      <c r="G76" s="250"/>
      <c r="H76" s="250"/>
      <c r="I76" s="84"/>
      <c r="J76" s="84"/>
      <c r="K76" s="250"/>
      <c r="L76" s="84"/>
      <c r="M76" s="84"/>
      <c r="N76" s="250"/>
      <c r="O76" s="84"/>
      <c r="P76" s="84"/>
      <c r="Q76" s="250"/>
      <c r="R76" s="250"/>
      <c r="S76" s="250"/>
      <c r="T76" s="250"/>
      <c r="U76" s="250"/>
      <c r="V76" s="250"/>
      <c r="W76" s="232"/>
      <c r="X76" s="233"/>
      <c r="Y76" s="254">
        <f t="shared" si="173"/>
        <v>0</v>
      </c>
      <c r="Z76" s="101">
        <f t="shared" si="174"/>
        <v>0</v>
      </c>
      <c r="AA76" s="101">
        <f t="shared" si="175"/>
        <v>0</v>
      </c>
      <c r="AB76" s="102">
        <f t="shared" si="176"/>
        <v>0</v>
      </c>
      <c r="AC76" s="102">
        <f t="shared" si="177"/>
        <v>0</v>
      </c>
      <c r="AD76" s="102">
        <f t="shared" si="165"/>
        <v>0</v>
      </c>
      <c r="AE76" s="233"/>
      <c r="AF76" s="233"/>
      <c r="AG76" s="254">
        <f t="shared" si="178"/>
        <v>0</v>
      </c>
      <c r="AH76" s="254">
        <f t="shared" si="166"/>
        <v>0</v>
      </c>
      <c r="AI76" s="254">
        <f t="shared" si="167"/>
        <v>0</v>
      </c>
      <c r="AJ76" s="254">
        <f t="shared" si="168"/>
        <v>0</v>
      </c>
      <c r="AK76" s="254">
        <f t="shared" si="169"/>
        <v>0</v>
      </c>
      <c r="AL76" s="255">
        <f t="shared" si="170"/>
        <v>0</v>
      </c>
      <c r="AM76" s="233"/>
      <c r="AN76" s="233"/>
      <c r="AO76" s="233"/>
      <c r="AP76" s="233"/>
      <c r="AQ76" s="233"/>
      <c r="AR76" s="233"/>
      <c r="AS76" s="233"/>
      <c r="AT76" s="233"/>
      <c r="AU76" s="233"/>
      <c r="AV76" s="233"/>
      <c r="AW76" s="233"/>
      <c r="AX76" s="233"/>
      <c r="AY76" s="234"/>
      <c r="AZ76" s="234"/>
      <c r="BA76" s="57" t="s">
        <v>1287</v>
      </c>
      <c r="BB76" s="52">
        <v>0.6</v>
      </c>
      <c r="BC76" s="52">
        <v>1.8</v>
      </c>
      <c r="BD76" s="234"/>
      <c r="BE76" s="234"/>
      <c r="BF76" s="234"/>
      <c r="BG76" s="234"/>
      <c r="BH76" s="234"/>
      <c r="BI76" s="234"/>
      <c r="BJ76" s="234"/>
      <c r="BK76" s="57"/>
      <c r="BL76" s="234"/>
      <c r="BM76" s="234"/>
      <c r="BN76" s="234"/>
      <c r="BO76" s="234"/>
      <c r="BP76" s="234"/>
      <c r="BQ76" s="234"/>
      <c r="BR76" s="234"/>
      <c r="BS76" s="234"/>
      <c r="BT76" s="234"/>
      <c r="BU76" s="234"/>
      <c r="BV76" s="234"/>
      <c r="BW76" s="234"/>
      <c r="BX76" s="234"/>
      <c r="BY76" s="234"/>
      <c r="BZ76" s="234"/>
      <c r="CA76" s="234"/>
      <c r="CB76" s="234"/>
      <c r="CC76" s="234"/>
      <c r="CD76" s="234"/>
      <c r="CE76" s="234"/>
      <c r="CF76" s="234"/>
      <c r="CG76" s="234"/>
      <c r="CH76" s="234"/>
      <c r="CI76" s="234"/>
      <c r="CJ76" s="234"/>
      <c r="CK76" s="234"/>
      <c r="CL76" s="234"/>
      <c r="CM76" s="234"/>
      <c r="CN76" s="234"/>
      <c r="CO76" s="234"/>
      <c r="CP76" s="234"/>
      <c r="CQ76" s="234"/>
      <c r="CR76" s="234"/>
      <c r="CS76" s="234"/>
      <c r="CT76" s="234"/>
      <c r="CU76" s="234"/>
      <c r="CV76" s="234"/>
      <c r="CW76" s="234"/>
      <c r="CX76" s="234"/>
      <c r="CY76" s="31"/>
      <c r="CZ76" s="234"/>
      <c r="DA76" s="234"/>
      <c r="DB76" s="234"/>
      <c r="DC76" s="234"/>
      <c r="DD76" s="234"/>
      <c r="DE76" s="234"/>
      <c r="DF76" s="234"/>
      <c r="DG76" s="234"/>
      <c r="DH76" s="234"/>
      <c r="DI76" s="234"/>
      <c r="DJ76" s="234"/>
      <c r="DK76" s="234"/>
      <c r="DL76" s="234"/>
      <c r="DM76" s="234"/>
      <c r="DN76" s="234"/>
      <c r="DO76" s="234"/>
      <c r="DP76" s="234"/>
      <c r="DQ76" s="234"/>
      <c r="DR76" s="234"/>
      <c r="DS76" s="234"/>
      <c r="DT76" s="234"/>
    </row>
    <row r="77" spans="1:124" s="231" customFormat="1" ht="16.5" customHeight="1" thickTop="1" x14ac:dyDescent="0.25">
      <c r="A77" s="232"/>
      <c r="B77" s="382">
        <v>3</v>
      </c>
      <c r="C77" s="383" t="s">
        <v>1347</v>
      </c>
      <c r="D77" s="384"/>
      <c r="E77" s="385"/>
      <c r="F77" s="384"/>
      <c r="G77" s="384"/>
      <c r="H77" s="384"/>
      <c r="I77" s="384"/>
      <c r="J77" s="384"/>
      <c r="K77" s="384"/>
      <c r="L77" s="384"/>
      <c r="M77" s="385"/>
      <c r="N77" s="385"/>
      <c r="O77" s="385"/>
      <c r="P77" s="385"/>
      <c r="Q77" s="385"/>
      <c r="R77" s="385"/>
      <c r="S77" s="385"/>
      <c r="T77" s="385"/>
      <c r="U77" s="385"/>
      <c r="V77" s="385"/>
      <c r="W77" s="386"/>
      <c r="X77" s="236" t="s">
        <v>1296</v>
      </c>
      <c r="Y77" s="256">
        <f t="shared" ref="Y77:AD77" si="181">SUM(Y65:Y76)</f>
        <v>0</v>
      </c>
      <c r="Z77" s="256">
        <f t="shared" si="181"/>
        <v>0</v>
      </c>
      <c r="AA77" s="256">
        <f t="shared" si="181"/>
        <v>0</v>
      </c>
      <c r="AB77" s="256">
        <f t="shared" si="181"/>
        <v>0</v>
      </c>
      <c r="AC77" s="257">
        <f t="shared" si="181"/>
        <v>0</v>
      </c>
      <c r="AD77" s="256">
        <f t="shared" si="181"/>
        <v>0</v>
      </c>
      <c r="AE77" s="233"/>
      <c r="AF77" s="236" t="s">
        <v>1296</v>
      </c>
      <c r="AG77" s="119">
        <f t="shared" ref="AG77:AL77" si="182">SUM(AG65:AG76)</f>
        <v>0</v>
      </c>
      <c r="AH77" s="119">
        <f t="shared" si="182"/>
        <v>0</v>
      </c>
      <c r="AI77" s="119">
        <f t="shared" si="182"/>
        <v>0</v>
      </c>
      <c r="AJ77" s="119">
        <f t="shared" si="182"/>
        <v>0</v>
      </c>
      <c r="AK77" s="352">
        <f t="shared" si="182"/>
        <v>0</v>
      </c>
      <c r="AL77" s="256">
        <f t="shared" si="182"/>
        <v>0</v>
      </c>
      <c r="AM77" s="233"/>
      <c r="AN77" s="233"/>
      <c r="AO77" s="233"/>
      <c r="AP77" s="233"/>
      <c r="AQ77" s="233"/>
      <c r="AR77" s="233"/>
      <c r="AS77" s="233"/>
      <c r="AT77" s="233"/>
      <c r="AU77" s="233"/>
      <c r="AV77" s="233"/>
      <c r="AW77" s="233"/>
      <c r="AX77" s="233"/>
      <c r="AY77" s="234"/>
      <c r="AZ77" s="234"/>
      <c r="BA77" s="57"/>
      <c r="BB77" s="234"/>
      <c r="BC77" s="234"/>
      <c r="BD77" s="234"/>
      <c r="BE77" s="234"/>
      <c r="BF77" s="234"/>
      <c r="BG77" s="234"/>
      <c r="BH77" s="234"/>
      <c r="BI77" s="234"/>
      <c r="BJ77" s="234"/>
      <c r="BK77" s="234"/>
      <c r="BL77" s="39" t="str">
        <f>BL73</f>
        <v>Fjärrkyla</v>
      </c>
      <c r="BM77" s="39" t="str">
        <f>BM73</f>
        <v>El</v>
      </c>
      <c r="BN77" s="58" t="s">
        <v>1094</v>
      </c>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31"/>
      <c r="CZ77" s="234"/>
      <c r="DA77" s="234"/>
      <c r="DB77" s="234"/>
      <c r="DC77" s="234"/>
      <c r="DD77" s="234"/>
      <c r="DE77" s="234"/>
      <c r="DF77" s="234"/>
      <c r="DG77" s="234"/>
      <c r="DH77" s="234"/>
      <c r="DI77" s="234"/>
      <c r="DJ77" s="234"/>
      <c r="DK77" s="234"/>
      <c r="DL77" s="234"/>
      <c r="DM77" s="234"/>
      <c r="DN77" s="234"/>
      <c r="DO77" s="234"/>
      <c r="DP77" s="234"/>
      <c r="DQ77" s="234"/>
      <c r="DR77" s="234"/>
      <c r="DS77" s="234"/>
      <c r="DT77" s="234"/>
    </row>
    <row r="78" spans="1:124" s="231" customFormat="1" ht="16.5" customHeight="1" x14ac:dyDescent="0.25">
      <c r="A78" s="232"/>
      <c r="X78" s="236" t="s">
        <v>1377</v>
      </c>
      <c r="Y78" s="248">
        <f>IF(Y77&gt;0,Y77*(Y57/Y56),0)</f>
        <v>0</v>
      </c>
      <c r="Z78" s="248">
        <f t="shared" ref="Z78:AC78" si="183">IF(Z77&gt;0,Z77*(Z57/Z56),0)</f>
        <v>0</v>
      </c>
      <c r="AA78" s="248">
        <f t="shared" si="183"/>
        <v>0</v>
      </c>
      <c r="AB78" s="248">
        <f t="shared" si="183"/>
        <v>0</v>
      </c>
      <c r="AC78" s="248">
        <f t="shared" si="183"/>
        <v>0</v>
      </c>
      <c r="AD78" s="256">
        <f>SUM(Y78:AC78)</f>
        <v>0</v>
      </c>
      <c r="AE78" s="236"/>
      <c r="AF78" s="236" t="s">
        <v>1377</v>
      </c>
      <c r="AG78" s="248">
        <f>IF(AG77&gt;0,AG77*(Y57/Y56),0)</f>
        <v>0</v>
      </c>
      <c r="AH78" s="248">
        <f t="shared" ref="AH78:AK78" si="184">IF(AH77&gt;0,AH77*(Z57/Z56),0)</f>
        <v>0</v>
      </c>
      <c r="AI78" s="248">
        <f t="shared" si="184"/>
        <v>0</v>
      </c>
      <c r="AJ78" s="248">
        <f t="shared" si="184"/>
        <v>0</v>
      </c>
      <c r="AK78" s="248">
        <f t="shared" si="184"/>
        <v>0</v>
      </c>
      <c r="AL78" s="256">
        <f>SUM(AG78:AK78)</f>
        <v>0</v>
      </c>
      <c r="AM78" s="233"/>
      <c r="AN78" s="233"/>
      <c r="AO78" s="233"/>
      <c r="AP78" s="233"/>
      <c r="AQ78" s="233"/>
      <c r="AR78" s="233"/>
      <c r="AS78" s="233"/>
      <c r="AT78" s="233"/>
      <c r="AU78" s="233"/>
      <c r="AV78" s="233"/>
      <c r="AW78" s="233"/>
      <c r="AX78" s="233"/>
      <c r="AY78" s="234"/>
      <c r="AZ78" s="234"/>
      <c r="BA78" s="234"/>
      <c r="BB78" s="39" t="str">
        <f>BB74</f>
        <v>Fjärrkyla</v>
      </c>
      <c r="BC78" s="39" t="str">
        <f>BC74</f>
        <v>El</v>
      </c>
      <c r="BD78" s="58" t="s">
        <v>1094</v>
      </c>
      <c r="BE78" s="234"/>
      <c r="BF78" s="234"/>
      <c r="BG78" s="234"/>
      <c r="BH78" s="234"/>
      <c r="BI78" s="234"/>
      <c r="BJ78" s="234"/>
      <c r="BK78" s="234"/>
      <c r="BL78" s="110">
        <f t="shared" ref="BL78:BL89" si="185">Y82</f>
        <v>0</v>
      </c>
      <c r="BM78" s="110">
        <f t="shared" ref="BM78:BM89" si="186">Z82</f>
        <v>0</v>
      </c>
      <c r="BN78" s="52">
        <f>BL78+BM78</f>
        <v>0</v>
      </c>
      <c r="BO78" s="234"/>
      <c r="BP78" s="234"/>
      <c r="BQ78" s="234"/>
      <c r="BR78" s="234"/>
      <c r="BS78" s="234"/>
      <c r="BT78" s="234"/>
      <c r="BU78" s="234"/>
      <c r="BV78" s="234"/>
      <c r="BW78" s="234"/>
      <c r="BX78" s="234"/>
      <c r="BY78" s="234"/>
      <c r="BZ78" s="234"/>
      <c r="CA78" s="234"/>
      <c r="CB78" s="234"/>
      <c r="CC78" s="234"/>
      <c r="CD78" s="234"/>
      <c r="CE78" s="234"/>
      <c r="CF78" s="234"/>
      <c r="CG78" s="234"/>
      <c r="CH78" s="234"/>
      <c r="CI78" s="234"/>
      <c r="CJ78" s="234"/>
      <c r="CK78" s="234"/>
      <c r="CL78" s="234"/>
      <c r="CM78" s="234"/>
      <c r="CN78" s="234"/>
      <c r="CO78" s="234"/>
      <c r="CP78" s="234"/>
      <c r="CQ78" s="234"/>
      <c r="CR78" s="234"/>
      <c r="CS78" s="234"/>
      <c r="CT78" s="234"/>
      <c r="CU78" s="234"/>
      <c r="CV78" s="234"/>
      <c r="CW78" s="234"/>
      <c r="CX78" s="234"/>
      <c r="CY78" s="31"/>
      <c r="CZ78" s="234"/>
      <c r="DA78" s="234"/>
      <c r="DB78" s="234"/>
      <c r="DC78" s="234"/>
      <c r="DD78" s="234"/>
      <c r="DE78" s="234"/>
      <c r="DF78" s="234"/>
      <c r="DG78" s="234"/>
      <c r="DH78" s="234"/>
      <c r="DI78" s="234"/>
      <c r="DJ78" s="234"/>
      <c r="DK78" s="234"/>
      <c r="DL78" s="234"/>
      <c r="DM78" s="234"/>
      <c r="DN78" s="234"/>
      <c r="DO78" s="234"/>
      <c r="DP78" s="234"/>
      <c r="DQ78" s="234"/>
      <c r="DR78" s="234"/>
      <c r="DS78" s="234"/>
      <c r="DT78" s="234"/>
    </row>
    <row r="79" spans="1:124" s="231" customFormat="1" ht="16.5" customHeight="1" x14ac:dyDescent="0.25">
      <c r="A79" s="232"/>
      <c r="B79" s="232"/>
      <c r="C79" s="232"/>
      <c r="D79" s="232"/>
      <c r="E79" s="232"/>
      <c r="F79" s="505" t="s">
        <v>1138</v>
      </c>
      <c r="G79" s="505"/>
      <c r="H79" s="232"/>
      <c r="I79" s="238" t="s">
        <v>1047</v>
      </c>
      <c r="J79" s="232"/>
      <c r="K79" s="232"/>
      <c r="L79" s="238" t="s">
        <v>1048</v>
      </c>
      <c r="M79" s="232"/>
      <c r="N79" s="232"/>
      <c r="O79" s="238" t="s">
        <v>1049</v>
      </c>
      <c r="P79" s="232"/>
      <c r="Q79" s="232"/>
      <c r="R79" s="232"/>
      <c r="S79" s="232"/>
      <c r="T79" s="232"/>
      <c r="U79" s="232"/>
      <c r="V79" s="232"/>
      <c r="W79" s="232"/>
      <c r="X79" s="245"/>
      <c r="Y79" s="242"/>
      <c r="Z79" s="247"/>
      <c r="AA79" s="233"/>
      <c r="AB79" s="233"/>
      <c r="AC79" s="244" t="s">
        <v>1373</v>
      </c>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4"/>
      <c r="AZ79" s="234"/>
      <c r="BA79" s="234"/>
      <c r="BB79" s="110">
        <f>Y82</f>
        <v>0</v>
      </c>
      <c r="BC79" s="110">
        <f>Z82</f>
        <v>0</v>
      </c>
      <c r="BD79" s="52">
        <f>BB79+BC79</f>
        <v>0</v>
      </c>
      <c r="BE79" s="234"/>
      <c r="BF79" s="234"/>
      <c r="BG79" s="234"/>
      <c r="BH79" s="234"/>
      <c r="BI79" s="234"/>
      <c r="BJ79" s="234"/>
      <c r="BK79" s="234"/>
      <c r="BL79" s="110">
        <f t="shared" si="185"/>
        <v>0</v>
      </c>
      <c r="BM79" s="110">
        <f t="shared" si="186"/>
        <v>0</v>
      </c>
      <c r="BN79" s="52">
        <f t="shared" ref="BN79:BN90" si="187">BL79+BM79</f>
        <v>0</v>
      </c>
      <c r="BO79" s="234"/>
      <c r="BP79" s="234"/>
      <c r="BQ79" s="234"/>
      <c r="BR79" s="234"/>
      <c r="BS79" s="234"/>
      <c r="BT79" s="234"/>
      <c r="BU79" s="234"/>
      <c r="BV79" s="234"/>
      <c r="BW79" s="234"/>
      <c r="BX79" s="234"/>
      <c r="BY79" s="234"/>
      <c r="BZ79" s="234"/>
      <c r="CA79" s="234"/>
      <c r="CB79" s="234"/>
      <c r="CC79" s="234"/>
      <c r="CD79" s="234"/>
      <c r="CE79" s="234"/>
      <c r="CF79" s="234"/>
      <c r="CG79" s="234"/>
      <c r="CH79" s="234"/>
      <c r="CI79" s="234"/>
      <c r="CJ79" s="234"/>
      <c r="CK79" s="234"/>
      <c r="CL79" s="234"/>
      <c r="CM79" s="234"/>
      <c r="CN79" s="234"/>
      <c r="CO79" s="234"/>
      <c r="CP79" s="234"/>
      <c r="CQ79" s="234"/>
      <c r="CR79" s="234"/>
      <c r="CS79" s="234"/>
      <c r="CT79" s="234"/>
      <c r="CU79" s="234"/>
      <c r="CV79" s="234"/>
      <c r="CW79" s="234"/>
      <c r="CX79" s="234"/>
      <c r="CY79" s="31"/>
      <c r="CZ79" s="234"/>
      <c r="DA79" s="234"/>
      <c r="DB79" s="234"/>
      <c r="DC79" s="234"/>
      <c r="DD79" s="234"/>
      <c r="DE79" s="234"/>
      <c r="DF79" s="234"/>
      <c r="DG79" s="234"/>
      <c r="DH79" s="234"/>
      <c r="DI79" s="234"/>
      <c r="DJ79" s="234"/>
      <c r="DK79" s="234"/>
      <c r="DL79" s="234"/>
      <c r="DM79" s="234"/>
      <c r="DN79" s="234"/>
      <c r="DO79" s="234"/>
      <c r="DP79" s="234"/>
      <c r="DQ79" s="234"/>
      <c r="DR79" s="234"/>
      <c r="DS79" s="234"/>
      <c r="DT79" s="234"/>
    </row>
    <row r="80" spans="1:124" s="231" customFormat="1" ht="16.5" customHeight="1" x14ac:dyDescent="0.25">
      <c r="A80" s="232"/>
      <c r="B80" s="232"/>
      <c r="C80" s="53" t="s">
        <v>1050</v>
      </c>
      <c r="D80" s="392">
        <v>1</v>
      </c>
      <c r="E80" s="232"/>
      <c r="F80" s="54" t="s">
        <v>9</v>
      </c>
      <c r="G80" s="375">
        <f>$G$14</f>
        <v>2017</v>
      </c>
      <c r="H80" s="37"/>
      <c r="I80" s="55" t="s">
        <v>1081</v>
      </c>
      <c r="J80" s="368" t="s">
        <v>25</v>
      </c>
      <c r="K80" s="37"/>
      <c r="L80" s="55" t="s">
        <v>1081</v>
      </c>
      <c r="M80" s="368" t="s">
        <v>26</v>
      </c>
      <c r="N80" s="37"/>
      <c r="O80" s="55" t="s">
        <v>1081</v>
      </c>
      <c r="P80" s="368" t="s">
        <v>26</v>
      </c>
      <c r="Q80" s="37"/>
      <c r="R80" s="37"/>
      <c r="S80" s="37"/>
      <c r="T80" s="37"/>
      <c r="U80" s="37"/>
      <c r="V80" s="37"/>
      <c r="W80" s="232"/>
      <c r="X80" s="245"/>
      <c r="Y80" s="242" t="s">
        <v>1105</v>
      </c>
      <c r="Z80" s="245"/>
      <c r="AA80" s="245"/>
      <c r="AB80" s="233"/>
      <c r="AC80" s="242" t="s">
        <v>1105</v>
      </c>
      <c r="AD80" s="233"/>
      <c r="AE80" s="233"/>
      <c r="AF80" s="227"/>
      <c r="AG80" s="227"/>
      <c r="AH80" s="233"/>
      <c r="AI80" s="233"/>
      <c r="AJ80" s="233"/>
      <c r="AK80" s="233"/>
      <c r="AL80" s="233"/>
      <c r="AM80" s="233"/>
      <c r="AN80" s="233"/>
      <c r="AO80" s="233"/>
      <c r="AP80" s="233"/>
      <c r="AQ80" s="233"/>
      <c r="AR80" s="233"/>
      <c r="AS80" s="233"/>
      <c r="AT80" s="233"/>
      <c r="AU80" s="233"/>
      <c r="AV80" s="233"/>
      <c r="AW80" s="233"/>
      <c r="AX80" s="233"/>
      <c r="AY80" s="234"/>
      <c r="AZ80" s="234"/>
      <c r="BA80" s="234"/>
      <c r="BB80" s="110">
        <f t="shared" ref="BB80:BB90" si="188">Y83</f>
        <v>0</v>
      </c>
      <c r="BC80" s="110">
        <f t="shared" ref="BC80:BC90" si="189">Z83</f>
        <v>0</v>
      </c>
      <c r="BD80" s="52">
        <f t="shared" ref="BD80:BD90" si="190">BB80+BC80</f>
        <v>0</v>
      </c>
      <c r="BE80" s="234"/>
      <c r="BF80" s="234"/>
      <c r="BG80" s="234"/>
      <c r="BH80" s="234"/>
      <c r="BI80" s="234"/>
      <c r="BJ80" s="234"/>
      <c r="BK80" s="234"/>
      <c r="BL80" s="110">
        <f t="shared" si="185"/>
        <v>0</v>
      </c>
      <c r="BM80" s="110">
        <f t="shared" si="186"/>
        <v>0</v>
      </c>
      <c r="BN80" s="52">
        <f t="shared" si="187"/>
        <v>0</v>
      </c>
      <c r="BO80" s="234"/>
      <c r="BP80" s="234"/>
      <c r="BQ80" s="234"/>
      <c r="BR80" s="234"/>
      <c r="BS80" s="234"/>
      <c r="BT80" s="234"/>
      <c r="BU80" s="234"/>
      <c r="BV80" s="234"/>
      <c r="BW80" s="234"/>
      <c r="BX80" s="234"/>
      <c r="BY80" s="234"/>
      <c r="BZ80" s="234"/>
      <c r="CA80" s="234"/>
      <c r="CB80" s="234"/>
      <c r="CC80" s="234"/>
      <c r="CD80" s="234"/>
      <c r="CE80" s="234"/>
      <c r="CF80" s="234"/>
      <c r="CG80" s="234"/>
      <c r="CH80" s="234"/>
      <c r="CI80" s="234"/>
      <c r="CJ80" s="234"/>
      <c r="CK80" s="234"/>
      <c r="CL80" s="234"/>
      <c r="CM80" s="234"/>
      <c r="CN80" s="234"/>
      <c r="CO80" s="234"/>
      <c r="CP80" s="234"/>
      <c r="CQ80" s="234"/>
      <c r="CR80" s="234"/>
      <c r="CS80" s="234"/>
      <c r="CT80" s="234"/>
      <c r="CU80" s="234"/>
      <c r="CV80" s="234"/>
      <c r="CW80" s="234"/>
      <c r="CX80" s="234"/>
      <c r="CY80" s="31"/>
      <c r="CZ80" s="234"/>
      <c r="DA80" s="234"/>
      <c r="DB80" s="234"/>
      <c r="DC80" s="234"/>
      <c r="DD80" s="234"/>
      <c r="DE80" s="234"/>
      <c r="DF80" s="234"/>
      <c r="DG80" s="234"/>
      <c r="DH80" s="234"/>
      <c r="DI80" s="234"/>
      <c r="DJ80" s="234"/>
      <c r="DK80" s="234"/>
      <c r="DL80" s="234"/>
      <c r="DM80" s="234"/>
      <c r="DN80" s="234"/>
      <c r="DO80" s="234"/>
      <c r="DP80" s="234"/>
      <c r="DQ80" s="234"/>
      <c r="DR80" s="234"/>
      <c r="DS80" s="234"/>
      <c r="DT80" s="234"/>
    </row>
    <row r="81" spans="1:124" s="231" customFormat="1" ht="16.5" customHeight="1" x14ac:dyDescent="0.25">
      <c r="A81" s="232"/>
      <c r="B81" s="232"/>
      <c r="C81" s="217" t="s">
        <v>1356</v>
      </c>
      <c r="D81" s="232"/>
      <c r="E81" s="232"/>
      <c r="F81" s="54" t="s">
        <v>19</v>
      </c>
      <c r="G81" s="375" t="str">
        <f>$G$15</f>
        <v>jan</v>
      </c>
      <c r="H81" s="37"/>
      <c r="I81" s="53" t="s">
        <v>13</v>
      </c>
      <c r="J81" s="372">
        <v>1</v>
      </c>
      <c r="K81" s="246"/>
      <c r="L81" s="55" t="s">
        <v>13</v>
      </c>
      <c r="M81" s="372">
        <v>2.5</v>
      </c>
      <c r="N81" s="246"/>
      <c r="O81" s="55" t="s">
        <v>13</v>
      </c>
      <c r="P81" s="372">
        <v>2.5</v>
      </c>
      <c r="Q81" s="246"/>
      <c r="R81" s="246"/>
      <c r="S81" s="246"/>
      <c r="T81" s="246"/>
      <c r="U81" s="246"/>
      <c r="V81" s="246"/>
      <c r="W81" s="232"/>
      <c r="X81" s="233"/>
      <c r="Y81" s="233" t="s">
        <v>25</v>
      </c>
      <c r="Z81" s="233" t="s">
        <v>26</v>
      </c>
      <c r="AA81" s="249" t="s">
        <v>1094</v>
      </c>
      <c r="AB81" s="233"/>
      <c r="AC81" s="287" t="s">
        <v>25</v>
      </c>
      <c r="AD81" s="287" t="s">
        <v>26</v>
      </c>
      <c r="AE81" s="287" t="s">
        <v>1249</v>
      </c>
      <c r="AF81" s="249" t="s">
        <v>1094</v>
      </c>
      <c r="AG81" s="244" t="s">
        <v>1370</v>
      </c>
      <c r="AH81" s="233"/>
      <c r="AI81" s="233"/>
      <c r="AJ81" s="233"/>
      <c r="AK81" s="233"/>
      <c r="AL81" s="233"/>
      <c r="AM81" s="233"/>
      <c r="AN81" s="233"/>
      <c r="AO81" s="233"/>
      <c r="AP81" s="233"/>
      <c r="AQ81" s="233"/>
      <c r="AR81" s="233"/>
      <c r="AS81" s="233"/>
      <c r="AT81" s="233"/>
      <c r="AU81" s="233"/>
      <c r="AV81" s="233"/>
      <c r="AW81" s="233"/>
      <c r="AX81" s="233"/>
      <c r="AY81" s="234"/>
      <c r="AZ81" s="234"/>
      <c r="BA81" s="234"/>
      <c r="BB81" s="110">
        <f t="shared" si="188"/>
        <v>0</v>
      </c>
      <c r="BC81" s="110">
        <f t="shared" si="189"/>
        <v>0</v>
      </c>
      <c r="BD81" s="52">
        <f t="shared" si="190"/>
        <v>0</v>
      </c>
      <c r="BE81" s="234"/>
      <c r="BF81" s="234"/>
      <c r="BG81" s="234"/>
      <c r="BH81" s="234"/>
      <c r="BI81" s="234"/>
      <c r="BJ81" s="234"/>
      <c r="BK81" s="234"/>
      <c r="BL81" s="110">
        <f t="shared" si="185"/>
        <v>0</v>
      </c>
      <c r="BM81" s="110">
        <f t="shared" si="186"/>
        <v>0</v>
      </c>
      <c r="BN81" s="52">
        <f t="shared" si="187"/>
        <v>0</v>
      </c>
      <c r="BO81" s="234"/>
      <c r="BP81" s="234"/>
      <c r="BQ81" s="234"/>
      <c r="BR81" s="234"/>
      <c r="BS81" s="234"/>
      <c r="BT81" s="234"/>
      <c r="BU81" s="234"/>
      <c r="BV81" s="234"/>
      <c r="BW81" s="234"/>
      <c r="BX81" s="234"/>
      <c r="BY81" s="234"/>
      <c r="BZ81" s="234"/>
      <c r="CA81" s="234"/>
      <c r="CB81" s="234"/>
      <c r="CC81" s="234"/>
      <c r="CD81" s="234"/>
      <c r="CE81" s="234"/>
      <c r="CF81" s="234"/>
      <c r="CG81" s="234"/>
      <c r="CH81" s="234"/>
      <c r="CI81" s="234"/>
      <c r="CJ81" s="234"/>
      <c r="CK81" s="234"/>
      <c r="CL81" s="234"/>
      <c r="CM81" s="234"/>
      <c r="CN81" s="234"/>
      <c r="CO81" s="234"/>
      <c r="CP81" s="234"/>
      <c r="CQ81" s="234"/>
      <c r="CR81" s="234"/>
      <c r="CS81" s="234"/>
      <c r="CT81" s="234"/>
      <c r="CU81" s="234"/>
      <c r="CV81" s="234"/>
      <c r="CW81" s="234"/>
      <c r="CX81" s="234"/>
      <c r="CY81" s="31"/>
      <c r="CZ81" s="234"/>
      <c r="DA81" s="234"/>
      <c r="DB81" s="234"/>
      <c r="DC81" s="234"/>
      <c r="DD81" s="234"/>
      <c r="DE81" s="234"/>
      <c r="DF81" s="234"/>
      <c r="DG81" s="234"/>
      <c r="DH81" s="234"/>
      <c r="DI81" s="234"/>
      <c r="DJ81" s="234"/>
      <c r="DK81" s="234"/>
      <c r="DL81" s="234"/>
      <c r="DM81" s="234"/>
      <c r="DN81" s="234"/>
      <c r="DO81" s="234"/>
      <c r="DP81" s="234"/>
      <c r="DQ81" s="234"/>
      <c r="DR81" s="234"/>
      <c r="DS81" s="234"/>
      <c r="DT81" s="234"/>
    </row>
    <row r="82" spans="1:124" s="231" customFormat="1" ht="16.5" customHeight="1" x14ac:dyDescent="0.25">
      <c r="A82" s="232"/>
      <c r="B82" s="232"/>
      <c r="C82" s="506"/>
      <c r="D82" s="507"/>
      <c r="E82" s="232"/>
      <c r="F82" s="93"/>
      <c r="G82" s="37"/>
      <c r="H82" s="37"/>
      <c r="I82" s="54" t="s">
        <v>1136</v>
      </c>
      <c r="J82" s="368" t="s">
        <v>1075</v>
      </c>
      <c r="K82" s="246"/>
      <c r="L82" s="54" t="s">
        <v>1136</v>
      </c>
      <c r="M82" s="368" t="s">
        <v>1046</v>
      </c>
      <c r="N82" s="246"/>
      <c r="O82" s="54" t="s">
        <v>1136</v>
      </c>
      <c r="P82" s="368" t="s">
        <v>1046</v>
      </c>
      <c r="Q82" s="37"/>
      <c r="R82" s="37"/>
      <c r="S82" s="37"/>
      <c r="T82" s="37"/>
      <c r="U82" s="37"/>
      <c r="V82" s="37"/>
      <c r="W82" s="232"/>
      <c r="X82" s="233"/>
      <c r="Y82" s="261">
        <f>IF($J$80=$Y$81,$I$85,0)+IF($M$80=$Y$81,$L$85,0)+IF($P$80=$Y$81,$O$85,0)</f>
        <v>0</v>
      </c>
      <c r="Z82" s="261">
        <f>IF($J$80=$Z$81,$I$85,0)+IF($M$80=$Z$81,$L$85,0)+IF($P$80=$Z$81,$O$85,0)</f>
        <v>0</v>
      </c>
      <c r="AA82" s="56">
        <f>Y82+Z82</f>
        <v>0</v>
      </c>
      <c r="AB82" s="233"/>
      <c r="AC82" s="261">
        <f>Y82</f>
        <v>0</v>
      </c>
      <c r="AD82" s="282">
        <f>Z82</f>
        <v>0</v>
      </c>
      <c r="AE82" s="259">
        <f>AD82-AB130</f>
        <v>0</v>
      </c>
      <c r="AF82" s="191">
        <f>AC82+AE82</f>
        <v>0</v>
      </c>
      <c r="AG82" s="362" t="str">
        <f>IF(AE82&lt;0,"Fel i indata","")</f>
        <v/>
      </c>
      <c r="AH82" s="233"/>
      <c r="AI82" s="233"/>
      <c r="AJ82" s="233"/>
      <c r="AK82" s="233"/>
      <c r="AL82" s="233"/>
      <c r="AM82" s="233"/>
      <c r="AN82" s="233"/>
      <c r="AO82" s="233"/>
      <c r="AP82" s="233"/>
      <c r="AQ82" s="233"/>
      <c r="AR82" s="233"/>
      <c r="AS82" s="233"/>
      <c r="AT82" s="233"/>
      <c r="AU82" s="233"/>
      <c r="AV82" s="233"/>
      <c r="AW82" s="233"/>
      <c r="AX82" s="233"/>
      <c r="AY82" s="234"/>
      <c r="AZ82" s="234"/>
      <c r="BA82" s="234"/>
      <c r="BB82" s="110">
        <f t="shared" si="188"/>
        <v>0</v>
      </c>
      <c r="BC82" s="110">
        <f t="shared" si="189"/>
        <v>0</v>
      </c>
      <c r="BD82" s="52">
        <f t="shared" si="190"/>
        <v>0</v>
      </c>
      <c r="BE82" s="234"/>
      <c r="BF82" s="234"/>
      <c r="BG82" s="234"/>
      <c r="BH82" s="234"/>
      <c r="BI82" s="234"/>
      <c r="BJ82" s="234"/>
      <c r="BK82" s="234"/>
      <c r="BL82" s="110">
        <f t="shared" si="185"/>
        <v>0</v>
      </c>
      <c r="BM82" s="110">
        <f t="shared" si="186"/>
        <v>0</v>
      </c>
      <c r="BN82" s="52">
        <f t="shared" si="187"/>
        <v>0</v>
      </c>
      <c r="BO82" s="234"/>
      <c r="BP82" s="234"/>
      <c r="BQ82" s="234"/>
      <c r="BR82" s="234"/>
      <c r="BS82" s="234"/>
      <c r="BT82" s="234"/>
      <c r="BU82" s="234"/>
      <c r="BV82" s="234"/>
      <c r="BW82" s="234"/>
      <c r="BX82" s="234"/>
      <c r="BY82" s="234"/>
      <c r="BZ82" s="234"/>
      <c r="CA82" s="234"/>
      <c r="CB82" s="234"/>
      <c r="CC82" s="234"/>
      <c r="CD82" s="234"/>
      <c r="CE82" s="234"/>
      <c r="CF82" s="234"/>
      <c r="CG82" s="234"/>
      <c r="CH82" s="234"/>
      <c r="CI82" s="234"/>
      <c r="CJ82" s="234"/>
      <c r="CK82" s="234"/>
      <c r="CL82" s="234"/>
      <c r="CM82" s="234"/>
      <c r="CN82" s="234"/>
      <c r="CO82" s="234"/>
      <c r="CP82" s="234"/>
      <c r="CQ82" s="234"/>
      <c r="CR82" s="234"/>
      <c r="CS82" s="234"/>
      <c r="CT82" s="234"/>
      <c r="CU82" s="234"/>
      <c r="CV82" s="234"/>
      <c r="CW82" s="234"/>
      <c r="CX82" s="234"/>
      <c r="CY82" s="31"/>
      <c r="CZ82" s="234"/>
      <c r="DA82" s="234"/>
      <c r="DB82" s="234"/>
      <c r="DC82" s="234"/>
      <c r="DD82" s="234"/>
      <c r="DE82" s="234"/>
      <c r="DF82" s="234"/>
      <c r="DG82" s="234"/>
      <c r="DH82" s="234"/>
      <c r="DI82" s="234"/>
      <c r="DJ82" s="234"/>
      <c r="DK82" s="234"/>
      <c r="DL82" s="234"/>
      <c r="DM82" s="234"/>
      <c r="DN82" s="234"/>
      <c r="DO82" s="234"/>
      <c r="DP82" s="234"/>
      <c r="DQ82" s="234"/>
      <c r="DR82" s="234"/>
      <c r="DS82" s="234"/>
      <c r="DT82" s="234"/>
    </row>
    <row r="83" spans="1:124" s="231" customFormat="1" ht="16.5" customHeight="1" x14ac:dyDescent="0.25">
      <c r="A83" s="232"/>
      <c r="B83" s="232"/>
      <c r="C83" s="508"/>
      <c r="D83" s="509"/>
      <c r="E83" s="232"/>
      <c r="F83" s="232"/>
      <c r="G83" s="37"/>
      <c r="H83" s="37"/>
      <c r="I83" s="97"/>
      <c r="J83" s="66" t="s">
        <v>1132</v>
      </c>
      <c r="K83" s="66"/>
      <c r="L83" s="97"/>
      <c r="M83" s="66" t="s">
        <v>1132</v>
      </c>
      <c r="N83" s="66"/>
      <c r="O83" s="66"/>
      <c r="P83" s="66" t="s">
        <v>1132</v>
      </c>
      <c r="Q83" s="66"/>
      <c r="R83" s="66"/>
      <c r="S83" s="66"/>
      <c r="T83" s="66"/>
      <c r="U83" s="66"/>
      <c r="V83" s="66"/>
      <c r="W83" s="232"/>
      <c r="X83" s="233"/>
      <c r="Y83" s="261">
        <f t="shared" ref="Y83:Y93" si="191">IF($J$80=$Y$81,I86,0)+IF($M$80=$Y$81,L86,0)+IF($P$80=$Y$81,O86,0)</f>
        <v>0</v>
      </c>
      <c r="Z83" s="261">
        <f t="shared" ref="Z83:Z93" si="192">IF($J$80=$Z$81,I86,0)+IF($M$80=$Z$81,L86,0)+IF($P$80=$Z$81,O86,0)</f>
        <v>0</v>
      </c>
      <c r="AA83" s="56">
        <f t="shared" ref="AA83:AA93" si="193">Y83+Z83</f>
        <v>0</v>
      </c>
      <c r="AB83" s="233"/>
      <c r="AC83" s="261">
        <f t="shared" ref="AC83:AC93" si="194">Y83</f>
        <v>0</v>
      </c>
      <c r="AD83" s="282">
        <f t="shared" ref="AD83:AD93" si="195">Z83</f>
        <v>0</v>
      </c>
      <c r="AE83" s="259">
        <f t="shared" ref="AE83:AE93" si="196">AD83-AB131</f>
        <v>0</v>
      </c>
      <c r="AF83" s="191">
        <f t="shared" ref="AF83:AF93" si="197">AC83+AE83</f>
        <v>0</v>
      </c>
      <c r="AG83" s="362" t="str">
        <f t="shared" ref="AG83:AG93" si="198">IF(AE83&lt;0,"Fel i indata","")</f>
        <v/>
      </c>
      <c r="AH83" s="233"/>
      <c r="AI83" s="233"/>
      <c r="AJ83" s="233"/>
      <c r="AK83" s="233"/>
      <c r="AL83" s="233"/>
      <c r="AM83" s="233"/>
      <c r="AN83" s="233"/>
      <c r="AO83" s="233"/>
      <c r="AP83" s="233"/>
      <c r="AQ83" s="233"/>
      <c r="AR83" s="233"/>
      <c r="AS83" s="233"/>
      <c r="AT83" s="233"/>
      <c r="AU83" s="233"/>
      <c r="AV83" s="233"/>
      <c r="AW83" s="233"/>
      <c r="AX83" s="233"/>
      <c r="AY83" s="234"/>
      <c r="AZ83" s="234"/>
      <c r="BA83" s="234"/>
      <c r="BB83" s="110">
        <f t="shared" si="188"/>
        <v>0</v>
      </c>
      <c r="BC83" s="110">
        <f t="shared" si="189"/>
        <v>0</v>
      </c>
      <c r="BD83" s="52">
        <f t="shared" si="190"/>
        <v>0</v>
      </c>
      <c r="BE83" s="234"/>
      <c r="BF83" s="234"/>
      <c r="BG83" s="234"/>
      <c r="BH83" s="234"/>
      <c r="BI83" s="234"/>
      <c r="BJ83" s="234"/>
      <c r="BK83" s="234"/>
      <c r="BL83" s="110">
        <f t="shared" si="185"/>
        <v>0</v>
      </c>
      <c r="BM83" s="110">
        <f t="shared" si="186"/>
        <v>0</v>
      </c>
      <c r="BN83" s="52">
        <f t="shared" si="187"/>
        <v>0</v>
      </c>
      <c r="BO83" s="234"/>
      <c r="BP83" s="234"/>
      <c r="BQ83" s="234"/>
      <c r="BR83" s="234"/>
      <c r="BS83" s="234"/>
      <c r="BT83" s="234"/>
      <c r="BU83" s="234"/>
      <c r="BV83" s="234"/>
      <c r="BW83" s="234"/>
      <c r="BX83" s="234"/>
      <c r="BY83" s="234"/>
      <c r="BZ83" s="234"/>
      <c r="CA83" s="234"/>
      <c r="CB83" s="234"/>
      <c r="CC83" s="234"/>
      <c r="CD83" s="234"/>
      <c r="CE83" s="234"/>
      <c r="CF83" s="234"/>
      <c r="CG83" s="234"/>
      <c r="CH83" s="234"/>
      <c r="CI83" s="234"/>
      <c r="CJ83" s="234"/>
      <c r="CK83" s="234"/>
      <c r="CL83" s="234"/>
      <c r="CM83" s="234"/>
      <c r="CN83" s="234"/>
      <c r="CO83" s="234"/>
      <c r="CP83" s="234"/>
      <c r="CQ83" s="234"/>
      <c r="CR83" s="234"/>
      <c r="CS83" s="234"/>
      <c r="CT83" s="234"/>
      <c r="CU83" s="234"/>
      <c r="CV83" s="234"/>
      <c r="CW83" s="234"/>
      <c r="CX83" s="234"/>
      <c r="CY83" s="31"/>
      <c r="CZ83" s="234"/>
      <c r="DA83" s="234"/>
      <c r="DB83" s="234"/>
      <c r="DC83" s="234"/>
      <c r="DD83" s="234"/>
      <c r="DE83" s="234"/>
      <c r="DF83" s="234"/>
      <c r="DG83" s="234"/>
      <c r="DH83" s="234"/>
      <c r="DI83" s="234"/>
      <c r="DJ83" s="234"/>
      <c r="DK83" s="234"/>
      <c r="DL83" s="234"/>
      <c r="DM83" s="234"/>
      <c r="DN83" s="234"/>
      <c r="DO83" s="234"/>
      <c r="DP83" s="234"/>
      <c r="DQ83" s="234"/>
      <c r="DR83" s="234"/>
      <c r="DS83" s="234"/>
      <c r="DT83" s="234"/>
    </row>
    <row r="84" spans="1:124" s="231" customFormat="1" ht="16.5" customHeight="1" x14ac:dyDescent="0.25">
      <c r="A84" s="232"/>
      <c r="B84" s="232"/>
      <c r="C84" s="508"/>
      <c r="D84" s="509"/>
      <c r="E84" s="232"/>
      <c r="F84" s="391" t="s">
        <v>1044</v>
      </c>
      <c r="G84" s="391" t="s">
        <v>1045</v>
      </c>
      <c r="H84" s="70"/>
      <c r="I84" s="106" t="s">
        <v>1075</v>
      </c>
      <c r="J84" s="442" t="str">
        <f>J82</f>
        <v>Levererad energi</v>
      </c>
      <c r="K84" s="9"/>
      <c r="L84" s="444" t="s">
        <v>1075</v>
      </c>
      <c r="M84" s="442" t="str">
        <f>M82</f>
        <v>Producerad energi</v>
      </c>
      <c r="N84" s="9"/>
      <c r="O84" s="444" t="s">
        <v>1075</v>
      </c>
      <c r="P84" s="442" t="str">
        <f>P82</f>
        <v>Producerad energi</v>
      </c>
      <c r="Q84" s="37"/>
      <c r="R84" s="37"/>
      <c r="S84" s="37"/>
      <c r="T84" s="37"/>
      <c r="U84" s="37"/>
      <c r="V84" s="37"/>
      <c r="W84" s="232"/>
      <c r="X84" s="233"/>
      <c r="Y84" s="261">
        <f t="shared" si="191"/>
        <v>0</v>
      </c>
      <c r="Z84" s="261">
        <f t="shared" si="192"/>
        <v>0</v>
      </c>
      <c r="AA84" s="56">
        <f t="shared" si="193"/>
        <v>0</v>
      </c>
      <c r="AB84" s="233"/>
      <c r="AC84" s="261">
        <f t="shared" si="194"/>
        <v>0</v>
      </c>
      <c r="AD84" s="282">
        <f t="shared" si="195"/>
        <v>0</v>
      </c>
      <c r="AE84" s="259">
        <f t="shared" si="196"/>
        <v>0</v>
      </c>
      <c r="AF84" s="191">
        <f t="shared" si="197"/>
        <v>0</v>
      </c>
      <c r="AG84" s="362" t="str">
        <f t="shared" si="198"/>
        <v/>
      </c>
      <c r="AH84" s="233"/>
      <c r="AI84" s="233"/>
      <c r="AJ84" s="233"/>
      <c r="AK84" s="233"/>
      <c r="AL84" s="233"/>
      <c r="AM84" s="233"/>
      <c r="AN84" s="233"/>
      <c r="AO84" s="233"/>
      <c r="AP84" s="233"/>
      <c r="AQ84" s="233"/>
      <c r="AR84" s="233"/>
      <c r="AS84" s="233"/>
      <c r="AT84" s="233"/>
      <c r="AU84" s="233"/>
      <c r="AV84" s="233"/>
      <c r="AW84" s="233"/>
      <c r="AX84" s="233"/>
      <c r="AY84" s="234"/>
      <c r="AZ84" s="234"/>
      <c r="BA84" s="234"/>
      <c r="BB84" s="110">
        <f t="shared" si="188"/>
        <v>0</v>
      </c>
      <c r="BC84" s="110">
        <f t="shared" si="189"/>
        <v>0</v>
      </c>
      <c r="BD84" s="52">
        <f t="shared" si="190"/>
        <v>0</v>
      </c>
      <c r="BE84" s="234"/>
      <c r="BF84" s="234"/>
      <c r="BG84" s="234"/>
      <c r="BH84" s="234"/>
      <c r="BI84" s="234"/>
      <c r="BJ84" s="234"/>
      <c r="BK84" s="234"/>
      <c r="BL84" s="110">
        <f t="shared" si="185"/>
        <v>0</v>
      </c>
      <c r="BM84" s="110">
        <f t="shared" si="186"/>
        <v>0</v>
      </c>
      <c r="BN84" s="52">
        <f t="shared" si="187"/>
        <v>0</v>
      </c>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31"/>
      <c r="CZ84" s="234"/>
      <c r="DA84" s="234"/>
      <c r="DB84" s="234"/>
      <c r="DC84" s="234"/>
      <c r="DD84" s="234"/>
      <c r="DE84" s="234"/>
      <c r="DF84" s="234"/>
      <c r="DG84" s="234"/>
      <c r="DH84" s="234"/>
      <c r="DI84" s="234"/>
      <c r="DJ84" s="234"/>
      <c r="DK84" s="234"/>
      <c r="DL84" s="234"/>
      <c r="DM84" s="234"/>
      <c r="DN84" s="234"/>
      <c r="DO84" s="234"/>
      <c r="DP84" s="234"/>
      <c r="DQ84" s="234"/>
      <c r="DR84" s="234"/>
      <c r="DS84" s="234"/>
      <c r="DT84" s="234"/>
    </row>
    <row r="85" spans="1:124" s="231" customFormat="1" ht="16.5" customHeight="1" x14ac:dyDescent="0.25">
      <c r="A85" s="232"/>
      <c r="B85" s="250"/>
      <c r="C85" s="510"/>
      <c r="D85" s="511"/>
      <c r="E85" s="251"/>
      <c r="F85" s="387">
        <f>G80</f>
        <v>2017</v>
      </c>
      <c r="G85" s="387" t="str">
        <f t="shared" ref="G85:G96" ca="1" si="199">OFFSET($EI$2,$EI$40+ROW(F85)-ROW($F$85),0)</f>
        <v>jan</v>
      </c>
      <c r="H85" s="70"/>
      <c r="I85" s="108">
        <f t="shared" ref="I85:I96" si="200">IF($D$80&gt;0,IF($I$84=$J$84,J85,J85/$J$81),0)</f>
        <v>0</v>
      </c>
      <c r="J85" s="372"/>
      <c r="K85" s="23"/>
      <c r="L85" s="447">
        <f t="shared" ref="L85:L96" si="201">IF($D$80&gt;1,IF($L$84=$M$84,M85,M85/$M$81),0)</f>
        <v>0</v>
      </c>
      <c r="M85" s="372"/>
      <c r="N85" s="23"/>
      <c r="O85" s="447">
        <f>IF($D$80&gt;2,IF($O$84=$P$84,P85,P85/$P$81),0)</f>
        <v>0</v>
      </c>
      <c r="P85" s="372"/>
      <c r="Q85" s="246"/>
      <c r="R85" s="246"/>
      <c r="S85" s="246"/>
      <c r="T85" s="246"/>
      <c r="U85" s="246"/>
      <c r="V85" s="246"/>
      <c r="W85" s="232"/>
      <c r="X85" s="233"/>
      <c r="Y85" s="261">
        <f t="shared" si="191"/>
        <v>0</v>
      </c>
      <c r="Z85" s="261">
        <f t="shared" si="192"/>
        <v>0</v>
      </c>
      <c r="AA85" s="56">
        <f t="shared" si="193"/>
        <v>0</v>
      </c>
      <c r="AB85" s="233"/>
      <c r="AC85" s="261">
        <f t="shared" si="194"/>
        <v>0</v>
      </c>
      <c r="AD85" s="282">
        <f t="shared" si="195"/>
        <v>0</v>
      </c>
      <c r="AE85" s="259">
        <f t="shared" si="196"/>
        <v>0</v>
      </c>
      <c r="AF85" s="191">
        <f t="shared" si="197"/>
        <v>0</v>
      </c>
      <c r="AG85" s="362" t="str">
        <f t="shared" si="198"/>
        <v/>
      </c>
      <c r="AH85" s="233"/>
      <c r="AI85" s="233"/>
      <c r="AJ85" s="233"/>
      <c r="AK85" s="233"/>
      <c r="AL85" s="233"/>
      <c r="AM85" s="233"/>
      <c r="AN85" s="233"/>
      <c r="AO85" s="233"/>
      <c r="AP85" s="233"/>
      <c r="AQ85" s="233"/>
      <c r="AR85" s="233"/>
      <c r="AS85" s="233"/>
      <c r="AT85" s="233"/>
      <c r="AU85" s="233"/>
      <c r="AV85" s="233"/>
      <c r="AW85" s="233"/>
      <c r="AX85" s="233"/>
      <c r="AY85" s="234"/>
      <c r="AZ85" s="234"/>
      <c r="BA85" s="234"/>
      <c r="BB85" s="110">
        <f t="shared" si="188"/>
        <v>0</v>
      </c>
      <c r="BC85" s="110">
        <f t="shared" si="189"/>
        <v>0</v>
      </c>
      <c r="BD85" s="52">
        <f t="shared" si="190"/>
        <v>0</v>
      </c>
      <c r="BE85" s="234"/>
      <c r="BF85" s="234"/>
      <c r="BG85" s="234"/>
      <c r="BH85" s="234"/>
      <c r="BI85" s="234"/>
      <c r="BJ85" s="234"/>
      <c r="BK85" s="234"/>
      <c r="BL85" s="110">
        <f t="shared" si="185"/>
        <v>0</v>
      </c>
      <c r="BM85" s="110">
        <f t="shared" si="186"/>
        <v>0</v>
      </c>
      <c r="BN85" s="52">
        <f t="shared" si="187"/>
        <v>0</v>
      </c>
      <c r="BO85" s="234"/>
      <c r="BP85" s="234"/>
      <c r="BQ85" s="234"/>
      <c r="BR85" s="234"/>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31"/>
      <c r="CZ85" s="234"/>
      <c r="DA85" s="234"/>
      <c r="DB85" s="234"/>
      <c r="DC85" s="234"/>
      <c r="DD85" s="234"/>
      <c r="DE85" s="234"/>
      <c r="DF85" s="234"/>
      <c r="DG85" s="234"/>
      <c r="DH85" s="234"/>
      <c r="DI85" s="234"/>
      <c r="DJ85" s="234"/>
      <c r="DK85" s="234"/>
      <c r="DL85" s="234"/>
      <c r="DM85" s="234"/>
      <c r="DN85" s="234"/>
      <c r="DO85" s="234"/>
      <c r="DP85" s="234"/>
      <c r="DQ85" s="234"/>
      <c r="DR85" s="234"/>
      <c r="DS85" s="234"/>
      <c r="DT85" s="234"/>
    </row>
    <row r="86" spans="1:124" s="231" customFormat="1" ht="16.5" customHeight="1" x14ac:dyDescent="0.25">
      <c r="A86" s="232"/>
      <c r="B86" s="250"/>
      <c r="C86" s="250"/>
      <c r="D86" s="250"/>
      <c r="E86" s="232"/>
      <c r="F86" s="387">
        <f ca="1">IF(G86="jan",F85+1,F85)</f>
        <v>2017</v>
      </c>
      <c r="G86" s="387" t="str">
        <f t="shared" ca="1" si="199"/>
        <v>feb</v>
      </c>
      <c r="H86" s="70"/>
      <c r="I86" s="108">
        <f t="shared" si="200"/>
        <v>0</v>
      </c>
      <c r="J86" s="372"/>
      <c r="K86" s="23"/>
      <c r="L86" s="447">
        <f t="shared" si="201"/>
        <v>0</v>
      </c>
      <c r="M86" s="372"/>
      <c r="N86" s="23"/>
      <c r="O86" s="447">
        <f t="shared" ref="O86:O96" si="202">IF($D$80&gt;2,IF($O$84=$P$84,P86,P86/$P$81),0)</f>
        <v>0</v>
      </c>
      <c r="P86" s="372"/>
      <c r="Q86" s="246"/>
      <c r="R86" s="246"/>
      <c r="S86" s="246"/>
      <c r="T86" s="246"/>
      <c r="U86" s="246"/>
      <c r="V86" s="246"/>
      <c r="W86" s="232"/>
      <c r="X86" s="233"/>
      <c r="Y86" s="261">
        <f t="shared" si="191"/>
        <v>0</v>
      </c>
      <c r="Z86" s="261">
        <f t="shared" si="192"/>
        <v>0</v>
      </c>
      <c r="AA86" s="56">
        <f t="shared" si="193"/>
        <v>0</v>
      </c>
      <c r="AB86" s="233"/>
      <c r="AC86" s="261">
        <f t="shared" si="194"/>
        <v>0</v>
      </c>
      <c r="AD86" s="282">
        <f t="shared" si="195"/>
        <v>0</v>
      </c>
      <c r="AE86" s="259">
        <f t="shared" si="196"/>
        <v>0</v>
      </c>
      <c r="AF86" s="191">
        <f t="shared" si="197"/>
        <v>0</v>
      </c>
      <c r="AG86" s="362" t="str">
        <f t="shared" si="198"/>
        <v/>
      </c>
      <c r="AH86" s="233"/>
      <c r="AI86" s="233"/>
      <c r="AJ86" s="233"/>
      <c r="AK86" s="233"/>
      <c r="AL86" s="233"/>
      <c r="AM86" s="233"/>
      <c r="AN86" s="233"/>
      <c r="AO86" s="233"/>
      <c r="AP86" s="233"/>
      <c r="AQ86" s="233"/>
      <c r="AR86" s="233"/>
      <c r="AS86" s="233"/>
      <c r="AT86" s="233"/>
      <c r="AU86" s="233"/>
      <c r="AV86" s="233"/>
      <c r="AW86" s="233"/>
      <c r="AX86" s="233"/>
      <c r="AY86" s="234"/>
      <c r="AZ86" s="234"/>
      <c r="BA86" s="234"/>
      <c r="BB86" s="110">
        <f t="shared" si="188"/>
        <v>0</v>
      </c>
      <c r="BC86" s="110">
        <f t="shared" si="189"/>
        <v>0</v>
      </c>
      <c r="BD86" s="52">
        <f t="shared" si="190"/>
        <v>0</v>
      </c>
      <c r="BE86" s="234"/>
      <c r="BF86" s="234"/>
      <c r="BG86" s="234"/>
      <c r="BH86" s="234"/>
      <c r="BI86" s="234"/>
      <c r="BJ86" s="234"/>
      <c r="BK86" s="234"/>
      <c r="BL86" s="110">
        <f t="shared" si="185"/>
        <v>0</v>
      </c>
      <c r="BM86" s="110">
        <f t="shared" si="186"/>
        <v>0</v>
      </c>
      <c r="BN86" s="52">
        <f t="shared" si="187"/>
        <v>0</v>
      </c>
      <c r="BO86" s="234"/>
      <c r="BP86" s="234"/>
      <c r="BQ86" s="234"/>
      <c r="BR86" s="234"/>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31"/>
      <c r="CZ86" s="234"/>
      <c r="DA86" s="234"/>
      <c r="DB86" s="234"/>
      <c r="DC86" s="234"/>
      <c r="DD86" s="234"/>
      <c r="DE86" s="234"/>
      <c r="DF86" s="234"/>
      <c r="DG86" s="234"/>
      <c r="DH86" s="234"/>
      <c r="DI86" s="234"/>
      <c r="DJ86" s="234"/>
      <c r="DK86" s="234"/>
      <c r="DL86" s="234"/>
      <c r="DM86" s="234"/>
      <c r="DN86" s="234"/>
      <c r="DO86" s="234"/>
      <c r="DP86" s="234"/>
      <c r="DQ86" s="234"/>
      <c r="DR86" s="234"/>
      <c r="DS86" s="234"/>
      <c r="DT86" s="234"/>
    </row>
    <row r="87" spans="1:124" s="231" customFormat="1" ht="16.5" customHeight="1" x14ac:dyDescent="0.25">
      <c r="A87" s="232"/>
      <c r="B87" s="250"/>
      <c r="C87" s="250"/>
      <c r="D87" s="250"/>
      <c r="E87" s="232"/>
      <c r="F87" s="387">
        <f t="shared" ref="F87:F96" ca="1" si="203">IF(G87="jan",F86+1,F86)</f>
        <v>2017</v>
      </c>
      <c r="G87" s="387" t="str">
        <f t="shared" ca="1" si="199"/>
        <v>mars</v>
      </c>
      <c r="H87" s="70"/>
      <c r="I87" s="108">
        <f t="shared" si="200"/>
        <v>0</v>
      </c>
      <c r="J87" s="372"/>
      <c r="K87" s="23"/>
      <c r="L87" s="447">
        <f t="shared" si="201"/>
        <v>0</v>
      </c>
      <c r="M87" s="372"/>
      <c r="N87" s="23"/>
      <c r="O87" s="447">
        <f t="shared" si="202"/>
        <v>0</v>
      </c>
      <c r="P87" s="372"/>
      <c r="Q87" s="246"/>
      <c r="R87" s="246"/>
      <c r="S87" s="246"/>
      <c r="T87" s="246"/>
      <c r="U87" s="246"/>
      <c r="V87" s="246"/>
      <c r="W87" s="232"/>
      <c r="X87" s="233"/>
      <c r="Y87" s="261">
        <f t="shared" si="191"/>
        <v>0</v>
      </c>
      <c r="Z87" s="261">
        <f t="shared" si="192"/>
        <v>0</v>
      </c>
      <c r="AA87" s="56">
        <f t="shared" si="193"/>
        <v>0</v>
      </c>
      <c r="AB87" s="233"/>
      <c r="AC87" s="261">
        <f t="shared" si="194"/>
        <v>0</v>
      </c>
      <c r="AD87" s="282">
        <f t="shared" si="195"/>
        <v>0</v>
      </c>
      <c r="AE87" s="259">
        <f t="shared" si="196"/>
        <v>0</v>
      </c>
      <c r="AF87" s="191">
        <f t="shared" si="197"/>
        <v>0</v>
      </c>
      <c r="AG87" s="362" t="str">
        <f t="shared" si="198"/>
        <v/>
      </c>
      <c r="AH87" s="233"/>
      <c r="AI87" s="233"/>
      <c r="AJ87" s="233"/>
      <c r="AK87" s="233"/>
      <c r="AL87" s="233"/>
      <c r="AM87" s="233"/>
      <c r="AN87" s="233"/>
      <c r="AO87" s="233"/>
      <c r="AP87" s="233"/>
      <c r="AQ87" s="233"/>
      <c r="AR87" s="233"/>
      <c r="AS87" s="233"/>
      <c r="AT87" s="233"/>
      <c r="AU87" s="233"/>
      <c r="AV87" s="233"/>
      <c r="AW87" s="233"/>
      <c r="AX87" s="233"/>
      <c r="AY87" s="234"/>
      <c r="AZ87" s="234"/>
      <c r="BA87" s="234"/>
      <c r="BB87" s="110">
        <f t="shared" si="188"/>
        <v>0</v>
      </c>
      <c r="BC87" s="110">
        <f t="shared" si="189"/>
        <v>0</v>
      </c>
      <c r="BD87" s="52">
        <f t="shared" si="190"/>
        <v>0</v>
      </c>
      <c r="BE87" s="234"/>
      <c r="BF87" s="234"/>
      <c r="BG87" s="234"/>
      <c r="BH87" s="234"/>
      <c r="BI87" s="234"/>
      <c r="BJ87" s="234"/>
      <c r="BK87" s="234"/>
      <c r="BL87" s="110">
        <f t="shared" si="185"/>
        <v>0</v>
      </c>
      <c r="BM87" s="110">
        <f t="shared" si="186"/>
        <v>0</v>
      </c>
      <c r="BN87" s="52">
        <f t="shared" si="187"/>
        <v>0</v>
      </c>
      <c r="BO87" s="234"/>
      <c r="BP87" s="234"/>
      <c r="BQ87" s="234"/>
      <c r="BR87" s="234"/>
      <c r="BS87" s="234"/>
      <c r="BT87" s="234"/>
      <c r="BU87" s="234"/>
      <c r="BV87" s="234"/>
      <c r="BW87" s="234"/>
      <c r="BX87" s="234"/>
      <c r="BY87" s="234"/>
      <c r="BZ87" s="234"/>
      <c r="CA87" s="234"/>
      <c r="CB87" s="234"/>
      <c r="CC87" s="234"/>
      <c r="CD87" s="234"/>
      <c r="CE87" s="234"/>
      <c r="CF87" s="234"/>
      <c r="CG87" s="234"/>
      <c r="CH87" s="234"/>
      <c r="CI87" s="234"/>
      <c r="CJ87" s="234"/>
      <c r="CK87" s="234"/>
      <c r="CL87" s="234"/>
      <c r="CM87" s="234"/>
      <c r="CN87" s="234"/>
      <c r="CO87" s="234"/>
      <c r="CP87" s="234"/>
      <c r="CQ87" s="234"/>
      <c r="CR87" s="234"/>
      <c r="CS87" s="234"/>
      <c r="CT87" s="234"/>
      <c r="CU87" s="234"/>
      <c r="CV87" s="234"/>
      <c r="CW87" s="234"/>
      <c r="CX87" s="234"/>
      <c r="CY87" s="31"/>
      <c r="CZ87" s="234"/>
      <c r="DA87" s="234"/>
      <c r="DB87" s="234"/>
      <c r="DC87" s="234"/>
      <c r="DD87" s="234"/>
      <c r="DE87" s="234"/>
      <c r="DF87" s="234"/>
      <c r="DG87" s="234"/>
      <c r="DH87" s="234"/>
      <c r="DI87" s="234"/>
      <c r="DJ87" s="234"/>
      <c r="DK87" s="234"/>
      <c r="DL87" s="234"/>
      <c r="DM87" s="234"/>
      <c r="DN87" s="234"/>
      <c r="DO87" s="234"/>
      <c r="DP87" s="234"/>
      <c r="DQ87" s="234"/>
      <c r="DR87" s="234"/>
      <c r="DS87" s="234"/>
      <c r="DT87" s="234"/>
    </row>
    <row r="88" spans="1:124" s="231" customFormat="1" ht="16.5" customHeight="1" x14ac:dyDescent="0.25">
      <c r="A88" s="232"/>
      <c r="B88" s="250"/>
      <c r="C88" s="250"/>
      <c r="D88" s="250"/>
      <c r="E88" s="232"/>
      <c r="F88" s="387">
        <f t="shared" ca="1" si="203"/>
        <v>2017</v>
      </c>
      <c r="G88" s="387" t="str">
        <f t="shared" ca="1" si="199"/>
        <v>apr</v>
      </c>
      <c r="H88" s="70"/>
      <c r="I88" s="108">
        <f t="shared" si="200"/>
        <v>0</v>
      </c>
      <c r="J88" s="372"/>
      <c r="K88" s="23"/>
      <c r="L88" s="447">
        <f t="shared" si="201"/>
        <v>0</v>
      </c>
      <c r="M88" s="372"/>
      <c r="N88" s="23"/>
      <c r="O88" s="447">
        <f t="shared" si="202"/>
        <v>0</v>
      </c>
      <c r="P88" s="372"/>
      <c r="Q88" s="246"/>
      <c r="R88" s="246"/>
      <c r="S88" s="246"/>
      <c r="T88" s="246"/>
      <c r="U88" s="246"/>
      <c r="V88" s="246"/>
      <c r="W88" s="232"/>
      <c r="X88" s="233"/>
      <c r="Y88" s="261">
        <f t="shared" si="191"/>
        <v>0</v>
      </c>
      <c r="Z88" s="261">
        <f t="shared" si="192"/>
        <v>0</v>
      </c>
      <c r="AA88" s="56">
        <f t="shared" si="193"/>
        <v>0</v>
      </c>
      <c r="AB88" s="233"/>
      <c r="AC88" s="261">
        <f t="shared" si="194"/>
        <v>0</v>
      </c>
      <c r="AD88" s="282">
        <f t="shared" si="195"/>
        <v>0</v>
      </c>
      <c r="AE88" s="259">
        <f t="shared" si="196"/>
        <v>0</v>
      </c>
      <c r="AF88" s="191">
        <f t="shared" si="197"/>
        <v>0</v>
      </c>
      <c r="AG88" s="362" t="str">
        <f t="shared" si="198"/>
        <v/>
      </c>
      <c r="AH88" s="233"/>
      <c r="AI88" s="233"/>
      <c r="AJ88" s="233"/>
      <c r="AK88" s="233"/>
      <c r="AL88" s="233"/>
      <c r="AM88" s="233"/>
      <c r="AN88" s="233"/>
      <c r="AO88" s="233"/>
      <c r="AP88" s="233"/>
      <c r="AQ88" s="233"/>
      <c r="AR88" s="233"/>
      <c r="AS88" s="233"/>
      <c r="AT88" s="233"/>
      <c r="AU88" s="233"/>
      <c r="AV88" s="233"/>
      <c r="AW88" s="233"/>
      <c r="AX88" s="233"/>
      <c r="AY88" s="234"/>
      <c r="AZ88" s="234"/>
      <c r="BA88" s="234"/>
      <c r="BB88" s="110">
        <f t="shared" si="188"/>
        <v>0</v>
      </c>
      <c r="BC88" s="110">
        <f t="shared" si="189"/>
        <v>0</v>
      </c>
      <c r="BD88" s="52">
        <f t="shared" si="190"/>
        <v>0</v>
      </c>
      <c r="BE88" s="234"/>
      <c r="BF88" s="234"/>
      <c r="BG88" s="234"/>
      <c r="BH88" s="234"/>
      <c r="BI88" s="234"/>
      <c r="BJ88" s="234"/>
      <c r="BK88" s="234"/>
      <c r="BL88" s="110">
        <f t="shared" si="185"/>
        <v>0</v>
      </c>
      <c r="BM88" s="110">
        <f t="shared" si="186"/>
        <v>0</v>
      </c>
      <c r="BN88" s="52">
        <f t="shared" si="187"/>
        <v>0</v>
      </c>
      <c r="BO88" s="234"/>
      <c r="BP88" s="234"/>
      <c r="BQ88" s="234"/>
      <c r="BR88" s="234"/>
      <c r="BS88" s="234"/>
      <c r="BT88" s="234"/>
      <c r="BU88" s="234"/>
      <c r="BV88" s="234"/>
      <c r="BW88" s="234"/>
      <c r="BX88" s="234"/>
      <c r="BY88" s="234"/>
      <c r="BZ88" s="234"/>
      <c r="CA88" s="234"/>
      <c r="CB88" s="234"/>
      <c r="CC88" s="234"/>
      <c r="CD88" s="234"/>
      <c r="CE88" s="234"/>
      <c r="CF88" s="234"/>
      <c r="CG88" s="234"/>
      <c r="CH88" s="234"/>
      <c r="CI88" s="234"/>
      <c r="CJ88" s="234"/>
      <c r="CK88" s="234"/>
      <c r="CL88" s="234"/>
      <c r="CM88" s="234"/>
      <c r="CN88" s="234"/>
      <c r="CO88" s="234"/>
      <c r="CP88" s="234"/>
      <c r="CQ88" s="234"/>
      <c r="CR88" s="234"/>
      <c r="CS88" s="234"/>
      <c r="CT88" s="234"/>
      <c r="CU88" s="234"/>
      <c r="CV88" s="234"/>
      <c r="CW88" s="234"/>
      <c r="CX88" s="234"/>
      <c r="CY88" s="31"/>
      <c r="CZ88" s="234"/>
      <c r="DA88" s="234"/>
      <c r="DB88" s="234"/>
      <c r="DC88" s="234"/>
      <c r="DD88" s="234"/>
      <c r="DE88" s="234"/>
      <c r="DF88" s="234"/>
      <c r="DG88" s="234"/>
      <c r="DH88" s="234"/>
      <c r="DI88" s="234"/>
      <c r="DJ88" s="234"/>
      <c r="DK88" s="234"/>
      <c r="DL88" s="234"/>
      <c r="DM88" s="234"/>
      <c r="DN88" s="234"/>
      <c r="DO88" s="234"/>
      <c r="DP88" s="234"/>
      <c r="DQ88" s="234"/>
      <c r="DR88" s="234"/>
      <c r="DS88" s="234"/>
      <c r="DT88" s="234"/>
    </row>
    <row r="89" spans="1:124" s="231" customFormat="1" ht="16.5" customHeight="1" thickBot="1" x14ac:dyDescent="0.3">
      <c r="A89" s="232"/>
      <c r="B89" s="250"/>
      <c r="C89" s="250"/>
      <c r="D89" s="250"/>
      <c r="E89" s="232"/>
      <c r="F89" s="387">
        <f t="shared" ca="1" si="203"/>
        <v>2017</v>
      </c>
      <c r="G89" s="387" t="str">
        <f t="shared" ca="1" si="199"/>
        <v>maj</v>
      </c>
      <c r="H89" s="70"/>
      <c r="I89" s="108">
        <f t="shared" si="200"/>
        <v>0</v>
      </c>
      <c r="J89" s="372"/>
      <c r="K89" s="23"/>
      <c r="L89" s="447">
        <f t="shared" si="201"/>
        <v>0</v>
      </c>
      <c r="M89" s="372"/>
      <c r="N89" s="23"/>
      <c r="O89" s="447">
        <f t="shared" si="202"/>
        <v>0</v>
      </c>
      <c r="P89" s="372"/>
      <c r="Q89" s="246"/>
      <c r="R89" s="246"/>
      <c r="S89" s="246"/>
      <c r="T89" s="246"/>
      <c r="U89" s="246"/>
      <c r="V89" s="246"/>
      <c r="W89" s="232"/>
      <c r="X89" s="233"/>
      <c r="Y89" s="261">
        <f t="shared" si="191"/>
        <v>0</v>
      </c>
      <c r="Z89" s="261">
        <f t="shared" si="192"/>
        <v>0</v>
      </c>
      <c r="AA89" s="56">
        <f t="shared" si="193"/>
        <v>0</v>
      </c>
      <c r="AB89" s="233"/>
      <c r="AC89" s="261">
        <f t="shared" si="194"/>
        <v>0</v>
      </c>
      <c r="AD89" s="282">
        <f t="shared" si="195"/>
        <v>0</v>
      </c>
      <c r="AE89" s="259">
        <f t="shared" si="196"/>
        <v>0</v>
      </c>
      <c r="AF89" s="191">
        <f t="shared" si="197"/>
        <v>0</v>
      </c>
      <c r="AG89" s="362" t="str">
        <f t="shared" si="198"/>
        <v/>
      </c>
      <c r="AH89" s="233"/>
      <c r="AI89" s="233"/>
      <c r="AJ89" s="233"/>
      <c r="AK89" s="233"/>
      <c r="AL89" s="233"/>
      <c r="AM89" s="233"/>
      <c r="AN89" s="233"/>
      <c r="AO89" s="233"/>
      <c r="AP89" s="233"/>
      <c r="AQ89" s="233"/>
      <c r="AR89" s="233"/>
      <c r="AS89" s="233"/>
      <c r="AT89" s="233"/>
      <c r="AU89" s="233"/>
      <c r="AV89" s="233"/>
      <c r="AW89" s="233"/>
      <c r="AX89" s="233"/>
      <c r="AY89" s="234"/>
      <c r="AZ89" s="234"/>
      <c r="BA89" s="234"/>
      <c r="BB89" s="110">
        <f t="shared" si="188"/>
        <v>0</v>
      </c>
      <c r="BC89" s="110">
        <f t="shared" si="189"/>
        <v>0</v>
      </c>
      <c r="BD89" s="52">
        <f t="shared" si="190"/>
        <v>0</v>
      </c>
      <c r="BE89" s="234"/>
      <c r="BF89" s="234"/>
      <c r="BG89" s="234"/>
      <c r="BH89" s="234"/>
      <c r="BI89" s="234"/>
      <c r="BJ89" s="234"/>
      <c r="BK89" s="234"/>
      <c r="BL89" s="111">
        <f t="shared" si="185"/>
        <v>0</v>
      </c>
      <c r="BM89" s="111">
        <f t="shared" si="186"/>
        <v>0</v>
      </c>
      <c r="BN89" s="112">
        <f t="shared" si="187"/>
        <v>0</v>
      </c>
      <c r="BO89" s="234"/>
      <c r="BP89" s="234"/>
      <c r="BQ89" s="234"/>
      <c r="BR89" s="234"/>
      <c r="BS89" s="234"/>
      <c r="BT89" s="234"/>
      <c r="BU89" s="234"/>
      <c r="BV89" s="234"/>
      <c r="BW89" s="234"/>
      <c r="BX89" s="234"/>
      <c r="BY89" s="234"/>
      <c r="BZ89" s="234"/>
      <c r="CA89" s="234"/>
      <c r="CB89" s="234"/>
      <c r="CC89" s="234"/>
      <c r="CD89" s="234"/>
      <c r="CE89" s="234"/>
      <c r="CF89" s="234"/>
      <c r="CG89" s="234"/>
      <c r="CH89" s="234"/>
      <c r="CI89" s="234"/>
      <c r="CJ89" s="234"/>
      <c r="CK89" s="234"/>
      <c r="CL89" s="234"/>
      <c r="CM89" s="234"/>
      <c r="CN89" s="234"/>
      <c r="CO89" s="234"/>
      <c r="CP89" s="234"/>
      <c r="CQ89" s="234"/>
      <c r="CR89" s="234"/>
      <c r="CS89" s="234"/>
      <c r="CT89" s="234"/>
      <c r="CU89" s="234"/>
      <c r="CV89" s="234"/>
      <c r="CW89" s="234"/>
      <c r="CX89" s="234"/>
      <c r="CY89" s="31"/>
      <c r="CZ89" s="234"/>
      <c r="DA89" s="234"/>
      <c r="DB89" s="234"/>
      <c r="DC89" s="234"/>
      <c r="DD89" s="234"/>
      <c r="DE89" s="234"/>
      <c r="DF89" s="234"/>
      <c r="DG89" s="234"/>
      <c r="DH89" s="234"/>
      <c r="DI89" s="234"/>
      <c r="DJ89" s="234"/>
      <c r="DK89" s="234"/>
      <c r="DL89" s="234"/>
      <c r="DM89" s="234"/>
      <c r="DN89" s="234"/>
      <c r="DO89" s="234"/>
      <c r="DP89" s="234"/>
      <c r="DQ89" s="234"/>
      <c r="DR89" s="234"/>
      <c r="DS89" s="234"/>
      <c r="DT89" s="234"/>
    </row>
    <row r="90" spans="1:124" s="231" customFormat="1" ht="16.5" customHeight="1" thickTop="1" thickBot="1" x14ac:dyDescent="0.3">
      <c r="A90" s="232"/>
      <c r="B90" s="250"/>
      <c r="C90" s="250"/>
      <c r="D90" s="250"/>
      <c r="E90" s="232"/>
      <c r="F90" s="387">
        <f t="shared" ca="1" si="203"/>
        <v>2017</v>
      </c>
      <c r="G90" s="387" t="str">
        <f t="shared" ca="1" si="199"/>
        <v xml:space="preserve">jun </v>
      </c>
      <c r="H90" s="70"/>
      <c r="I90" s="108">
        <f t="shared" si="200"/>
        <v>0</v>
      </c>
      <c r="J90" s="372"/>
      <c r="K90" s="23"/>
      <c r="L90" s="447">
        <f t="shared" si="201"/>
        <v>0</v>
      </c>
      <c r="M90" s="372"/>
      <c r="N90" s="23"/>
      <c r="O90" s="447">
        <f t="shared" si="202"/>
        <v>0</v>
      </c>
      <c r="P90" s="372"/>
      <c r="Q90" s="232"/>
      <c r="R90" s="232"/>
      <c r="S90" s="232"/>
      <c r="T90" s="232"/>
      <c r="U90" s="232"/>
      <c r="V90" s="232"/>
      <c r="W90" s="232"/>
      <c r="X90" s="233"/>
      <c r="Y90" s="261">
        <f t="shared" si="191"/>
        <v>0</v>
      </c>
      <c r="Z90" s="261">
        <f t="shared" si="192"/>
        <v>0</v>
      </c>
      <c r="AA90" s="56">
        <f t="shared" si="193"/>
        <v>0</v>
      </c>
      <c r="AB90" s="233"/>
      <c r="AC90" s="261">
        <f t="shared" si="194"/>
        <v>0</v>
      </c>
      <c r="AD90" s="282">
        <f t="shared" si="195"/>
        <v>0</v>
      </c>
      <c r="AE90" s="259">
        <f t="shared" si="196"/>
        <v>0</v>
      </c>
      <c r="AF90" s="191">
        <f t="shared" si="197"/>
        <v>0</v>
      </c>
      <c r="AG90" s="362" t="str">
        <f t="shared" si="198"/>
        <v/>
      </c>
      <c r="AH90" s="233"/>
      <c r="AI90" s="233"/>
      <c r="AJ90" s="233"/>
      <c r="AK90" s="233"/>
      <c r="AL90" s="233"/>
      <c r="AM90" s="233"/>
      <c r="AN90" s="233"/>
      <c r="AO90" s="233"/>
      <c r="AP90" s="233"/>
      <c r="AQ90" s="233"/>
      <c r="AR90" s="233"/>
      <c r="AS90" s="233"/>
      <c r="AT90" s="233"/>
      <c r="AU90" s="233"/>
      <c r="AV90" s="233"/>
      <c r="AW90" s="233"/>
      <c r="AX90" s="233"/>
      <c r="AY90" s="234"/>
      <c r="AZ90" s="234"/>
      <c r="BA90" s="234"/>
      <c r="BB90" s="111">
        <f t="shared" si="188"/>
        <v>0</v>
      </c>
      <c r="BC90" s="111">
        <f t="shared" si="189"/>
        <v>0</v>
      </c>
      <c r="BD90" s="112">
        <f t="shared" si="190"/>
        <v>0</v>
      </c>
      <c r="BE90" s="234"/>
      <c r="BF90" s="234"/>
      <c r="BG90" s="234"/>
      <c r="BH90" s="234"/>
      <c r="BI90" s="234"/>
      <c r="BJ90" s="234"/>
      <c r="BK90" s="41" t="s">
        <v>1098</v>
      </c>
      <c r="BL90" s="113">
        <f>SUM(BL78:BL89)</f>
        <v>0</v>
      </c>
      <c r="BM90" s="113">
        <f>SUM(BM78:BM89)</f>
        <v>0</v>
      </c>
      <c r="BN90" s="113">
        <f t="shared" si="187"/>
        <v>0</v>
      </c>
      <c r="BO90" s="234"/>
      <c r="BP90" s="234"/>
      <c r="BQ90" s="234"/>
      <c r="BR90" s="234"/>
      <c r="BS90" s="234"/>
      <c r="BT90" s="234"/>
      <c r="BU90" s="234"/>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34"/>
      <c r="CR90" s="234"/>
      <c r="CS90" s="234"/>
      <c r="CT90" s="234"/>
      <c r="CU90" s="234"/>
      <c r="CV90" s="234"/>
      <c r="CW90" s="234"/>
      <c r="CX90" s="234"/>
      <c r="CY90" s="31"/>
      <c r="CZ90" s="234"/>
      <c r="DA90" s="234"/>
      <c r="DB90" s="234"/>
      <c r="DC90" s="234"/>
      <c r="DD90" s="234"/>
      <c r="DE90" s="234"/>
      <c r="DF90" s="234"/>
      <c r="DG90" s="234"/>
      <c r="DH90" s="234"/>
      <c r="DI90" s="234"/>
      <c r="DJ90" s="234"/>
      <c r="DK90" s="234"/>
      <c r="DL90" s="234"/>
      <c r="DM90" s="234"/>
      <c r="DN90" s="234"/>
      <c r="DO90" s="234"/>
      <c r="DP90" s="234"/>
      <c r="DQ90" s="234"/>
      <c r="DR90" s="234"/>
      <c r="DS90" s="234"/>
      <c r="DT90" s="234"/>
    </row>
    <row r="91" spans="1:124" s="231" customFormat="1" ht="16.5" customHeight="1" thickTop="1" thickBot="1" x14ac:dyDescent="0.3">
      <c r="A91" s="232"/>
      <c r="B91" s="250"/>
      <c r="C91" s="250"/>
      <c r="D91" s="250"/>
      <c r="E91" s="232"/>
      <c r="F91" s="387">
        <f t="shared" ca="1" si="203"/>
        <v>2017</v>
      </c>
      <c r="G91" s="387" t="str">
        <f t="shared" ca="1" si="199"/>
        <v>jul</v>
      </c>
      <c r="H91" s="70"/>
      <c r="I91" s="108">
        <f t="shared" si="200"/>
        <v>0</v>
      </c>
      <c r="J91" s="372"/>
      <c r="K91" s="23"/>
      <c r="L91" s="447">
        <f t="shared" si="201"/>
        <v>0</v>
      </c>
      <c r="M91" s="372"/>
      <c r="N91" s="23"/>
      <c r="O91" s="447">
        <f t="shared" si="202"/>
        <v>0</v>
      </c>
      <c r="P91" s="372"/>
      <c r="Q91" s="232"/>
      <c r="R91" s="232"/>
      <c r="S91" s="232"/>
      <c r="T91" s="232"/>
      <c r="U91" s="232"/>
      <c r="V91" s="232"/>
      <c r="W91" s="232"/>
      <c r="X91" s="233"/>
      <c r="Y91" s="261">
        <f t="shared" si="191"/>
        <v>0</v>
      </c>
      <c r="Z91" s="261">
        <f t="shared" si="192"/>
        <v>0</v>
      </c>
      <c r="AA91" s="56">
        <f t="shared" si="193"/>
        <v>0</v>
      </c>
      <c r="AB91" s="233"/>
      <c r="AC91" s="261">
        <f t="shared" si="194"/>
        <v>0</v>
      </c>
      <c r="AD91" s="282">
        <f t="shared" si="195"/>
        <v>0</v>
      </c>
      <c r="AE91" s="259">
        <f t="shared" si="196"/>
        <v>0</v>
      </c>
      <c r="AF91" s="191">
        <f t="shared" si="197"/>
        <v>0</v>
      </c>
      <c r="AG91" s="362" t="str">
        <f t="shared" si="198"/>
        <v/>
      </c>
      <c r="AH91" s="233"/>
      <c r="AI91" s="233"/>
      <c r="AJ91" s="233"/>
      <c r="AK91" s="233"/>
      <c r="AL91" s="233"/>
      <c r="AM91" s="233"/>
      <c r="AN91" s="233"/>
      <c r="AO91" s="233"/>
      <c r="AP91" s="233"/>
      <c r="AQ91" s="233"/>
      <c r="AR91" s="233"/>
      <c r="AS91" s="233"/>
      <c r="AT91" s="233"/>
      <c r="AU91" s="233"/>
      <c r="AV91" s="233"/>
      <c r="AW91" s="233"/>
      <c r="AX91" s="233"/>
      <c r="AY91" s="234"/>
      <c r="AZ91" s="234"/>
      <c r="BA91" s="41" t="s">
        <v>1098</v>
      </c>
      <c r="BB91" s="113">
        <f>SUM(BB79:BB90)</f>
        <v>0</v>
      </c>
      <c r="BC91" s="113">
        <f>SUM(BC79:BC90)</f>
        <v>0</v>
      </c>
      <c r="BD91" s="113">
        <f t="shared" ref="BD91" si="204">BB91+BC91</f>
        <v>0</v>
      </c>
      <c r="BE91" s="234"/>
      <c r="BF91" s="234"/>
      <c r="BG91" s="234"/>
      <c r="BH91" s="234"/>
      <c r="BI91" s="234"/>
      <c r="BJ91" s="234"/>
      <c r="BK91" s="41" t="s">
        <v>1396</v>
      </c>
      <c r="BL91" s="47">
        <f>BL90</f>
        <v>0</v>
      </c>
      <c r="BM91" s="94">
        <f>BM90</f>
        <v>0</v>
      </c>
      <c r="BN91" s="260">
        <f>BL91+BM91</f>
        <v>0</v>
      </c>
      <c r="BO91" s="234"/>
      <c r="BP91" s="234"/>
      <c r="BQ91" s="234"/>
      <c r="BR91" s="234"/>
      <c r="BS91" s="234"/>
      <c r="BT91" s="234"/>
      <c r="BU91" s="234"/>
      <c r="BV91" s="234"/>
      <c r="BW91" s="234"/>
      <c r="BX91" s="234"/>
      <c r="BY91" s="234"/>
      <c r="BZ91" s="234"/>
      <c r="CA91" s="234"/>
      <c r="CB91" s="234"/>
      <c r="CC91" s="234"/>
      <c r="CD91" s="234"/>
      <c r="CE91" s="234"/>
      <c r="CF91" s="234"/>
      <c r="CG91" s="234"/>
      <c r="CH91" s="234"/>
      <c r="CI91" s="234"/>
      <c r="CJ91" s="234"/>
      <c r="CK91" s="234"/>
      <c r="CL91" s="234"/>
      <c r="CM91" s="234"/>
      <c r="CN91" s="234"/>
      <c r="CO91" s="234"/>
      <c r="CP91" s="234"/>
      <c r="CQ91" s="234"/>
      <c r="CR91" s="234"/>
      <c r="CS91" s="234"/>
      <c r="CT91" s="234"/>
      <c r="CU91" s="234"/>
      <c r="CV91" s="234"/>
      <c r="CW91" s="234"/>
      <c r="CX91" s="234"/>
      <c r="CY91" s="31"/>
      <c r="CZ91" s="234"/>
      <c r="DA91" s="234"/>
      <c r="DB91" s="234"/>
      <c r="DC91" s="234"/>
      <c r="DD91" s="234"/>
      <c r="DE91" s="234"/>
      <c r="DF91" s="234"/>
      <c r="DG91" s="234"/>
      <c r="DH91" s="234"/>
      <c r="DI91" s="234"/>
      <c r="DJ91" s="234"/>
      <c r="DK91" s="234"/>
      <c r="DL91" s="234"/>
      <c r="DM91" s="234"/>
      <c r="DN91" s="234"/>
      <c r="DO91" s="234"/>
      <c r="DP91" s="234"/>
      <c r="DQ91" s="234"/>
      <c r="DR91" s="234"/>
      <c r="DS91" s="234"/>
      <c r="DT91" s="234"/>
    </row>
    <row r="92" spans="1:124" s="231" customFormat="1" ht="16.5" customHeight="1" thickBot="1" x14ac:dyDescent="0.3">
      <c r="A92" s="232"/>
      <c r="B92" s="250"/>
      <c r="C92" s="250"/>
      <c r="D92" s="250"/>
      <c r="E92" s="232"/>
      <c r="F92" s="387">
        <f t="shared" ca="1" si="203"/>
        <v>2017</v>
      </c>
      <c r="G92" s="387" t="str">
        <f t="shared" ca="1" si="199"/>
        <v>aug</v>
      </c>
      <c r="H92" s="70"/>
      <c r="I92" s="108">
        <f t="shared" si="200"/>
        <v>0</v>
      </c>
      <c r="J92" s="372"/>
      <c r="K92" s="23"/>
      <c r="L92" s="447">
        <f t="shared" si="201"/>
        <v>0</v>
      </c>
      <c r="M92" s="372"/>
      <c r="N92" s="23"/>
      <c r="O92" s="447">
        <f t="shared" si="202"/>
        <v>0</v>
      </c>
      <c r="P92" s="372"/>
      <c r="Q92" s="232"/>
      <c r="R92" s="232"/>
      <c r="S92" s="232"/>
      <c r="T92" s="232"/>
      <c r="U92" s="232"/>
      <c r="V92" s="232"/>
      <c r="W92" s="232"/>
      <c r="X92" s="233"/>
      <c r="Y92" s="261">
        <f t="shared" si="191"/>
        <v>0</v>
      </c>
      <c r="Z92" s="261">
        <f t="shared" si="192"/>
        <v>0</v>
      </c>
      <c r="AA92" s="56">
        <f t="shared" si="193"/>
        <v>0</v>
      </c>
      <c r="AB92" s="233"/>
      <c r="AC92" s="261">
        <f t="shared" si="194"/>
        <v>0</v>
      </c>
      <c r="AD92" s="282">
        <f t="shared" si="195"/>
        <v>0</v>
      </c>
      <c r="AE92" s="259">
        <f t="shared" si="196"/>
        <v>0</v>
      </c>
      <c r="AF92" s="191">
        <f t="shared" si="197"/>
        <v>0</v>
      </c>
      <c r="AG92" s="362" t="str">
        <f t="shared" si="198"/>
        <v/>
      </c>
      <c r="AH92" s="233"/>
      <c r="AI92" s="233"/>
      <c r="AJ92" s="233"/>
      <c r="AK92" s="233"/>
      <c r="AL92" s="233"/>
      <c r="AM92" s="233"/>
      <c r="AN92" s="233"/>
      <c r="AO92" s="233"/>
      <c r="AP92" s="233"/>
      <c r="AQ92" s="233"/>
      <c r="AR92" s="233"/>
      <c r="AS92" s="233"/>
      <c r="AT92" s="233"/>
      <c r="AU92" s="233"/>
      <c r="AV92" s="233"/>
      <c r="AW92" s="233"/>
      <c r="AX92" s="233"/>
      <c r="AY92" s="234"/>
      <c r="AZ92" s="234"/>
      <c r="BA92" s="41" t="s">
        <v>1201</v>
      </c>
      <c r="BB92" s="47">
        <f>BB91</f>
        <v>0</v>
      </c>
      <c r="BC92" s="94">
        <f>BC91-$AB$142</f>
        <v>0</v>
      </c>
      <c r="BD92" s="260">
        <f>BB92+BC92</f>
        <v>0</v>
      </c>
      <c r="BE92" s="234"/>
      <c r="BF92" s="234"/>
      <c r="BG92" s="234"/>
      <c r="BH92" s="234"/>
      <c r="BI92" s="234"/>
      <c r="BJ92" s="234"/>
      <c r="BK92" s="41" t="s">
        <v>1294</v>
      </c>
      <c r="BL92" s="47">
        <f>BL91*BL74</f>
        <v>0</v>
      </c>
      <c r="BM92" s="47">
        <f>IF('Indata byggnad och BBR krav'!$C$27="&lt; 10 W/m2 Atemp",BM91*1.875*$BM$74,BM91*$BM$74)</f>
        <v>0</v>
      </c>
      <c r="BN92" s="96">
        <f>BL92+BM92</f>
        <v>0</v>
      </c>
      <c r="BO92" s="234"/>
      <c r="BP92" s="234"/>
      <c r="BQ92" s="234"/>
      <c r="BR92" s="234"/>
      <c r="BS92" s="234"/>
      <c r="BT92" s="234"/>
      <c r="BU92" s="234"/>
      <c r="BV92" s="234"/>
      <c r="BW92" s="234"/>
      <c r="BX92" s="234"/>
      <c r="BY92" s="234"/>
      <c r="BZ92" s="234"/>
      <c r="CA92" s="234"/>
      <c r="CB92" s="234"/>
      <c r="CC92" s="234"/>
      <c r="CD92" s="234"/>
      <c r="CE92" s="234"/>
      <c r="CF92" s="234"/>
      <c r="CG92" s="234"/>
      <c r="CH92" s="234"/>
      <c r="CI92" s="234"/>
      <c r="CJ92" s="234"/>
      <c r="CK92" s="234"/>
      <c r="CL92" s="234"/>
      <c r="CM92" s="234"/>
      <c r="CN92" s="234"/>
      <c r="CO92" s="234"/>
      <c r="CP92" s="234"/>
      <c r="CQ92" s="234"/>
      <c r="CR92" s="234"/>
      <c r="CS92" s="234"/>
      <c r="CT92" s="234"/>
      <c r="CU92" s="234"/>
      <c r="CV92" s="234"/>
      <c r="CW92" s="234"/>
      <c r="CX92" s="234"/>
      <c r="CY92" s="31"/>
      <c r="CZ92" s="234"/>
      <c r="DA92" s="234"/>
      <c r="DB92" s="234"/>
      <c r="DC92" s="234"/>
      <c r="DD92" s="234"/>
      <c r="DE92" s="234"/>
      <c r="DF92" s="234"/>
      <c r="DG92" s="234"/>
      <c r="DH92" s="234"/>
      <c r="DI92" s="234"/>
      <c r="DJ92" s="234"/>
      <c r="DK92" s="234"/>
      <c r="DL92" s="234"/>
      <c r="DM92" s="234"/>
      <c r="DN92" s="234"/>
      <c r="DO92" s="234"/>
      <c r="DP92" s="234"/>
      <c r="DQ92" s="234"/>
      <c r="DR92" s="234"/>
      <c r="DS92" s="234"/>
      <c r="DT92" s="234"/>
    </row>
    <row r="93" spans="1:124" s="231" customFormat="1" ht="16.5" customHeight="1" thickBot="1" x14ac:dyDescent="0.3">
      <c r="A93" s="232"/>
      <c r="B93" s="250"/>
      <c r="C93" s="250"/>
      <c r="D93" s="250"/>
      <c r="E93" s="232"/>
      <c r="F93" s="387">
        <f t="shared" ca="1" si="203"/>
        <v>2017</v>
      </c>
      <c r="G93" s="387" t="str">
        <f t="shared" ca="1" si="199"/>
        <v>sept</v>
      </c>
      <c r="H93" s="70"/>
      <c r="I93" s="108">
        <f t="shared" si="200"/>
        <v>0</v>
      </c>
      <c r="J93" s="372"/>
      <c r="K93" s="23"/>
      <c r="L93" s="447">
        <f t="shared" si="201"/>
        <v>0</v>
      </c>
      <c r="M93" s="372"/>
      <c r="N93" s="23"/>
      <c r="O93" s="447">
        <f t="shared" si="202"/>
        <v>0</v>
      </c>
      <c r="P93" s="372"/>
      <c r="Q93" s="232"/>
      <c r="R93" s="232"/>
      <c r="S93" s="232"/>
      <c r="T93" s="232"/>
      <c r="U93" s="232"/>
      <c r="V93" s="232"/>
      <c r="W93" s="232"/>
      <c r="X93" s="233"/>
      <c r="Y93" s="262">
        <f t="shared" si="191"/>
        <v>0</v>
      </c>
      <c r="Z93" s="262">
        <f t="shared" si="192"/>
        <v>0</v>
      </c>
      <c r="AA93" s="114">
        <f t="shared" si="193"/>
        <v>0</v>
      </c>
      <c r="AB93" s="233"/>
      <c r="AC93" s="262">
        <f t="shared" si="194"/>
        <v>0</v>
      </c>
      <c r="AD93" s="283">
        <f t="shared" si="195"/>
        <v>0</v>
      </c>
      <c r="AE93" s="274">
        <f t="shared" si="196"/>
        <v>0</v>
      </c>
      <c r="AF93" s="192">
        <f t="shared" si="197"/>
        <v>0</v>
      </c>
      <c r="AG93" s="362" t="str">
        <f t="shared" si="198"/>
        <v/>
      </c>
      <c r="AH93" s="233"/>
      <c r="AI93" s="233"/>
      <c r="AJ93" s="233"/>
      <c r="AK93" s="233"/>
      <c r="AL93" s="233"/>
      <c r="AM93" s="233"/>
      <c r="AN93" s="233"/>
      <c r="AO93" s="233"/>
      <c r="AP93" s="233"/>
      <c r="AQ93" s="233"/>
      <c r="AR93" s="233"/>
      <c r="AS93" s="233"/>
      <c r="AT93" s="233"/>
      <c r="AU93" s="233"/>
      <c r="AV93" s="233"/>
      <c r="AW93" s="233"/>
      <c r="AX93" s="233"/>
      <c r="AY93" s="234"/>
      <c r="AZ93" s="234"/>
      <c r="BA93" s="41" t="s">
        <v>1294</v>
      </c>
      <c r="BB93" s="47">
        <f>BB92*BB75</f>
        <v>0</v>
      </c>
      <c r="BC93" s="47">
        <f>IF('Indata byggnad och BBR krav'!$C$27="&lt; 10 W/m2 Atemp",BC92*1.875*$BC$75,BC92*$BC$75)</f>
        <v>0</v>
      </c>
      <c r="BD93" s="96">
        <f>BB93+BC93</f>
        <v>0</v>
      </c>
      <c r="BE93" s="234"/>
      <c r="BF93" s="234"/>
      <c r="BG93" s="234"/>
      <c r="BH93" s="234"/>
      <c r="BI93" s="234"/>
      <c r="BJ93" s="234"/>
      <c r="BK93" s="41" t="s">
        <v>1295</v>
      </c>
      <c r="BL93" s="47">
        <f>BL91*BL75</f>
        <v>0</v>
      </c>
      <c r="BM93" s="47">
        <f>BM91*BM75</f>
        <v>0</v>
      </c>
      <c r="BN93" s="96">
        <f>BL93+BM93</f>
        <v>0</v>
      </c>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31"/>
      <c r="CZ93" s="234"/>
      <c r="DA93" s="234"/>
      <c r="DB93" s="234"/>
      <c r="DC93" s="234"/>
      <c r="DD93" s="234"/>
      <c r="DE93" s="234"/>
      <c r="DF93" s="234"/>
      <c r="DG93" s="234"/>
      <c r="DH93" s="234"/>
      <c r="DI93" s="234"/>
      <c r="DJ93" s="234"/>
      <c r="DK93" s="234"/>
      <c r="DL93" s="234"/>
      <c r="DM93" s="234"/>
      <c r="DN93" s="234"/>
      <c r="DO93" s="234"/>
      <c r="DP93" s="234"/>
      <c r="DQ93" s="234"/>
      <c r="DR93" s="234"/>
      <c r="DS93" s="234"/>
      <c r="DT93" s="234"/>
    </row>
    <row r="94" spans="1:124" s="231" customFormat="1" ht="16.5" customHeight="1" thickTop="1" thickBot="1" x14ac:dyDescent="0.3">
      <c r="A94" s="232"/>
      <c r="B94" s="250"/>
      <c r="C94" s="250"/>
      <c r="D94" s="250"/>
      <c r="E94" s="232"/>
      <c r="F94" s="387">
        <f t="shared" ca="1" si="203"/>
        <v>2017</v>
      </c>
      <c r="G94" s="387" t="str">
        <f t="shared" ca="1" si="199"/>
        <v>okt</v>
      </c>
      <c r="H94" s="70"/>
      <c r="I94" s="108">
        <f t="shared" si="200"/>
        <v>0</v>
      </c>
      <c r="J94" s="372"/>
      <c r="K94" s="23"/>
      <c r="L94" s="447">
        <f t="shared" si="201"/>
        <v>0</v>
      </c>
      <c r="M94" s="372"/>
      <c r="N94" s="23"/>
      <c r="O94" s="447">
        <f t="shared" si="202"/>
        <v>0</v>
      </c>
      <c r="P94" s="372"/>
      <c r="Q94" s="232"/>
      <c r="R94" s="232"/>
      <c r="S94" s="232"/>
      <c r="T94" s="232"/>
      <c r="U94" s="232"/>
      <c r="V94" s="232"/>
      <c r="W94" s="232"/>
      <c r="X94" s="236" t="s">
        <v>1296</v>
      </c>
      <c r="Y94" s="116">
        <f>SUM(Y82:Y93)</f>
        <v>0</v>
      </c>
      <c r="Z94" s="116">
        <f>SUM(Z82:Z93)</f>
        <v>0</v>
      </c>
      <c r="AA94" s="116">
        <f t="shared" ref="AA94" si="205">Y94+Z94</f>
        <v>0</v>
      </c>
      <c r="AB94" s="233"/>
      <c r="AC94" s="256">
        <f>SUM(AC82:AC93)</f>
        <v>0</v>
      </c>
      <c r="AD94" s="257">
        <f>SUM(AD82:AD93)</f>
        <v>0</v>
      </c>
      <c r="AE94" s="256">
        <f>SUM(AE82:AE93)</f>
        <v>0</v>
      </c>
      <c r="AF94" s="281">
        <f>SUM(AF82:AF93)</f>
        <v>0</v>
      </c>
      <c r="AG94" s="233"/>
      <c r="AH94" s="233"/>
      <c r="AI94" s="233"/>
      <c r="AJ94" s="233"/>
      <c r="AK94" s="233"/>
      <c r="AL94" s="233"/>
      <c r="AM94" s="233"/>
      <c r="AN94" s="233"/>
      <c r="AO94" s="233"/>
      <c r="AP94" s="233"/>
      <c r="AQ94" s="233"/>
      <c r="AR94" s="233"/>
      <c r="AS94" s="233"/>
      <c r="AT94" s="233"/>
      <c r="AU94" s="233"/>
      <c r="AV94" s="233"/>
      <c r="AW94" s="233"/>
      <c r="AX94" s="233"/>
      <c r="AY94" s="234"/>
      <c r="AZ94" s="234"/>
      <c r="BA94" s="41" t="s">
        <v>1295</v>
      </c>
      <c r="BB94" s="47">
        <f>BB92*BB76</f>
        <v>0</v>
      </c>
      <c r="BC94" s="47">
        <f>BC92*BC76</f>
        <v>0</v>
      </c>
      <c r="BD94" s="96">
        <f>BB94+BC94</f>
        <v>0</v>
      </c>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234"/>
      <c r="CD94" s="234"/>
      <c r="CE94" s="234"/>
      <c r="CF94" s="234"/>
      <c r="CG94" s="234"/>
      <c r="CH94" s="234"/>
      <c r="CI94" s="234"/>
      <c r="CJ94" s="234"/>
      <c r="CK94" s="234"/>
      <c r="CL94" s="234"/>
      <c r="CM94" s="234"/>
      <c r="CN94" s="234"/>
      <c r="CO94" s="234"/>
      <c r="CP94" s="234"/>
      <c r="CQ94" s="234"/>
      <c r="CR94" s="234"/>
      <c r="CS94" s="234"/>
      <c r="CT94" s="234"/>
      <c r="CU94" s="234"/>
      <c r="CV94" s="234"/>
      <c r="CW94" s="234"/>
      <c r="CX94" s="234"/>
      <c r="CY94" s="31"/>
      <c r="CZ94" s="234"/>
      <c r="DA94" s="234"/>
      <c r="DB94" s="234"/>
      <c r="DC94" s="234"/>
      <c r="DD94" s="234"/>
      <c r="DE94" s="234"/>
      <c r="DF94" s="234"/>
      <c r="DG94" s="234"/>
      <c r="DH94" s="234"/>
      <c r="DI94" s="234"/>
      <c r="DJ94" s="234"/>
      <c r="DK94" s="234"/>
      <c r="DL94" s="234"/>
      <c r="DM94" s="234"/>
      <c r="DN94" s="234"/>
      <c r="DO94" s="234"/>
      <c r="DP94" s="234"/>
      <c r="DQ94" s="234"/>
      <c r="DR94" s="234"/>
      <c r="DS94" s="234"/>
      <c r="DT94" s="234"/>
    </row>
    <row r="95" spans="1:124" s="231" customFormat="1" ht="16.5" customHeight="1" thickBot="1" x14ac:dyDescent="0.3">
      <c r="A95" s="232"/>
      <c r="B95" s="250"/>
      <c r="C95" s="250"/>
      <c r="D95" s="250"/>
      <c r="E95" s="232"/>
      <c r="F95" s="387">
        <f t="shared" ca="1" si="203"/>
        <v>2017</v>
      </c>
      <c r="G95" s="387" t="str">
        <f t="shared" ca="1" si="199"/>
        <v>nov</v>
      </c>
      <c r="H95" s="70"/>
      <c r="I95" s="108">
        <f t="shared" si="200"/>
        <v>0</v>
      </c>
      <c r="J95" s="372"/>
      <c r="K95" s="23"/>
      <c r="L95" s="447">
        <f t="shared" si="201"/>
        <v>0</v>
      </c>
      <c r="M95" s="372"/>
      <c r="N95" s="23"/>
      <c r="O95" s="447">
        <f t="shared" si="202"/>
        <v>0</v>
      </c>
      <c r="P95" s="372"/>
      <c r="Q95" s="246"/>
      <c r="R95" s="246"/>
      <c r="S95" s="246"/>
      <c r="T95" s="246"/>
      <c r="U95" s="246"/>
      <c r="V95" s="246"/>
      <c r="W95" s="232"/>
      <c r="X95" s="236" t="s">
        <v>1381</v>
      </c>
      <c r="Y95" s="248">
        <f>Y94</f>
        <v>0</v>
      </c>
      <c r="Z95" s="263">
        <f>Z94-$AB$142</f>
        <v>0</v>
      </c>
      <c r="AA95" s="260">
        <f>Y95+Z95</f>
        <v>0</v>
      </c>
      <c r="AB95" s="273"/>
      <c r="AC95" s="190"/>
      <c r="AD95" s="190"/>
      <c r="AE95" s="98"/>
      <c r="AF95" s="98"/>
      <c r="AG95" s="233"/>
      <c r="AH95" s="233"/>
      <c r="AI95" s="233"/>
      <c r="AJ95" s="233"/>
      <c r="AK95" s="233"/>
      <c r="AL95" s="233"/>
      <c r="AM95" s="233"/>
      <c r="AN95" s="233"/>
      <c r="AO95" s="233"/>
      <c r="AP95" s="233"/>
      <c r="AQ95" s="233"/>
      <c r="AR95" s="233"/>
      <c r="AS95" s="233"/>
      <c r="AT95" s="233"/>
      <c r="AU95" s="233"/>
      <c r="AV95" s="233"/>
      <c r="AW95" s="233"/>
      <c r="AX95" s="233"/>
      <c r="AY95" s="234"/>
      <c r="AZ95" s="234"/>
      <c r="BA95" s="234"/>
      <c r="BB95" s="175" t="s">
        <v>1297</v>
      </c>
      <c r="BC95" s="234"/>
      <c r="BD95" s="234"/>
      <c r="BE95" s="234"/>
      <c r="BF95" s="234"/>
      <c r="BG95" s="234"/>
      <c r="BH95" s="234"/>
      <c r="BI95" s="234"/>
      <c r="BJ95" s="234"/>
      <c r="BK95" s="234"/>
      <c r="BL95" s="175" t="s">
        <v>1297</v>
      </c>
      <c r="BM95" s="234"/>
      <c r="BN95" s="234"/>
      <c r="BO95" s="234"/>
      <c r="BP95" s="234"/>
      <c r="BQ95" s="234"/>
      <c r="BR95" s="234"/>
      <c r="BS95" s="234"/>
      <c r="BT95" s="234"/>
      <c r="BU95" s="234"/>
      <c r="BV95" s="234"/>
      <c r="BW95" s="234"/>
      <c r="BX95" s="234"/>
      <c r="BY95" s="234"/>
      <c r="BZ95" s="234"/>
      <c r="CA95" s="234"/>
      <c r="CB95" s="234"/>
      <c r="CC95" s="234"/>
      <c r="CD95" s="234"/>
      <c r="CE95" s="234"/>
      <c r="CF95" s="234"/>
      <c r="CG95" s="234"/>
      <c r="CH95" s="234"/>
      <c r="CI95" s="234"/>
      <c r="CJ95" s="234"/>
      <c r="CK95" s="234"/>
      <c r="CL95" s="234"/>
      <c r="CM95" s="234"/>
      <c r="CN95" s="234"/>
      <c r="CO95" s="234"/>
      <c r="CP95" s="234"/>
      <c r="CQ95" s="234"/>
      <c r="CR95" s="234"/>
      <c r="CS95" s="234"/>
      <c r="CT95" s="234"/>
      <c r="CU95" s="234"/>
      <c r="CV95" s="234"/>
      <c r="CW95" s="234"/>
      <c r="CX95" s="234"/>
      <c r="CY95" s="31"/>
      <c r="CZ95" s="234"/>
      <c r="DA95" s="234"/>
      <c r="DB95" s="234"/>
      <c r="DC95" s="234"/>
      <c r="DD95" s="234"/>
      <c r="DE95" s="234"/>
      <c r="DF95" s="234"/>
      <c r="DG95" s="234"/>
      <c r="DH95" s="234"/>
      <c r="DI95" s="234"/>
      <c r="DJ95" s="234"/>
      <c r="DK95" s="234"/>
      <c r="DL95" s="234"/>
      <c r="DM95" s="234"/>
      <c r="DN95" s="234"/>
      <c r="DO95" s="234"/>
      <c r="DP95" s="234"/>
      <c r="DQ95" s="234"/>
      <c r="DR95" s="234"/>
      <c r="DS95" s="234"/>
      <c r="DT95" s="234"/>
    </row>
    <row r="96" spans="1:124" s="231" customFormat="1" ht="16.5" customHeight="1" x14ac:dyDescent="0.25">
      <c r="A96" s="232"/>
      <c r="B96" s="250"/>
      <c r="C96" s="250"/>
      <c r="D96" s="250"/>
      <c r="E96" s="232"/>
      <c r="F96" s="387">
        <f t="shared" ca="1" si="203"/>
        <v>2017</v>
      </c>
      <c r="G96" s="387" t="str">
        <f t="shared" ca="1" si="199"/>
        <v>dec</v>
      </c>
      <c r="H96" s="70"/>
      <c r="I96" s="108">
        <f t="shared" si="200"/>
        <v>0</v>
      </c>
      <c r="J96" s="372"/>
      <c r="K96" s="23"/>
      <c r="L96" s="447">
        <f t="shared" si="201"/>
        <v>0</v>
      </c>
      <c r="M96" s="372"/>
      <c r="N96" s="23"/>
      <c r="O96" s="447">
        <f t="shared" si="202"/>
        <v>0</v>
      </c>
      <c r="P96" s="372"/>
      <c r="Q96" s="246"/>
      <c r="R96" s="246"/>
      <c r="S96" s="246"/>
      <c r="T96" s="246"/>
      <c r="U96" s="246"/>
      <c r="V96" s="246"/>
      <c r="W96" s="232"/>
      <c r="X96" s="236"/>
      <c r="Y96" s="275"/>
      <c r="Z96" s="275"/>
      <c r="AA96" s="275"/>
      <c r="AB96" s="273"/>
      <c r="AC96" s="190"/>
      <c r="AD96" s="190"/>
      <c r="AE96" s="247"/>
      <c r="AF96" s="233"/>
      <c r="AG96" s="233"/>
      <c r="AH96" s="233"/>
      <c r="AI96" s="233"/>
      <c r="AJ96" s="233"/>
      <c r="AK96" s="233"/>
      <c r="AL96" s="233"/>
      <c r="AM96" s="233"/>
      <c r="AN96" s="233"/>
      <c r="AO96" s="233"/>
      <c r="AP96" s="233"/>
      <c r="AQ96" s="233"/>
      <c r="AR96" s="233"/>
      <c r="AS96" s="233"/>
      <c r="AT96" s="233"/>
      <c r="AU96" s="233"/>
      <c r="AV96" s="233"/>
      <c r="AW96" s="233"/>
      <c r="AX96" s="233"/>
      <c r="AY96" s="234"/>
      <c r="AZ96" s="234"/>
      <c r="BA96" s="234"/>
      <c r="BB96" s="234"/>
      <c r="BC96" s="234"/>
      <c r="BD96" s="234"/>
      <c r="BE96" s="234"/>
      <c r="BF96" s="234"/>
      <c r="BG96" s="234"/>
      <c r="BH96" s="234"/>
      <c r="BI96" s="234"/>
      <c r="BJ96" s="234"/>
      <c r="BK96" s="234"/>
      <c r="BL96" s="234"/>
      <c r="BM96" s="234"/>
      <c r="BN96" s="31"/>
      <c r="BO96" s="234"/>
      <c r="BP96" s="234"/>
      <c r="BQ96" s="234"/>
      <c r="BR96" s="234"/>
      <c r="BS96" s="234"/>
      <c r="BT96" s="234"/>
      <c r="BU96" s="234"/>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34"/>
      <c r="CR96" s="234"/>
      <c r="CS96" s="234"/>
      <c r="CT96" s="234"/>
      <c r="CU96" s="234"/>
      <c r="CV96" s="234"/>
      <c r="CW96" s="234"/>
      <c r="CX96" s="234"/>
      <c r="CY96" s="31"/>
      <c r="CZ96" s="234"/>
      <c r="DA96" s="234"/>
      <c r="DB96" s="234"/>
      <c r="DC96" s="234"/>
      <c r="DD96" s="234"/>
      <c r="DE96" s="234"/>
      <c r="DF96" s="234"/>
      <c r="DG96" s="234"/>
      <c r="DH96" s="234"/>
      <c r="DI96" s="234"/>
      <c r="DJ96" s="234"/>
      <c r="DK96" s="234"/>
      <c r="DL96" s="234"/>
      <c r="DM96" s="234"/>
      <c r="DN96" s="234"/>
      <c r="DO96" s="234"/>
      <c r="DP96" s="234"/>
      <c r="DQ96" s="234"/>
      <c r="DR96" s="234"/>
      <c r="DS96" s="234"/>
      <c r="DT96" s="234"/>
    </row>
    <row r="97" spans="1:124" s="231" customFormat="1" ht="16.5" customHeight="1" thickBot="1" x14ac:dyDescent="0.3">
      <c r="A97" s="232"/>
      <c r="B97" s="250"/>
      <c r="C97" s="250"/>
      <c r="D97" s="250"/>
      <c r="E97" s="232"/>
      <c r="F97" s="70"/>
      <c r="G97" s="70"/>
      <c r="H97" s="70"/>
      <c r="I97" s="115">
        <f>SUM(I85:I96)</f>
        <v>0</v>
      </c>
      <c r="J97" s="115">
        <f>SUM(J85:J96)</f>
        <v>0</v>
      </c>
      <c r="K97" s="229"/>
      <c r="L97" s="115">
        <f>SUM(L85:L96)</f>
        <v>0</v>
      </c>
      <c r="M97" s="115">
        <f>SUM(M85:M96)</f>
        <v>0</v>
      </c>
      <c r="N97" s="229"/>
      <c r="O97" s="115">
        <f>SUM(O85:O96)</f>
        <v>0</v>
      </c>
      <c r="P97" s="115">
        <f>SUM(P85:P96)</f>
        <v>0</v>
      </c>
      <c r="Q97" s="246"/>
      <c r="R97" s="246"/>
      <c r="S97" s="246"/>
      <c r="T97" s="246"/>
      <c r="U97" s="246"/>
      <c r="V97" s="246"/>
      <c r="W97" s="232"/>
      <c r="X97" s="233"/>
      <c r="Y97" s="233"/>
      <c r="Z97" s="233"/>
      <c r="AA97" s="233"/>
      <c r="AB97" s="233"/>
      <c r="AC97" s="247"/>
      <c r="AD97" s="247"/>
      <c r="AE97" s="233"/>
      <c r="AF97" s="233"/>
      <c r="AG97" s="233"/>
      <c r="AH97" s="233"/>
      <c r="AI97" s="233"/>
      <c r="AJ97" s="233"/>
      <c r="AK97" s="233"/>
      <c r="AL97" s="233"/>
      <c r="AM97" s="233"/>
      <c r="AN97" s="233"/>
      <c r="AO97" s="233"/>
      <c r="AP97" s="233"/>
      <c r="AQ97" s="233"/>
      <c r="AR97" s="233"/>
      <c r="AS97" s="233"/>
      <c r="AT97" s="233"/>
      <c r="AU97" s="233"/>
      <c r="AV97" s="233"/>
      <c r="AW97" s="233"/>
      <c r="AX97" s="233"/>
      <c r="AY97" s="234"/>
      <c r="AZ97" s="234"/>
      <c r="BA97" s="122" t="s">
        <v>1401</v>
      </c>
      <c r="BB97" s="52">
        <f>'Indata byggnad och BBR krav'!$AA$13</f>
        <v>0.06</v>
      </c>
      <c r="BC97" s="52">
        <f>'Indata byggnad och BBR krav'!$AA$8</f>
        <v>2.1999999999999999E-2</v>
      </c>
      <c r="BD97" s="299"/>
      <c r="BE97" s="234"/>
      <c r="BF97" s="234"/>
      <c r="BG97" s="234"/>
      <c r="BH97" s="234"/>
      <c r="BI97" s="234"/>
      <c r="BJ97" s="234"/>
      <c r="BK97" s="122" t="s">
        <v>1401</v>
      </c>
      <c r="BL97" s="52">
        <f>'Indata byggnad och BBR krav'!$AA$13</f>
        <v>0.06</v>
      </c>
      <c r="BM97" s="52">
        <f>'Indata byggnad och BBR krav'!$AA$8</f>
        <v>2.1999999999999999E-2</v>
      </c>
      <c r="BN97" s="299"/>
      <c r="BO97" s="234"/>
      <c r="BP97" s="234"/>
      <c r="BQ97" s="234"/>
      <c r="BR97" s="234"/>
      <c r="BS97" s="234"/>
      <c r="BT97" s="234"/>
      <c r="BU97" s="234"/>
      <c r="BV97" s="234"/>
      <c r="BW97" s="234"/>
      <c r="BX97" s="234"/>
      <c r="BY97" s="234"/>
      <c r="BZ97" s="234"/>
      <c r="CA97" s="234"/>
      <c r="CB97" s="234"/>
      <c r="CC97" s="234"/>
      <c r="CD97" s="234"/>
      <c r="CE97" s="234"/>
      <c r="CF97" s="234"/>
      <c r="CG97" s="234"/>
      <c r="CH97" s="234"/>
      <c r="CI97" s="234"/>
      <c r="CJ97" s="234"/>
      <c r="CK97" s="234"/>
      <c r="CL97" s="234"/>
      <c r="CM97" s="234"/>
      <c r="CN97" s="234"/>
      <c r="CO97" s="234"/>
      <c r="CP97" s="234"/>
      <c r="CQ97" s="234"/>
      <c r="CR97" s="234"/>
      <c r="CS97" s="234"/>
      <c r="CT97" s="234"/>
      <c r="CU97" s="234"/>
      <c r="CV97" s="234"/>
      <c r="CW97" s="234"/>
      <c r="CX97" s="234"/>
      <c r="CY97" s="31"/>
      <c r="CZ97" s="234"/>
      <c r="DA97" s="234"/>
      <c r="DB97" s="234"/>
      <c r="DC97" s="234"/>
      <c r="DD97" s="234"/>
      <c r="DE97" s="234"/>
      <c r="DF97" s="234"/>
      <c r="DG97" s="234"/>
      <c r="DH97" s="234"/>
      <c r="DI97" s="234"/>
      <c r="DJ97" s="234"/>
      <c r="DK97" s="234"/>
      <c r="DL97" s="234"/>
      <c r="DM97" s="234"/>
      <c r="DN97" s="234"/>
      <c r="DO97" s="234"/>
      <c r="DP97" s="234"/>
      <c r="DQ97" s="234"/>
      <c r="DR97" s="234"/>
      <c r="DS97" s="234"/>
      <c r="DT97" s="234"/>
    </row>
    <row r="98" spans="1:124" s="231" customFormat="1" ht="16.5" customHeight="1" thickBot="1" x14ac:dyDescent="0.3">
      <c r="A98" s="232"/>
      <c r="B98" s="250"/>
      <c r="C98" s="250"/>
      <c r="D98" s="250"/>
      <c r="E98" s="232"/>
      <c r="F98" s="70"/>
      <c r="G98" s="70"/>
      <c r="H98" s="70"/>
      <c r="I98" s="108"/>
      <c r="J98" s="246"/>
      <c r="K98" s="73"/>
      <c r="L98" s="108"/>
      <c r="M98" s="246"/>
      <c r="N98" s="73"/>
      <c r="O98" s="108"/>
      <c r="P98" s="246"/>
      <c r="Q98" s="246"/>
      <c r="R98" s="246"/>
      <c r="S98" s="246"/>
      <c r="T98" s="246"/>
      <c r="U98" s="246"/>
      <c r="V98" s="246"/>
      <c r="W98" s="232"/>
      <c r="X98" s="236"/>
      <c r="Y98" s="236"/>
      <c r="Z98" s="236"/>
      <c r="AA98" s="236"/>
      <c r="AB98" s="236"/>
      <c r="AC98" s="264"/>
      <c r="AD98" s="264"/>
      <c r="AE98" s="233"/>
      <c r="AF98" s="264"/>
      <c r="AG98" s="233"/>
      <c r="AH98" s="233"/>
      <c r="AI98" s="233"/>
      <c r="AJ98" s="233"/>
      <c r="AK98" s="233"/>
      <c r="AL98" s="233"/>
      <c r="AM98" s="233"/>
      <c r="AN98" s="233"/>
      <c r="AO98" s="233"/>
      <c r="AP98" s="233"/>
      <c r="AQ98" s="233"/>
      <c r="AR98" s="233"/>
      <c r="AS98" s="233"/>
      <c r="AT98" s="233"/>
      <c r="AU98" s="233"/>
      <c r="AV98" s="233"/>
      <c r="AW98" s="233"/>
      <c r="AX98" s="233"/>
      <c r="AY98" s="234"/>
      <c r="AZ98" s="437"/>
      <c r="BA98" s="438" t="s">
        <v>1411</v>
      </c>
      <c r="BB98" s="417" t="e">
        <f>BB92*1000/'Indata byggnad och BBR krav'!$C$40*'Indata byggnad och BBR krav'!$C$38*BB97</f>
        <v>#DIV/0!</v>
      </c>
      <c r="BC98" s="417" t="e">
        <f>BC92*1000/'Indata byggnad och BBR krav'!$C$40*'Indata byggnad och BBR krav'!$C$38*BC97</f>
        <v>#DIV/0!</v>
      </c>
      <c r="BD98" s="418" t="e">
        <f>BB98+BC98</f>
        <v>#DIV/0!</v>
      </c>
      <c r="BE98" s="234"/>
      <c r="BF98" s="234"/>
      <c r="BG98" s="234"/>
      <c r="BH98" s="234"/>
      <c r="BI98" s="234"/>
      <c r="BJ98" s="437"/>
      <c r="BK98" s="438" t="s">
        <v>1411</v>
      </c>
      <c r="BL98" s="417" t="e">
        <f>BL91*1000/'Indata byggnad och BBR krav'!$C$40*'Indata byggnad och BBR krav'!$C$38*BL97</f>
        <v>#DIV/0!</v>
      </c>
      <c r="BM98" s="417" t="e">
        <f>BM91*1000/'Indata byggnad och BBR krav'!$C$40*'Indata byggnad och BBR krav'!$C$38*BM97</f>
        <v>#DIV/0!</v>
      </c>
      <c r="BN98" s="418" t="e">
        <f>BL98+BM98</f>
        <v>#DIV/0!</v>
      </c>
      <c r="BO98" s="234"/>
      <c r="BP98" s="234"/>
      <c r="BQ98" s="31"/>
      <c r="BR98" s="234"/>
      <c r="BS98" s="31"/>
      <c r="BT98" s="31"/>
      <c r="BU98" s="31"/>
      <c r="BV98" s="31"/>
      <c r="BW98" s="31"/>
      <c r="BX98" s="31"/>
      <c r="BY98" s="31"/>
      <c r="BZ98" s="234"/>
      <c r="CA98" s="234"/>
      <c r="CB98" s="234"/>
      <c r="CC98" s="234"/>
      <c r="CD98" s="234"/>
      <c r="CE98" s="234"/>
      <c r="CF98" s="234"/>
      <c r="CG98" s="234"/>
      <c r="CH98" s="234"/>
      <c r="CI98" s="234"/>
      <c r="CJ98" s="234"/>
      <c r="CK98" s="234"/>
      <c r="CL98" s="234"/>
      <c r="CM98" s="234"/>
      <c r="CN98" s="234"/>
      <c r="CO98" s="234"/>
      <c r="CP98" s="234"/>
      <c r="CQ98" s="234"/>
      <c r="CR98" s="234"/>
      <c r="CS98" s="234"/>
      <c r="CT98" s="234"/>
      <c r="CU98" s="234"/>
      <c r="CV98" s="234"/>
      <c r="CW98" s="234"/>
      <c r="CX98" s="234"/>
      <c r="CY98" s="31"/>
      <c r="CZ98" s="234"/>
      <c r="DA98" s="234"/>
      <c r="DB98" s="234"/>
      <c r="DC98" s="234"/>
      <c r="DD98" s="234"/>
      <c r="DE98" s="234"/>
      <c r="DF98" s="234"/>
      <c r="DG98" s="234"/>
      <c r="DH98" s="234"/>
      <c r="DI98" s="234"/>
      <c r="DJ98" s="234"/>
      <c r="DK98" s="234"/>
      <c r="DL98" s="234"/>
      <c r="DM98" s="234"/>
      <c r="DN98" s="234"/>
      <c r="DO98" s="234"/>
      <c r="DP98" s="234"/>
      <c r="DQ98" s="234"/>
      <c r="DR98" s="234"/>
      <c r="DS98" s="234"/>
      <c r="DT98" s="234"/>
    </row>
    <row r="99" spans="1:124" s="231" customFormat="1" ht="16.5" customHeight="1" thickBot="1" x14ac:dyDescent="0.3">
      <c r="A99" s="232"/>
      <c r="B99" s="250"/>
      <c r="C99" s="232"/>
      <c r="D99" s="232"/>
      <c r="E99" s="251"/>
      <c r="F99" s="250"/>
      <c r="G99" s="250"/>
      <c r="H99" s="250"/>
      <c r="I99" s="120"/>
      <c r="J99" s="250"/>
      <c r="K99" s="250"/>
      <c r="L99" s="120"/>
      <c r="M99" s="250"/>
      <c r="N99" s="250"/>
      <c r="O99" s="120"/>
      <c r="P99" s="250"/>
      <c r="Q99" s="250"/>
      <c r="R99" s="250"/>
      <c r="S99" s="250"/>
      <c r="T99" s="250"/>
      <c r="U99" s="250"/>
      <c r="V99" s="250"/>
      <c r="W99" s="250"/>
      <c r="X99" s="236"/>
      <c r="Y99" s="236"/>
      <c r="Z99" s="236"/>
      <c r="AA99" s="236"/>
      <c r="AB99" s="236"/>
      <c r="AC99" s="233"/>
      <c r="AD99" s="264"/>
      <c r="AE99" s="233"/>
      <c r="AF99" s="233"/>
      <c r="AG99" s="233"/>
      <c r="AH99" s="233"/>
      <c r="AI99" s="233"/>
      <c r="AJ99" s="233"/>
      <c r="AK99" s="233"/>
      <c r="AL99" s="233"/>
      <c r="AM99" s="233"/>
      <c r="AN99" s="233"/>
      <c r="AO99" s="233"/>
      <c r="AP99" s="233"/>
      <c r="AQ99" s="233"/>
      <c r="AR99" s="233"/>
      <c r="AS99" s="233"/>
      <c r="AT99" s="233"/>
      <c r="AU99" s="233"/>
      <c r="AV99" s="233"/>
      <c r="AW99" s="233"/>
      <c r="AX99" s="233"/>
      <c r="AY99" s="234"/>
      <c r="AZ99" s="437"/>
      <c r="BA99" s="439" t="s">
        <v>1459</v>
      </c>
      <c r="BB99" s="417" t="e">
        <f>BB92*1000/'Indata byggnad och BBR krav'!$C$16*'Indata byggnad och BBR krav'!$C$38*BB97</f>
        <v>#DIV/0!</v>
      </c>
      <c r="BC99" s="417" t="e">
        <f>BC92*1000/'Indata byggnad och BBR krav'!$C$16*'Indata byggnad och BBR krav'!$C$38*BC97</f>
        <v>#DIV/0!</v>
      </c>
      <c r="BD99" s="418" t="e">
        <f t="shared" ref="BD99:BD100" si="206">BB99+BC99</f>
        <v>#DIV/0!</v>
      </c>
      <c r="BE99" s="234"/>
      <c r="BF99" s="234"/>
      <c r="BG99" s="234"/>
      <c r="BH99" s="234"/>
      <c r="BI99" s="234"/>
      <c r="BJ99" s="437"/>
      <c r="BK99" s="439" t="s">
        <v>1459</v>
      </c>
      <c r="BL99" s="417" t="e">
        <f>BL91*1000/'Indata byggnad och BBR krav'!$C$16*'Indata byggnad och BBR krav'!$C$38*BL97</f>
        <v>#DIV/0!</v>
      </c>
      <c r="BM99" s="417" t="e">
        <f>BM91*1000/'Indata byggnad och BBR krav'!$C$16*'Indata byggnad och BBR krav'!$C$38*BM97</f>
        <v>#DIV/0!</v>
      </c>
      <c r="BN99" s="418" t="e">
        <f t="shared" ref="BN99:BN100" si="207">BL99+BM99</f>
        <v>#DIV/0!</v>
      </c>
      <c r="BO99" s="234"/>
      <c r="BP99" s="234"/>
      <c r="BQ99" s="31"/>
      <c r="BR99" s="234"/>
      <c r="BS99" s="31"/>
      <c r="BT99" s="31"/>
      <c r="BU99" s="31"/>
      <c r="BV99" s="31"/>
      <c r="BW99" s="31"/>
      <c r="BX99" s="31"/>
      <c r="BY99" s="31"/>
      <c r="BZ99" s="234"/>
      <c r="CA99" s="234"/>
      <c r="CB99" s="234"/>
      <c r="CC99" s="234"/>
      <c r="CD99" s="234"/>
      <c r="CE99" s="234"/>
      <c r="CF99" s="234"/>
      <c r="CG99" s="234"/>
      <c r="CH99" s="234"/>
      <c r="CI99" s="234"/>
      <c r="CJ99" s="234"/>
      <c r="CK99" s="234"/>
      <c r="CL99" s="234"/>
      <c r="CM99" s="234"/>
      <c r="CN99" s="234"/>
      <c r="CO99" s="234"/>
      <c r="CP99" s="234"/>
      <c r="CQ99" s="234"/>
      <c r="CR99" s="234"/>
      <c r="CS99" s="234"/>
      <c r="CT99" s="234"/>
      <c r="CU99" s="234"/>
      <c r="CV99" s="234"/>
      <c r="CW99" s="234"/>
      <c r="CX99" s="234"/>
      <c r="CY99" s="31"/>
      <c r="CZ99" s="234"/>
      <c r="DA99" s="234"/>
      <c r="DB99" s="234"/>
      <c r="DC99" s="234"/>
      <c r="DD99" s="234"/>
      <c r="DE99" s="234"/>
      <c r="DF99" s="234"/>
      <c r="DG99" s="234"/>
      <c r="DH99" s="234"/>
      <c r="DI99" s="234"/>
      <c r="DJ99" s="234"/>
      <c r="DK99" s="234"/>
      <c r="DL99" s="234"/>
      <c r="DM99" s="234"/>
      <c r="DN99" s="234"/>
      <c r="DO99" s="234"/>
      <c r="DP99" s="234"/>
      <c r="DQ99" s="234"/>
      <c r="DR99" s="234"/>
      <c r="DS99" s="234"/>
      <c r="DT99" s="234"/>
    </row>
    <row r="100" spans="1:124" s="231" customFormat="1" ht="16.5" customHeight="1" thickBot="1" x14ac:dyDescent="0.3">
      <c r="A100" s="232"/>
      <c r="B100" s="382">
        <v>4</v>
      </c>
      <c r="C100" s="383" t="s">
        <v>1348</v>
      </c>
      <c r="D100" s="384"/>
      <c r="E100" s="385"/>
      <c r="F100" s="384"/>
      <c r="G100" s="384"/>
      <c r="H100" s="384"/>
      <c r="I100" s="384"/>
      <c r="J100" s="384"/>
      <c r="K100" s="384"/>
      <c r="L100" s="384"/>
      <c r="M100" s="385"/>
      <c r="N100" s="385"/>
      <c r="O100" s="385"/>
      <c r="P100" s="385"/>
      <c r="Q100" s="385"/>
      <c r="R100" s="385"/>
      <c r="S100" s="385"/>
      <c r="T100" s="385"/>
      <c r="U100" s="385"/>
      <c r="V100" s="385"/>
      <c r="W100" s="386"/>
      <c r="X100" s="233"/>
      <c r="Y100" s="242" t="s">
        <v>1389</v>
      </c>
      <c r="Z100" s="233"/>
      <c r="AA100" s="233"/>
      <c r="AB100" s="233"/>
      <c r="AC100" s="233"/>
      <c r="AD100" s="264"/>
      <c r="AE100" s="233"/>
      <c r="AF100" s="242" t="s">
        <v>1277</v>
      </c>
      <c r="AG100" s="233"/>
      <c r="AH100" s="233"/>
      <c r="AI100" s="233"/>
      <c r="AJ100" s="233"/>
      <c r="AK100" s="233"/>
      <c r="AL100" s="233"/>
      <c r="AM100" s="179" t="s">
        <v>1388</v>
      </c>
      <c r="AN100" s="233"/>
      <c r="AO100" s="233"/>
      <c r="AP100" s="233"/>
      <c r="AQ100" s="233"/>
      <c r="AR100" s="233"/>
      <c r="AS100" s="233"/>
      <c r="AT100" s="233"/>
      <c r="AU100" s="233"/>
      <c r="AV100" s="233"/>
      <c r="AW100" s="233"/>
      <c r="AX100" s="233"/>
      <c r="AY100" s="234"/>
      <c r="AZ100" s="437"/>
      <c r="BA100" s="439" t="s">
        <v>1460</v>
      </c>
      <c r="BB100" s="419" t="e">
        <f>BB98/50</f>
        <v>#DIV/0!</v>
      </c>
      <c r="BC100" s="419" t="e">
        <f>BC98/50</f>
        <v>#DIV/0!</v>
      </c>
      <c r="BD100" s="420" t="e">
        <f t="shared" si="206"/>
        <v>#DIV/0!</v>
      </c>
      <c r="BE100" s="234"/>
      <c r="BF100" s="234"/>
      <c r="BG100" s="234"/>
      <c r="BH100" s="234"/>
      <c r="BI100" s="234"/>
      <c r="BJ100" s="437"/>
      <c r="BK100" s="439" t="s">
        <v>1460</v>
      </c>
      <c r="BL100" s="419" t="e">
        <f>BL98/50</f>
        <v>#DIV/0!</v>
      </c>
      <c r="BM100" s="419" t="e">
        <f>BM98/50</f>
        <v>#DIV/0!</v>
      </c>
      <c r="BN100" s="420" t="e">
        <f t="shared" si="207"/>
        <v>#DIV/0!</v>
      </c>
      <c r="BO100" s="234"/>
      <c r="BP100" s="234"/>
      <c r="BQ100" s="234"/>
      <c r="BR100" s="234"/>
      <c r="BS100" s="234"/>
      <c r="BT100" s="234"/>
      <c r="BU100" s="234"/>
      <c r="BV100" s="234"/>
      <c r="BW100" s="234"/>
      <c r="BX100" s="234"/>
      <c r="BY100" s="234"/>
      <c r="BZ100" s="234"/>
      <c r="CA100" s="234"/>
      <c r="CB100" s="234"/>
      <c r="CC100" s="234"/>
      <c r="CD100" s="234"/>
      <c r="CE100" s="234"/>
      <c r="CF100" s="234"/>
      <c r="CG100" s="234"/>
      <c r="CH100" s="234"/>
      <c r="CI100" s="234"/>
      <c r="CJ100" s="234"/>
      <c r="CK100" s="234"/>
      <c r="CL100" s="234"/>
      <c r="CM100" s="234"/>
      <c r="CN100" s="234"/>
      <c r="CO100" s="234"/>
      <c r="CP100" s="234"/>
      <c r="CQ100" s="234"/>
      <c r="CR100" s="234"/>
      <c r="CS100" s="234"/>
      <c r="CT100" s="234"/>
      <c r="CU100" s="234"/>
      <c r="CV100" s="234"/>
      <c r="CW100" s="234"/>
      <c r="CX100" s="234"/>
      <c r="CY100" s="31"/>
      <c r="CZ100" s="234"/>
      <c r="DA100" s="234"/>
      <c r="DB100" s="234"/>
      <c r="DC100" s="234"/>
      <c r="DD100" s="234"/>
      <c r="DE100" s="234"/>
      <c r="DF100" s="234"/>
      <c r="DG100" s="234"/>
      <c r="DH100" s="234"/>
      <c r="DI100" s="234"/>
      <c r="DJ100" s="234"/>
      <c r="DK100" s="234"/>
      <c r="DL100" s="234"/>
      <c r="DM100" s="234"/>
      <c r="DN100" s="234"/>
      <c r="DO100" s="234"/>
      <c r="DP100" s="234"/>
      <c r="DQ100" s="234"/>
      <c r="DR100" s="234"/>
      <c r="DS100" s="234"/>
      <c r="DT100" s="234"/>
    </row>
    <row r="101" spans="1:124" s="231" customFormat="1" ht="16.5" customHeight="1" x14ac:dyDescent="0.25">
      <c r="A101" s="232"/>
      <c r="X101" s="233"/>
      <c r="Y101" s="244" t="s">
        <v>1276</v>
      </c>
      <c r="Z101" s="233"/>
      <c r="AA101" s="233"/>
      <c r="AB101" s="233"/>
      <c r="AC101" s="233"/>
      <c r="AD101" s="180" t="s">
        <v>1080</v>
      </c>
      <c r="AE101" s="233"/>
      <c r="AF101" s="244" t="s">
        <v>1187</v>
      </c>
      <c r="AG101" s="233"/>
      <c r="AH101" s="233"/>
      <c r="AI101" s="233"/>
      <c r="AJ101" s="233"/>
      <c r="AK101" s="233"/>
      <c r="AL101" s="233"/>
      <c r="AM101" s="233" t="s">
        <v>1390</v>
      </c>
      <c r="AN101" s="233"/>
      <c r="AO101" s="233"/>
      <c r="AP101" s="233"/>
      <c r="AQ101" s="233"/>
      <c r="AR101" s="233"/>
      <c r="AS101" s="233"/>
      <c r="AT101" s="233"/>
      <c r="AU101" s="233"/>
      <c r="AV101" s="233"/>
      <c r="AW101" s="233"/>
      <c r="AX101" s="233"/>
      <c r="AY101" s="234"/>
      <c r="AZ101" s="234"/>
      <c r="BA101" s="234"/>
      <c r="BB101" s="234"/>
      <c r="BC101" s="234"/>
      <c r="BD101" s="234"/>
      <c r="BE101" s="234"/>
      <c r="BF101" s="234"/>
      <c r="BG101" s="234"/>
      <c r="BH101" s="234"/>
      <c r="BI101" s="234"/>
      <c r="BJ101" s="234"/>
      <c r="BK101" s="234"/>
      <c r="BL101" s="234"/>
      <c r="BM101" s="234"/>
      <c r="BN101" s="31"/>
      <c r="BO101" s="234"/>
      <c r="BP101" s="234"/>
      <c r="BQ101" s="234"/>
      <c r="BR101" s="234"/>
      <c r="BS101" s="234"/>
      <c r="BT101" s="234"/>
      <c r="BU101" s="234"/>
      <c r="BV101" s="234"/>
      <c r="BW101" s="234"/>
      <c r="BX101" s="234"/>
      <c r="BY101" s="234"/>
      <c r="BZ101" s="234"/>
      <c r="CA101" s="234"/>
      <c r="CB101" s="234"/>
      <c r="CC101" s="234"/>
      <c r="CD101" s="234"/>
      <c r="CE101" s="234"/>
      <c r="CF101" s="234"/>
      <c r="CG101" s="234"/>
      <c r="CH101" s="234"/>
      <c r="CI101" s="234"/>
      <c r="CJ101" s="234"/>
      <c r="CK101" s="234"/>
      <c r="CL101" s="234"/>
      <c r="CM101" s="234"/>
      <c r="CN101" s="234"/>
      <c r="CO101" s="234"/>
      <c r="CP101" s="234"/>
      <c r="CQ101" s="234"/>
      <c r="CR101" s="234"/>
      <c r="CS101" s="234"/>
      <c r="CT101" s="234"/>
      <c r="CU101" s="234"/>
      <c r="CV101" s="234"/>
      <c r="CW101" s="234"/>
      <c r="CX101" s="234"/>
      <c r="CY101" s="31"/>
      <c r="CZ101" s="234"/>
      <c r="DA101" s="234"/>
      <c r="DB101" s="234"/>
      <c r="DC101" s="234"/>
      <c r="DD101" s="234"/>
      <c r="DE101" s="234"/>
      <c r="DF101" s="234"/>
      <c r="DG101" s="234"/>
      <c r="DH101" s="234"/>
      <c r="DI101" s="234"/>
      <c r="DJ101" s="234"/>
      <c r="DK101" s="234"/>
      <c r="DL101" s="234"/>
      <c r="DM101" s="234"/>
      <c r="DN101" s="234"/>
      <c r="DO101" s="234"/>
      <c r="DP101" s="234"/>
      <c r="DQ101" s="234"/>
      <c r="DR101" s="234"/>
      <c r="DS101" s="234"/>
      <c r="DT101" s="234"/>
    </row>
    <row r="102" spans="1:124" s="231" customFormat="1" ht="16.5" customHeight="1" x14ac:dyDescent="0.25">
      <c r="A102" s="232"/>
      <c r="B102" s="232"/>
      <c r="C102" s="232"/>
      <c r="D102" s="232"/>
      <c r="E102" s="232"/>
      <c r="F102" s="505" t="s">
        <v>1138</v>
      </c>
      <c r="G102" s="505"/>
      <c r="H102" s="232"/>
      <c r="I102" s="238" t="s">
        <v>1047</v>
      </c>
      <c r="J102" s="232"/>
      <c r="K102" s="232"/>
      <c r="L102" s="238" t="s">
        <v>1048</v>
      </c>
      <c r="M102" s="232"/>
      <c r="N102" s="232"/>
      <c r="O102" s="238" t="s">
        <v>1049</v>
      </c>
      <c r="P102" s="232"/>
      <c r="Q102" s="232"/>
      <c r="R102" s="232"/>
      <c r="S102" s="232"/>
      <c r="T102" s="232"/>
      <c r="U102" s="232"/>
      <c r="V102" s="232"/>
      <c r="W102" s="232"/>
      <c r="X102" s="245" t="s">
        <v>1093</v>
      </c>
      <c r="Y102" s="56" t="str">
        <f>IF($J$104=$Y$103,J103,"")</f>
        <v>El</v>
      </c>
      <c r="Z102" s="56" t="str">
        <f>IF($M$104=$Y$103,M103,"")</f>
        <v/>
      </c>
      <c r="AA102" s="56" t="str">
        <f>IF($P$104=$Y$103,P103,"")</f>
        <v/>
      </c>
      <c r="AB102" s="245"/>
      <c r="AC102" s="233"/>
      <c r="AD102" s="273" t="s">
        <v>1301</v>
      </c>
      <c r="AE102" s="245" t="s">
        <v>1093</v>
      </c>
      <c r="AF102" s="56" t="str">
        <f>Y102</f>
        <v>El</v>
      </c>
      <c r="AG102" s="56" t="str">
        <f>Z102</f>
        <v/>
      </c>
      <c r="AH102" s="56" t="str">
        <f>AA102</f>
        <v/>
      </c>
      <c r="AI102" s="245"/>
      <c r="AJ102" s="233"/>
      <c r="AK102" s="233"/>
      <c r="AL102" s="233"/>
      <c r="AM102" s="179"/>
      <c r="AN102" s="233"/>
      <c r="AO102" s="233"/>
      <c r="AP102" s="233"/>
      <c r="AQ102" s="233"/>
      <c r="AR102" s="233"/>
      <c r="AS102" s="233"/>
      <c r="AT102" s="233"/>
      <c r="AU102" s="233"/>
      <c r="AV102" s="233"/>
      <c r="AW102" s="233"/>
      <c r="AX102" s="233"/>
      <c r="AY102" s="234"/>
      <c r="AZ102" s="234"/>
      <c r="BA102" s="234"/>
      <c r="BB102" s="290" t="s">
        <v>1392</v>
      </c>
      <c r="BC102" s="234"/>
      <c r="BD102" s="234"/>
      <c r="BE102" s="234"/>
      <c r="BF102" s="234"/>
      <c r="BG102" s="234"/>
      <c r="BH102" s="234"/>
      <c r="BI102" s="234"/>
      <c r="BJ102" s="234"/>
      <c r="BK102" s="234"/>
      <c r="BL102" s="290" t="s">
        <v>1393</v>
      </c>
      <c r="BM102" s="234"/>
      <c r="BN102" s="234"/>
      <c r="BO102" s="234"/>
      <c r="BP102" s="234"/>
      <c r="BQ102" s="234"/>
      <c r="BR102" s="234"/>
      <c r="BS102" s="234"/>
      <c r="BT102" s="234"/>
      <c r="BU102" s="234"/>
      <c r="BV102" s="234"/>
      <c r="BW102" s="234"/>
      <c r="BX102" s="234"/>
      <c r="BY102" s="234"/>
      <c r="BZ102" s="234"/>
      <c r="CA102" s="234"/>
      <c r="CB102" s="234"/>
      <c r="CC102" s="234"/>
      <c r="CD102" s="234"/>
      <c r="CE102" s="234"/>
      <c r="CF102" s="234"/>
      <c r="CG102" s="234"/>
      <c r="CH102" s="234"/>
      <c r="CI102" s="234"/>
      <c r="CJ102" s="234"/>
      <c r="CK102" s="234"/>
      <c r="CL102" s="234"/>
      <c r="CM102" s="234"/>
      <c r="CN102" s="234"/>
      <c r="CO102" s="234"/>
      <c r="CP102" s="234"/>
      <c r="CQ102" s="234"/>
      <c r="CR102" s="234"/>
      <c r="CS102" s="234"/>
      <c r="CT102" s="234"/>
      <c r="CU102" s="234"/>
      <c r="CV102" s="234"/>
      <c r="CW102" s="234"/>
      <c r="CX102" s="234"/>
      <c r="CY102" s="31"/>
      <c r="CZ102" s="234"/>
      <c r="DA102" s="234"/>
      <c r="DB102" s="234"/>
      <c r="DC102" s="234"/>
      <c r="DD102" s="234"/>
      <c r="DE102" s="234"/>
      <c r="DF102" s="234"/>
      <c r="DG102" s="234"/>
      <c r="DH102" s="234"/>
      <c r="DI102" s="234"/>
      <c r="DJ102" s="234"/>
      <c r="DK102" s="234"/>
      <c r="DL102" s="234"/>
      <c r="DM102" s="234"/>
      <c r="DN102" s="234"/>
      <c r="DO102" s="234"/>
      <c r="DP102" s="234"/>
      <c r="DQ102" s="234"/>
      <c r="DR102" s="234"/>
      <c r="DS102" s="234"/>
      <c r="DT102" s="234"/>
    </row>
    <row r="103" spans="1:124" s="231" customFormat="1" ht="16.5" customHeight="1" x14ac:dyDescent="0.25">
      <c r="A103" s="232"/>
      <c r="B103" s="232"/>
      <c r="C103" s="53" t="s">
        <v>1050</v>
      </c>
      <c r="D103" s="368">
        <v>1</v>
      </c>
      <c r="E103" s="232"/>
      <c r="F103" s="54" t="s">
        <v>9</v>
      </c>
      <c r="G103" s="375">
        <f>$G$14</f>
        <v>2017</v>
      </c>
      <c r="H103" s="37"/>
      <c r="I103" s="55" t="s">
        <v>1209</v>
      </c>
      <c r="J103" s="368" t="s">
        <v>1085</v>
      </c>
      <c r="K103" s="37"/>
      <c r="L103" s="55" t="s">
        <v>1209</v>
      </c>
      <c r="M103" s="368" t="s">
        <v>1085</v>
      </c>
      <c r="N103" s="37"/>
      <c r="O103" s="55" t="s">
        <v>1209</v>
      </c>
      <c r="P103" s="368" t="s">
        <v>1085</v>
      </c>
      <c r="Q103" s="37"/>
      <c r="R103" s="37"/>
      <c r="S103" s="37"/>
      <c r="T103" s="37"/>
      <c r="U103" s="37"/>
      <c r="V103" s="37"/>
      <c r="W103" s="232"/>
      <c r="X103" s="245"/>
      <c r="Y103" s="267" t="s">
        <v>1091</v>
      </c>
      <c r="Z103" s="267"/>
      <c r="AA103" s="267"/>
      <c r="AB103" s="267"/>
      <c r="AC103" s="233"/>
      <c r="AD103" s="273" t="s">
        <v>1391</v>
      </c>
      <c r="AE103" s="245"/>
      <c r="AF103" s="267" t="s">
        <v>1091</v>
      </c>
      <c r="AG103" s="267"/>
      <c r="AH103" s="267"/>
      <c r="AI103" s="267"/>
      <c r="AJ103" s="233"/>
      <c r="AK103" s="233"/>
      <c r="AL103" s="233"/>
      <c r="AM103" s="233"/>
      <c r="AN103" s="233"/>
      <c r="AO103" s="253" t="s">
        <v>1080</v>
      </c>
      <c r="AP103" s="233"/>
      <c r="AQ103" s="233"/>
      <c r="AR103" s="233"/>
      <c r="AS103" s="233"/>
      <c r="AT103" s="233"/>
      <c r="AU103" s="233"/>
      <c r="AV103" s="233"/>
      <c r="AW103" s="233"/>
      <c r="AX103" s="233"/>
      <c r="AY103" s="234"/>
      <c r="AZ103" s="234"/>
      <c r="BA103" s="234"/>
      <c r="BB103" s="38" t="s">
        <v>1158</v>
      </c>
      <c r="BC103" s="234"/>
      <c r="BD103" s="234"/>
      <c r="BE103" s="234"/>
      <c r="BF103" s="234"/>
      <c r="BG103" s="234"/>
      <c r="BH103" s="234"/>
      <c r="BI103" s="234"/>
      <c r="BJ103" s="234"/>
      <c r="BK103" s="234"/>
      <c r="BL103" s="38" t="s">
        <v>1158</v>
      </c>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31"/>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row>
    <row r="104" spans="1:124" s="231" customFormat="1" ht="16.5" customHeight="1" x14ac:dyDescent="0.25">
      <c r="A104" s="232"/>
      <c r="B104" s="232"/>
      <c r="E104" s="232"/>
      <c r="F104" s="54" t="s">
        <v>19</v>
      </c>
      <c r="G104" s="375" t="str">
        <f>$G$15</f>
        <v>jan</v>
      </c>
      <c r="H104" s="37"/>
      <c r="I104" s="55" t="s">
        <v>1139</v>
      </c>
      <c r="J104" s="368" t="s">
        <v>1091</v>
      </c>
      <c r="K104" s="37"/>
      <c r="L104" s="55" t="s">
        <v>1139</v>
      </c>
      <c r="M104" s="368" t="s">
        <v>1080</v>
      </c>
      <c r="N104" s="37"/>
      <c r="O104" s="55" t="s">
        <v>1139</v>
      </c>
      <c r="P104" s="368" t="s">
        <v>1080</v>
      </c>
      <c r="Q104" s="37"/>
      <c r="R104" s="37"/>
      <c r="S104" s="37"/>
      <c r="T104" s="37"/>
      <c r="U104" s="37"/>
      <c r="V104" s="37"/>
      <c r="W104" s="232"/>
      <c r="X104" s="245" t="s">
        <v>1093</v>
      </c>
      <c r="Y104" s="56" t="str">
        <f>Y102</f>
        <v>El</v>
      </c>
      <c r="Z104" s="56" t="str">
        <f>IF($Z$102&lt;&gt;$Y$102,Z102,"")</f>
        <v/>
      </c>
      <c r="AA104" s="56" t="str">
        <f>IF(AND($AA$102&lt;&gt;$Z$102,$AA$102&lt;&gt;$Y$102),AA102,"")</f>
        <v/>
      </c>
      <c r="AB104" s="56" t="s">
        <v>1094</v>
      </c>
      <c r="AC104" s="233"/>
      <c r="AD104" s="56" t="s">
        <v>1075</v>
      </c>
      <c r="AE104" s="245" t="s">
        <v>1093</v>
      </c>
      <c r="AF104" s="56" t="str">
        <f>Y104</f>
        <v>El</v>
      </c>
      <c r="AG104" s="56" t="str">
        <f>Z104</f>
        <v/>
      </c>
      <c r="AH104" s="56" t="str">
        <f>AA104</f>
        <v/>
      </c>
      <c r="AI104" s="56" t="s">
        <v>1278</v>
      </c>
      <c r="AJ104" s="56" t="s">
        <v>1094</v>
      </c>
      <c r="AK104" s="244" t="s">
        <v>1370</v>
      </c>
      <c r="AL104" s="233"/>
      <c r="AM104" s="56" t="s">
        <v>1179</v>
      </c>
      <c r="AN104" s="56" t="s">
        <v>1108</v>
      </c>
      <c r="AO104" s="56" t="s">
        <v>1075</v>
      </c>
      <c r="AP104" s="233"/>
      <c r="AQ104" s="233"/>
      <c r="AR104" s="233"/>
      <c r="AS104" s="233"/>
      <c r="AT104" s="233"/>
      <c r="AU104" s="233"/>
      <c r="AV104" s="233"/>
      <c r="AW104" s="233"/>
      <c r="AX104" s="233"/>
      <c r="AY104" s="234"/>
      <c r="AZ104" s="234"/>
      <c r="BA104" s="57" t="s">
        <v>1093</v>
      </c>
      <c r="BB104" s="52" t="str">
        <f>AF104</f>
        <v>El</v>
      </c>
      <c r="BC104" s="52" t="str">
        <f>AG104</f>
        <v/>
      </c>
      <c r="BD104" s="52" t="str">
        <f>AH104</f>
        <v/>
      </c>
      <c r="BE104" s="234"/>
      <c r="BF104" s="234"/>
      <c r="BG104" s="234"/>
      <c r="BH104" s="234"/>
      <c r="BI104" s="234"/>
      <c r="BJ104" s="234"/>
      <c r="BK104" s="57" t="s">
        <v>1093</v>
      </c>
      <c r="BL104" s="52" t="str">
        <f>AF104</f>
        <v>El</v>
      </c>
      <c r="BM104" s="52" t="str">
        <f>AG104</f>
        <v/>
      </c>
      <c r="BN104" s="52" t="str">
        <f>AH104</f>
        <v/>
      </c>
      <c r="BO104" s="234"/>
      <c r="BP104" s="234"/>
      <c r="BQ104" s="234"/>
      <c r="BR104" s="234"/>
      <c r="BS104" s="234"/>
      <c r="BT104" s="234"/>
      <c r="BU104" s="234"/>
      <c r="BV104" s="234"/>
      <c r="BW104" s="234"/>
      <c r="BX104" s="234"/>
      <c r="BY104" s="234"/>
      <c r="BZ104" s="234"/>
      <c r="CA104" s="234"/>
      <c r="CB104" s="234"/>
      <c r="CC104" s="234"/>
      <c r="CD104" s="234"/>
      <c r="CE104" s="234"/>
      <c r="CF104" s="234"/>
      <c r="CG104" s="234"/>
      <c r="CH104" s="234"/>
      <c r="CI104" s="234"/>
      <c r="CJ104" s="234"/>
      <c r="CK104" s="234"/>
      <c r="CL104" s="234"/>
      <c r="CM104" s="234"/>
      <c r="CN104" s="234"/>
      <c r="CO104" s="234"/>
      <c r="CP104" s="234"/>
      <c r="CQ104" s="234"/>
      <c r="CR104" s="234"/>
      <c r="CS104" s="234"/>
      <c r="CT104" s="234"/>
      <c r="CU104" s="234"/>
      <c r="CV104" s="234"/>
      <c r="CW104" s="234"/>
      <c r="CX104" s="234"/>
      <c r="CY104" s="31"/>
      <c r="CZ104" s="234"/>
      <c r="DA104" s="234"/>
      <c r="DB104" s="234"/>
      <c r="DC104" s="234"/>
      <c r="DD104" s="234"/>
      <c r="DE104" s="234"/>
      <c r="DF104" s="234"/>
      <c r="DG104" s="234"/>
      <c r="DH104" s="234"/>
      <c r="DI104" s="234"/>
      <c r="DJ104" s="234"/>
      <c r="DK104" s="234"/>
      <c r="DL104" s="234"/>
      <c r="DM104" s="234"/>
      <c r="DN104" s="234"/>
      <c r="DO104" s="234"/>
      <c r="DP104" s="234"/>
      <c r="DQ104" s="234"/>
      <c r="DR104" s="234"/>
      <c r="DS104" s="234"/>
      <c r="DT104" s="234"/>
    </row>
    <row r="105" spans="1:124" s="231" customFormat="1" ht="16.5" customHeight="1" x14ac:dyDescent="0.25">
      <c r="A105" s="232"/>
      <c r="B105" s="232"/>
      <c r="C105" s="268" t="s">
        <v>1263</v>
      </c>
      <c r="D105" s="368" t="s">
        <v>1252</v>
      </c>
      <c r="E105" s="232"/>
      <c r="F105" s="93"/>
      <c r="G105" s="93"/>
      <c r="H105" s="37"/>
      <c r="W105" s="232"/>
      <c r="X105" s="233"/>
      <c r="Y105" s="252">
        <f>IF(AND(J$104=$Y$103, $J$103=$Y$104),I108,0)+IF(AND($M$104=$Y$103, $M$103=$Y$104),L108,0)+IF(AND($P$104=$Y$103, $P$103=$Y$104),O108,0)</f>
        <v>0</v>
      </c>
      <c r="Z105" s="252">
        <f t="shared" ref="Z105:Z116" si="208">IF(AND(J$104=$Y$103, $J$103=$Z$104),I108,0)+IF(AND($M$104=$Y$103, $M$103=$Z$104),L108,0)+IF(AND($P$104=$Y$103, $P$103=$Z$104),O108,0)</f>
        <v>0</v>
      </c>
      <c r="AA105" s="252">
        <f>IF(AND(J$104=$Y$103, $J$103=$AA$104),I108,0)+IF(AND($M$104=$Y$103, $M$103=$AA$104),L108,0)+IF(AND($P$104=$Y$103, $P$103=$AA$104),O108,0)</f>
        <v>0</v>
      </c>
      <c r="AB105" s="252">
        <f>Y105+Z105+AA105</f>
        <v>0</v>
      </c>
      <c r="AC105" s="233"/>
      <c r="AD105" s="252">
        <f>IF(AND('Indata byggnad och BBR krav'!$C$17&gt;0,$D$107="Mäts separat"),(IF($J$104=$AD$101,I108,0)+IF($M$104=$AD$101,L108,0)+IF($P$104=$AD$101,O108,0)),0)</f>
        <v>0</v>
      </c>
      <c r="AE105" s="233"/>
      <c r="AF105" s="252">
        <f>IF(AND($AF$104="El",$D$107="Ingår i mätdata fastighetsel"),Y105-AO105,Y105)</f>
        <v>0</v>
      </c>
      <c r="AG105" s="252">
        <f t="shared" ref="AG105:AG116" si="209">IF(AND($AG$104="El",$D$107="Ingår i mätdata fastighetsel"),Z105-AO105,Z105)</f>
        <v>0</v>
      </c>
      <c r="AH105" s="252">
        <f t="shared" ref="AH105:AH116" si="210">IF(AND($AH$104="El",$D$107="Ingår i mätdata fastighetsel"),AA105-AO105,AA105)</f>
        <v>0</v>
      </c>
      <c r="AI105" s="259">
        <f>IF($AF$104="El",AF105-AA130,IF($AG$104="El",AG105-AA130,IF($AH$104="El",AH105-AA130)))</f>
        <v>0</v>
      </c>
      <c r="AJ105" s="307">
        <f>IF($AF$104="El",(AI105+AG105+AH105),IF($AG$104="El",(AF105+AH105+AI105),IF($AH$104="El",AF105+AG105+AI105)))</f>
        <v>0</v>
      </c>
      <c r="AK105" s="366" t="str">
        <f>IF((AF105)&lt;0,"Fel i indata","")</f>
        <v/>
      </c>
      <c r="AL105" s="362" t="str">
        <f>IF(AND(AK105="",AI105&lt;0),"Fel i indata","")</f>
        <v/>
      </c>
      <c r="AM105" s="56" t="str">
        <f t="shared" ref="AM105:AM116" ca="1" si="211">G108</f>
        <v>jan</v>
      </c>
      <c r="AN105" s="279">
        <f ca="1">VLOOKUP(AM105,$EW$2:$EY$13,3,FALSE)</f>
        <v>0.12906000000000001</v>
      </c>
      <c r="AO105" s="193" t="e">
        <f t="shared" ref="AO105:AO116" ca="1" si="212">IF($D$105="Finns",IF($D$107="Mäts separat",AD105,($D$110*AN105)),0)</f>
        <v>#DIV/0!</v>
      </c>
      <c r="AP105" s="233"/>
      <c r="AQ105" s="233"/>
      <c r="AR105" s="233"/>
      <c r="AS105" s="233"/>
      <c r="AT105" s="233"/>
      <c r="AU105" s="233"/>
      <c r="AV105" s="233"/>
      <c r="AW105" s="233"/>
      <c r="AX105" s="233"/>
      <c r="AY105" s="234"/>
      <c r="AZ105" s="234"/>
      <c r="BA105" s="57" t="s">
        <v>1286</v>
      </c>
      <c r="BB105" s="182">
        <f>IF(OR(BB104="Fjärrvärme",BB104="Biobränsle",BB104="Gas",BB104="Olja"),1,IF(BB104="El",1.6,""))</f>
        <v>1.6</v>
      </c>
      <c r="BC105" s="182" t="str">
        <f>IF(OR(BC104="Fjärrvärme",BC104="Biobränsle",BC104="Gas",BC104="Olja"),1,IF(BC104="El",1.6,""))</f>
        <v/>
      </c>
      <c r="BD105" s="182" t="str">
        <f>IF(OR(BD104="Fjärrvärme",BD104="Biobränsle",BD104="Gas",BD104="Olja"),1,IF(BD104="El",1.6,""))</f>
        <v/>
      </c>
      <c r="BE105" s="234"/>
      <c r="BF105" s="234"/>
      <c r="BG105" s="234"/>
      <c r="BH105" s="234"/>
      <c r="BI105" s="234"/>
      <c r="BJ105" s="234"/>
      <c r="BK105" s="57" t="s">
        <v>1286</v>
      </c>
      <c r="BL105" s="182">
        <f>IF(OR(BB104="Fjärrvärme",BB104="Biobränsle",BB104="Gas",BB104="Olja"),1,IF(BB104="El",1.6,""))</f>
        <v>1.6</v>
      </c>
      <c r="BM105" s="182" t="str">
        <f>IF(OR(BM104="Fjärrvärme",BM104="Biobränsle",BM104="Gas",BM104="Olja"),1,IF(BM104="El",1.6,""))</f>
        <v/>
      </c>
      <c r="BN105" s="182" t="str">
        <f>IF(OR(BN104="Fjärrvärme",BN104="Biobränsle",BN104="Gas",BN104="Olja"),1,IF(BN104="El",1.6,""))</f>
        <v/>
      </c>
      <c r="BO105" s="234"/>
      <c r="BP105" s="234"/>
      <c r="BQ105" s="234"/>
      <c r="BR105" s="234"/>
      <c r="BS105" s="234"/>
      <c r="BT105" s="58"/>
      <c r="BU105" s="58"/>
      <c r="BV105" s="58"/>
      <c r="BW105" s="58"/>
      <c r="BX105" s="58"/>
      <c r="BY105" s="58"/>
      <c r="BZ105" s="234"/>
      <c r="CA105" s="234"/>
      <c r="CB105" s="234"/>
      <c r="CC105" s="234"/>
      <c r="CD105" s="234"/>
      <c r="CE105" s="234"/>
      <c r="CF105" s="234"/>
      <c r="CG105" s="234"/>
      <c r="CH105" s="234"/>
      <c r="CI105" s="234"/>
      <c r="CJ105" s="234"/>
      <c r="CK105" s="234"/>
      <c r="CL105" s="234"/>
      <c r="CM105" s="234"/>
      <c r="CN105" s="234"/>
      <c r="CO105" s="234"/>
      <c r="CP105" s="234"/>
      <c r="CQ105" s="234"/>
      <c r="CR105" s="234"/>
      <c r="CS105" s="234"/>
      <c r="CT105" s="234"/>
      <c r="CU105" s="234"/>
      <c r="CV105" s="234"/>
      <c r="CW105" s="234"/>
      <c r="CX105" s="234"/>
      <c r="CY105" s="31"/>
      <c r="CZ105" s="234"/>
      <c r="DA105" s="234"/>
      <c r="DB105" s="234"/>
      <c r="DC105" s="234"/>
      <c r="DD105" s="234"/>
      <c r="DE105" s="234"/>
      <c r="DF105" s="234"/>
      <c r="DG105" s="234"/>
      <c r="DH105" s="234"/>
      <c r="DI105" s="234"/>
      <c r="DJ105" s="234"/>
      <c r="DK105" s="234"/>
      <c r="DL105" s="234"/>
      <c r="DM105" s="234"/>
      <c r="DN105" s="234"/>
      <c r="DO105" s="234"/>
      <c r="DP105" s="234"/>
      <c r="DQ105" s="234"/>
      <c r="DR105" s="234"/>
      <c r="DS105" s="234"/>
      <c r="DT105" s="234"/>
    </row>
    <row r="106" spans="1:124" s="231" customFormat="1" ht="16.5" customHeight="1" x14ac:dyDescent="0.25">
      <c r="A106" s="232"/>
      <c r="B106" s="232"/>
      <c r="E106" s="232"/>
      <c r="F106" s="289"/>
      <c r="G106" s="37"/>
      <c r="H106" s="37"/>
      <c r="I106" s="97"/>
      <c r="J106" s="66" t="s">
        <v>1132</v>
      </c>
      <c r="K106" s="66"/>
      <c r="L106" s="97"/>
      <c r="M106" s="66" t="s">
        <v>1132</v>
      </c>
      <c r="N106" s="66"/>
      <c r="O106" s="97"/>
      <c r="P106" s="66" t="s">
        <v>1132</v>
      </c>
      <c r="Q106" s="66"/>
      <c r="R106" s="66"/>
      <c r="S106" s="66"/>
      <c r="T106" s="66"/>
      <c r="U106" s="66"/>
      <c r="V106" s="66"/>
      <c r="W106" s="232"/>
      <c r="X106" s="233"/>
      <c r="Y106" s="252">
        <f t="shared" ref="Y106:Y116" si="213">IF(AND(J$104=$Y$103, $J$103=$Y$104),I109,0)+IF(AND($M$104=$Y$103, $M$103=$Y$104),L109,0)+IF(AND($P$104=$Y$103, $P$103=$Y$104),O109,0)</f>
        <v>0</v>
      </c>
      <c r="Z106" s="252">
        <f t="shared" si="208"/>
        <v>0</v>
      </c>
      <c r="AA106" s="252">
        <f t="shared" ref="AA106:AA116" si="214">IF(AND(J$104=$Y$103, $J$103=$AA$104),I109,0)+IF(AND($M$104=$Y$103, $M$103=$AA$104),L109,0)+IF(AND($P$104=$Y$103, $P$103=$AA$104),O109,0)</f>
        <v>0</v>
      </c>
      <c r="AB106" s="252">
        <f t="shared" ref="AB106:AB116" si="215">Y106+Z106+AA106</f>
        <v>0</v>
      </c>
      <c r="AC106" s="233"/>
      <c r="AD106" s="252">
        <f>IF(AND('Indata byggnad och BBR krav'!$C$17&gt;0,$D$107="Mäts separat"),(IF($J$104=$AD$101,I109,0)+IF($M$104=$AD$101,L109,0)+IF($P$104=$AD$101,O109,0)),0)</f>
        <v>0</v>
      </c>
      <c r="AE106" s="233"/>
      <c r="AF106" s="252">
        <f t="shared" ref="AF106:AF116" si="216">IF(AND($AF$104="El",$D$107="Ingår i mätdata fastighetsel"),Y106-AO106,Y106)</f>
        <v>0</v>
      </c>
      <c r="AG106" s="252">
        <f t="shared" si="209"/>
        <v>0</v>
      </c>
      <c r="AH106" s="252">
        <f t="shared" si="210"/>
        <v>0</v>
      </c>
      <c r="AI106" s="259">
        <f t="shared" ref="AI106:AI116" si="217">IF($AF$104="El",AF106-AA131,IF($AG$104="El",AG106-AA131,IF($AH$104="El",AH106-AA131)))</f>
        <v>0</v>
      </c>
      <c r="AJ106" s="307">
        <f t="shared" ref="AJ106:AJ116" si="218">IF($AF$104="El",(AI106+AG106+AH106),IF($AG$104="El",(AF106+AH106+AI106),IF($AH$104="El",AF106+AG106+AI106)))</f>
        <v>0</v>
      </c>
      <c r="AK106" s="366" t="str">
        <f t="shared" ref="AK106:AK116" si="219">IF((AF106)&lt;0,"Fel i indata","")</f>
        <v/>
      </c>
      <c r="AL106" s="362" t="str">
        <f t="shared" ref="AL106:AL116" si="220">IF(AND(AK106="",AI106&lt;0),"Fel i indata","")</f>
        <v/>
      </c>
      <c r="AM106" s="56" t="str">
        <f t="shared" ca="1" si="211"/>
        <v>feb</v>
      </c>
      <c r="AN106" s="279">
        <f t="shared" ref="AN106:AN116" ca="1" si="221">VLOOKUP(AM106,$EW$2:$EY$13,3,FALSE)</f>
        <v>0.11473999999999999</v>
      </c>
      <c r="AO106" s="193" t="e">
        <f t="shared" ca="1" si="212"/>
        <v>#DIV/0!</v>
      </c>
      <c r="AP106" s="233"/>
      <c r="AQ106" s="233"/>
      <c r="AR106" s="233"/>
      <c r="AS106" s="233"/>
      <c r="AT106" s="233"/>
      <c r="AU106" s="233"/>
      <c r="AV106" s="233"/>
      <c r="AW106" s="233"/>
      <c r="AX106" s="233"/>
      <c r="AY106" s="234"/>
      <c r="AZ106" s="234"/>
      <c r="BA106" s="57" t="s">
        <v>1287</v>
      </c>
      <c r="BB106" s="52">
        <f>IF(OR(BB104="El",BB104="Gas",BB104="Olja"),1.8,IF(BB104="Fjärrvärme",0.7,IF(BB104="Biobränsle",0.6,"")))</f>
        <v>1.8</v>
      </c>
      <c r="BC106" s="52" t="str">
        <f>IF(OR(BC104="El",BC104="Gas",BC104="Olja"),1.8,IF(BC104="Fjärrvärme",0.7,IF(BC104="Biobränsle",0.6,"")))</f>
        <v/>
      </c>
      <c r="BD106" s="52" t="str">
        <f>IF(OR(BD104="El",BD104="Gas",BD104="Olja"),1.8,IF(BD104="Fjärrvärme",0.7,IF(BD104="Biobränsle",0.6,"")))</f>
        <v/>
      </c>
      <c r="BE106" s="178"/>
      <c r="BF106" s="234"/>
      <c r="BG106" s="234"/>
      <c r="BH106" s="234"/>
      <c r="BI106" s="234"/>
      <c r="BJ106" s="234"/>
      <c r="BK106" s="57" t="s">
        <v>1287</v>
      </c>
      <c r="BL106" s="52">
        <f>IF(OR(BB104="El",BB104="Gas",BB104="Olja"),1.8,IF(BB104="Fjärrvärme",0.7,IF(BB104="Biobränsle",0.6,"")))</f>
        <v>1.8</v>
      </c>
      <c r="BM106" s="52" t="str">
        <f>IF(OR(BM104="El",BM104="Gas",BM104="Olja"),1.8,IF(BM104="Fjärrvärme",0.7,IF(BM104="Biobränsle",0.6,"")))</f>
        <v/>
      </c>
      <c r="BN106" s="52" t="str">
        <f>IF(OR(BN104="El",BN104="Gas",BN104="Olja"),1.8,IF(BN104="Fjärrvärme",0.7,IF(BN104="Biobränsle",0.6,"")))</f>
        <v/>
      </c>
      <c r="BO106" s="178"/>
      <c r="BP106" s="234"/>
      <c r="BQ106" s="234"/>
      <c r="BR106" s="234"/>
      <c r="BS106" s="234"/>
      <c r="BT106" s="67"/>
      <c r="BU106" s="67"/>
      <c r="BV106" s="67"/>
      <c r="BW106" s="67"/>
      <c r="BX106" s="67"/>
      <c r="BY106" s="67"/>
      <c r="BZ106" s="234"/>
      <c r="CA106" s="234"/>
      <c r="CB106" s="234"/>
      <c r="CC106" s="234"/>
      <c r="CD106" s="234"/>
      <c r="CE106" s="234"/>
      <c r="CF106" s="234"/>
      <c r="CG106" s="234"/>
      <c r="CH106" s="234"/>
      <c r="CI106" s="234"/>
      <c r="CJ106" s="234"/>
      <c r="CK106" s="234"/>
      <c r="CL106" s="234"/>
      <c r="CM106" s="234"/>
      <c r="CN106" s="234"/>
      <c r="CO106" s="234"/>
      <c r="CP106" s="234"/>
      <c r="CQ106" s="234"/>
      <c r="CR106" s="234"/>
      <c r="CS106" s="234"/>
      <c r="CT106" s="234"/>
      <c r="CU106" s="234"/>
      <c r="CV106" s="234"/>
      <c r="CW106" s="234"/>
      <c r="CX106" s="234"/>
      <c r="CY106" s="31"/>
      <c r="CZ106" s="234"/>
      <c r="DA106" s="234"/>
      <c r="DB106" s="234"/>
      <c r="DC106" s="234"/>
      <c r="DD106" s="234"/>
      <c r="DE106" s="234"/>
      <c r="DF106" s="234"/>
      <c r="DG106" s="234"/>
      <c r="DH106" s="234"/>
      <c r="DI106" s="234"/>
      <c r="DJ106" s="234"/>
      <c r="DK106" s="234"/>
      <c r="DL106" s="234"/>
      <c r="DM106" s="234"/>
      <c r="DN106" s="234"/>
      <c r="DO106" s="234"/>
      <c r="DP106" s="234"/>
      <c r="DQ106" s="234"/>
      <c r="DR106" s="234"/>
      <c r="DS106" s="234"/>
      <c r="DT106" s="234"/>
    </row>
    <row r="107" spans="1:124" s="231" customFormat="1" ht="16.5" customHeight="1" x14ac:dyDescent="0.25">
      <c r="A107" s="232"/>
      <c r="B107" s="232"/>
      <c r="C107" s="268" t="s">
        <v>1264</v>
      </c>
      <c r="D107" s="368" t="s">
        <v>1265</v>
      </c>
      <c r="E107" s="232"/>
      <c r="F107" s="391" t="s">
        <v>1044</v>
      </c>
      <c r="G107" s="391" t="s">
        <v>1045</v>
      </c>
      <c r="H107" s="70"/>
      <c r="I107" s="106" t="s">
        <v>1075</v>
      </c>
      <c r="J107" s="391" t="s">
        <v>1075</v>
      </c>
      <c r="K107" s="70"/>
      <c r="L107" s="106" t="s">
        <v>1075</v>
      </c>
      <c r="M107" s="442" t="s">
        <v>1075</v>
      </c>
      <c r="N107" s="9"/>
      <c r="O107" s="444" t="s">
        <v>1075</v>
      </c>
      <c r="P107" s="442" t="s">
        <v>1075</v>
      </c>
      <c r="Q107" s="70"/>
      <c r="R107" s="70"/>
      <c r="S107" s="70"/>
      <c r="T107" s="70"/>
      <c r="U107" s="70"/>
      <c r="V107" s="70"/>
      <c r="W107" s="232"/>
      <c r="X107" s="233"/>
      <c r="Y107" s="252">
        <f t="shared" si="213"/>
        <v>0</v>
      </c>
      <c r="Z107" s="252">
        <f t="shared" si="208"/>
        <v>0</v>
      </c>
      <c r="AA107" s="252">
        <f t="shared" si="214"/>
        <v>0</v>
      </c>
      <c r="AB107" s="252">
        <f t="shared" si="215"/>
        <v>0</v>
      </c>
      <c r="AC107" s="233"/>
      <c r="AD107" s="252">
        <f>IF(AND('Indata byggnad och BBR krav'!$C$17&gt;0,$D$107="Mäts separat"),(IF($J$104=$AD$101,I110,0)+IF($M$104=$AD$101,L110,0)+IF($P$104=$AD$101,O110,0)),0)</f>
        <v>0</v>
      </c>
      <c r="AE107" s="233"/>
      <c r="AF107" s="252">
        <f t="shared" si="216"/>
        <v>0</v>
      </c>
      <c r="AG107" s="252">
        <f t="shared" si="209"/>
        <v>0</v>
      </c>
      <c r="AH107" s="252">
        <f t="shared" si="210"/>
        <v>0</v>
      </c>
      <c r="AI107" s="259">
        <f t="shared" si="217"/>
        <v>0</v>
      </c>
      <c r="AJ107" s="307">
        <f t="shared" si="218"/>
        <v>0</v>
      </c>
      <c r="AK107" s="366" t="str">
        <f t="shared" si="219"/>
        <v/>
      </c>
      <c r="AL107" s="362" t="str">
        <f t="shared" si="220"/>
        <v/>
      </c>
      <c r="AM107" s="56" t="str">
        <f t="shared" ca="1" si="211"/>
        <v>mars</v>
      </c>
      <c r="AN107" s="279">
        <f t="shared" ca="1" si="221"/>
        <v>0.11559</v>
      </c>
      <c r="AO107" s="193" t="e">
        <f t="shared" ca="1" si="212"/>
        <v>#DIV/0!</v>
      </c>
      <c r="AP107" s="233"/>
      <c r="AQ107" s="233"/>
      <c r="AR107" s="233"/>
      <c r="AS107" s="233"/>
      <c r="AT107" s="233"/>
      <c r="AU107" s="233"/>
      <c r="AV107" s="233"/>
      <c r="AW107" s="233"/>
      <c r="AX107" s="233"/>
      <c r="AY107" s="234"/>
      <c r="AZ107" s="234"/>
      <c r="BA107" s="234"/>
      <c r="BB107" s="178" t="s">
        <v>1091</v>
      </c>
      <c r="BC107" s="234"/>
      <c r="BD107" s="234"/>
      <c r="BE107" s="234"/>
      <c r="BF107" s="234"/>
      <c r="BG107" s="234"/>
      <c r="BH107" s="234"/>
      <c r="BI107" s="234"/>
      <c r="BJ107" s="234"/>
      <c r="BK107" s="234"/>
      <c r="BL107" s="178" t="s">
        <v>1091</v>
      </c>
      <c r="BM107" s="234"/>
      <c r="BN107" s="234"/>
      <c r="BO107" s="234"/>
      <c r="BP107" s="234"/>
      <c r="BQ107" s="234"/>
      <c r="BR107" s="234"/>
      <c r="BS107" s="234"/>
      <c r="BT107" s="67"/>
      <c r="BU107" s="67"/>
      <c r="BV107" s="67"/>
      <c r="BW107" s="67"/>
      <c r="BX107" s="67"/>
      <c r="BY107" s="67"/>
      <c r="BZ107" s="234"/>
      <c r="CA107" s="234"/>
      <c r="CB107" s="234"/>
      <c r="CC107" s="234"/>
      <c r="CD107" s="234"/>
      <c r="CE107" s="234"/>
      <c r="CF107" s="234"/>
      <c r="CG107" s="234"/>
      <c r="CH107" s="234"/>
      <c r="CI107" s="234"/>
      <c r="CJ107" s="234"/>
      <c r="CK107" s="234"/>
      <c r="CL107" s="234"/>
      <c r="CM107" s="234"/>
      <c r="CN107" s="234"/>
      <c r="CO107" s="234"/>
      <c r="CP107" s="234"/>
      <c r="CQ107" s="234"/>
      <c r="CR107" s="234"/>
      <c r="CS107" s="234"/>
      <c r="CT107" s="234"/>
      <c r="CU107" s="234"/>
      <c r="CV107" s="234"/>
      <c r="CW107" s="234"/>
      <c r="CX107" s="234"/>
      <c r="CY107" s="31"/>
      <c r="CZ107" s="234"/>
      <c r="DA107" s="234"/>
      <c r="DB107" s="234"/>
      <c r="DC107" s="234"/>
      <c r="DD107" s="234"/>
      <c r="DE107" s="234"/>
      <c r="DF107" s="234"/>
      <c r="DG107" s="234"/>
      <c r="DH107" s="234"/>
      <c r="DI107" s="234"/>
      <c r="DJ107" s="234"/>
      <c r="DK107" s="234"/>
      <c r="DL107" s="234"/>
      <c r="DM107" s="234"/>
      <c r="DN107" s="234"/>
      <c r="DO107" s="234"/>
      <c r="DP107" s="234"/>
      <c r="DQ107" s="234"/>
      <c r="DR107" s="234"/>
      <c r="DS107" s="234"/>
      <c r="DT107" s="234"/>
    </row>
    <row r="108" spans="1:124" s="231" customFormat="1" ht="16.5" customHeight="1" x14ac:dyDescent="0.25">
      <c r="A108" s="232"/>
      <c r="B108" s="250"/>
      <c r="E108" s="251"/>
      <c r="F108" s="387">
        <f>G103</f>
        <v>2017</v>
      </c>
      <c r="G108" s="387" t="str">
        <f t="shared" ref="G108:G119" ca="1" si="222">OFFSET($EI$2,$EI$43+ROW(F108)-ROW($F$108),0)</f>
        <v>jan</v>
      </c>
      <c r="H108" s="70"/>
      <c r="I108" s="109">
        <f t="shared" ref="I108:I119" si="223">IF($D$103&gt;0,J108,0)</f>
        <v>0</v>
      </c>
      <c r="J108" s="388"/>
      <c r="K108" s="73"/>
      <c r="L108" s="108">
        <f t="shared" ref="L108:L119" si="224">IF($D$103&gt;1,M108,0)</f>
        <v>0</v>
      </c>
      <c r="M108" s="394"/>
      <c r="N108" s="73"/>
      <c r="O108" s="108">
        <f t="shared" ref="O108:O119" si="225">IF($D$103&gt;2,P108,0)</f>
        <v>0</v>
      </c>
      <c r="P108" s="394"/>
      <c r="Q108" s="73"/>
      <c r="R108" s="73"/>
      <c r="S108" s="73"/>
      <c r="T108" s="73"/>
      <c r="U108" s="73"/>
      <c r="V108" s="73"/>
      <c r="W108" s="232"/>
      <c r="X108" s="233"/>
      <c r="Y108" s="252">
        <f t="shared" si="213"/>
        <v>0</v>
      </c>
      <c r="Z108" s="252">
        <f t="shared" si="208"/>
        <v>0</v>
      </c>
      <c r="AA108" s="252">
        <f t="shared" si="214"/>
        <v>0</v>
      </c>
      <c r="AB108" s="252">
        <f t="shared" si="215"/>
        <v>0</v>
      </c>
      <c r="AC108" s="233"/>
      <c r="AD108" s="252">
        <f>IF(AND('Indata byggnad och BBR krav'!$C$17&gt;0,$D$107="Mäts separat"),(IF($J$104=$AD$101,I111,0)+IF($M$104=$AD$101,L111,0)+IF($P$104=$AD$101,O111,0)),0)</f>
        <v>0</v>
      </c>
      <c r="AE108" s="233"/>
      <c r="AF108" s="252">
        <f t="shared" si="216"/>
        <v>0</v>
      </c>
      <c r="AG108" s="252">
        <f t="shared" si="209"/>
        <v>0</v>
      </c>
      <c r="AH108" s="252">
        <f t="shared" si="210"/>
        <v>0</v>
      </c>
      <c r="AI108" s="259">
        <f t="shared" si="217"/>
        <v>0</v>
      </c>
      <c r="AJ108" s="307">
        <f t="shared" si="218"/>
        <v>0</v>
      </c>
      <c r="AK108" s="366" t="str">
        <f t="shared" si="219"/>
        <v/>
      </c>
      <c r="AL108" s="362" t="str">
        <f t="shared" si="220"/>
        <v/>
      </c>
      <c r="AM108" s="56" t="str">
        <f t="shared" ca="1" si="211"/>
        <v>apr</v>
      </c>
      <c r="AN108" s="279">
        <f t="shared" ca="1" si="221"/>
        <v>9.8080000000000001E-2</v>
      </c>
      <c r="AO108" s="193" t="e">
        <f t="shared" ca="1" si="212"/>
        <v>#DIV/0!</v>
      </c>
      <c r="AP108" s="233"/>
      <c r="AQ108" s="233"/>
      <c r="AR108" s="233"/>
      <c r="AS108" s="233"/>
      <c r="AT108" s="233"/>
      <c r="AU108" s="233"/>
      <c r="AV108" s="233"/>
      <c r="AW108" s="233"/>
      <c r="AX108" s="233"/>
      <c r="AY108" s="234"/>
      <c r="AZ108" s="234"/>
      <c r="BA108" s="234"/>
      <c r="BB108" s="52" t="str">
        <f>BB104</f>
        <v>El</v>
      </c>
      <c r="BC108" s="52" t="str">
        <f>BC104</f>
        <v/>
      </c>
      <c r="BD108" s="52" t="str">
        <f>BD104</f>
        <v/>
      </c>
      <c r="BE108" s="52" t="s">
        <v>1094</v>
      </c>
      <c r="BF108" s="234"/>
      <c r="BG108" s="234"/>
      <c r="BH108" s="234"/>
      <c r="BI108" s="234"/>
      <c r="BJ108" s="234"/>
      <c r="BK108" s="234"/>
      <c r="BL108" s="52" t="str">
        <f>BL104</f>
        <v>El</v>
      </c>
      <c r="BM108" s="52" t="str">
        <f t="shared" ref="BM108:BN108" si="226">BM104</f>
        <v/>
      </c>
      <c r="BN108" s="52" t="str">
        <f t="shared" si="226"/>
        <v/>
      </c>
      <c r="BO108" s="52" t="s">
        <v>1094</v>
      </c>
      <c r="BP108" s="234"/>
      <c r="BQ108" s="234"/>
      <c r="BR108" s="234"/>
      <c r="BS108" s="234"/>
      <c r="BT108" s="67"/>
      <c r="BU108" s="67"/>
      <c r="BV108" s="67"/>
      <c r="BW108" s="67"/>
      <c r="BX108" s="67"/>
      <c r="BY108" s="67"/>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31"/>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row>
    <row r="109" spans="1:124" s="231" customFormat="1" ht="16.5" customHeight="1" x14ac:dyDescent="0.25">
      <c r="A109" s="232"/>
      <c r="B109" s="250"/>
      <c r="C109" s="55" t="s">
        <v>1266</v>
      </c>
      <c r="D109" s="368"/>
      <c r="E109" s="232"/>
      <c r="F109" s="387">
        <f ca="1">IF(G109="jan",F108+1,F108)</f>
        <v>2017</v>
      </c>
      <c r="G109" s="387" t="str">
        <f t="shared" ca="1" si="222"/>
        <v>feb</v>
      </c>
      <c r="H109" s="70"/>
      <c r="I109" s="109">
        <f t="shared" si="223"/>
        <v>0</v>
      </c>
      <c r="J109" s="388"/>
      <c r="K109" s="73"/>
      <c r="L109" s="108">
        <f t="shared" si="224"/>
        <v>0</v>
      </c>
      <c r="M109" s="394"/>
      <c r="N109" s="73"/>
      <c r="O109" s="108">
        <f t="shared" si="225"/>
        <v>0</v>
      </c>
      <c r="P109" s="394"/>
      <c r="Q109" s="73"/>
      <c r="R109" s="73"/>
      <c r="S109" s="73"/>
      <c r="T109" s="73"/>
      <c r="U109" s="73"/>
      <c r="V109" s="73"/>
      <c r="W109" s="232"/>
      <c r="X109" s="233"/>
      <c r="Y109" s="252">
        <f t="shared" si="213"/>
        <v>0</v>
      </c>
      <c r="Z109" s="252">
        <f t="shared" si="208"/>
        <v>0</v>
      </c>
      <c r="AA109" s="252">
        <f t="shared" si="214"/>
        <v>0</v>
      </c>
      <c r="AB109" s="252">
        <f t="shared" si="215"/>
        <v>0</v>
      </c>
      <c r="AC109" s="233"/>
      <c r="AD109" s="252">
        <f>IF(AND('Indata byggnad och BBR krav'!$C$17&gt;0,$D$107="Mäts separat"),(IF($J$104=$AD$101,I112,0)+IF($M$104=$AD$101,L112,0)+IF($P$104=$AD$101,O112,0)),0)</f>
        <v>0</v>
      </c>
      <c r="AE109" s="233"/>
      <c r="AF109" s="252">
        <f t="shared" si="216"/>
        <v>0</v>
      </c>
      <c r="AG109" s="252">
        <f t="shared" si="209"/>
        <v>0</v>
      </c>
      <c r="AH109" s="252">
        <f t="shared" si="210"/>
        <v>0</v>
      </c>
      <c r="AI109" s="259">
        <f t="shared" si="217"/>
        <v>0</v>
      </c>
      <c r="AJ109" s="307">
        <f t="shared" si="218"/>
        <v>0</v>
      </c>
      <c r="AK109" s="366" t="str">
        <f t="shared" si="219"/>
        <v/>
      </c>
      <c r="AL109" s="362" t="str">
        <f t="shared" si="220"/>
        <v/>
      </c>
      <c r="AM109" s="56" t="str">
        <f t="shared" ca="1" si="211"/>
        <v>maj</v>
      </c>
      <c r="AN109" s="279">
        <f t="shared" ca="1" si="221"/>
        <v>6.8420000000000009E-2</v>
      </c>
      <c r="AO109" s="193" t="e">
        <f t="shared" ca="1" si="212"/>
        <v>#DIV/0!</v>
      </c>
      <c r="AP109" s="233"/>
      <c r="AQ109" s="233"/>
      <c r="AR109" s="233"/>
      <c r="AS109" s="233"/>
      <c r="AT109" s="233"/>
      <c r="AU109" s="233"/>
      <c r="AV109" s="233"/>
      <c r="AW109" s="233"/>
      <c r="AX109" s="233"/>
      <c r="AY109" s="234"/>
      <c r="AZ109" s="234"/>
      <c r="BA109" s="234"/>
      <c r="BB109" s="47">
        <f t="shared" ref="BB109:BB120" si="227">AF105</f>
        <v>0</v>
      </c>
      <c r="BC109" s="47">
        <f t="shared" ref="BC109:BC120" si="228">AG105</f>
        <v>0</v>
      </c>
      <c r="BD109" s="47">
        <f t="shared" ref="BD109:BD120" si="229">AH105</f>
        <v>0</v>
      </c>
      <c r="BE109" s="47">
        <f>BB109+BC109+BD109</f>
        <v>0</v>
      </c>
      <c r="BF109" s="234"/>
      <c r="BG109" s="234"/>
      <c r="BH109" s="234"/>
      <c r="BI109" s="234"/>
      <c r="BJ109" s="234"/>
      <c r="BK109" s="234"/>
      <c r="BL109" s="47">
        <f t="shared" ref="BL109:BL120" si="230">AF105</f>
        <v>0</v>
      </c>
      <c r="BM109" s="47">
        <f t="shared" ref="BM109:BM120" si="231">AG105</f>
        <v>0</v>
      </c>
      <c r="BN109" s="47">
        <f t="shared" ref="BN109:BN120" si="232">AH105</f>
        <v>0</v>
      </c>
      <c r="BO109" s="47">
        <f>BL109+BM109+BN109</f>
        <v>0</v>
      </c>
      <c r="BP109" s="234"/>
      <c r="BQ109" s="234"/>
      <c r="BR109" s="234"/>
      <c r="BS109" s="234"/>
      <c r="BT109" s="67"/>
      <c r="BU109" s="67"/>
      <c r="BV109" s="67"/>
      <c r="BW109" s="67"/>
      <c r="BX109" s="67"/>
      <c r="BY109" s="67"/>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31"/>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row>
    <row r="110" spans="1:124" s="231" customFormat="1" ht="16.5" customHeight="1" x14ac:dyDescent="0.25">
      <c r="A110" s="232"/>
      <c r="B110" s="250"/>
      <c r="C110" s="55" t="s">
        <v>1275</v>
      </c>
      <c r="D110" s="393" t="e">
        <f>D109*1000/'Indata byggnad och BBR krav'!$C$16*'Indata byggnad och BBR krav'!$C$17/100</f>
        <v>#DIV/0!</v>
      </c>
      <c r="E110" s="232"/>
      <c r="F110" s="387">
        <f t="shared" ref="F110:F119" ca="1" si="233">IF(G110="jan",F109+1,F109)</f>
        <v>2017</v>
      </c>
      <c r="G110" s="387" t="str">
        <f t="shared" ca="1" si="222"/>
        <v>mars</v>
      </c>
      <c r="H110" s="70"/>
      <c r="I110" s="109">
        <f t="shared" si="223"/>
        <v>0</v>
      </c>
      <c r="J110" s="388"/>
      <c r="K110" s="73"/>
      <c r="L110" s="108">
        <f t="shared" si="224"/>
        <v>0</v>
      </c>
      <c r="M110" s="394"/>
      <c r="N110" s="73"/>
      <c r="O110" s="108">
        <f t="shared" si="225"/>
        <v>0</v>
      </c>
      <c r="P110" s="394"/>
      <c r="Q110" s="73"/>
      <c r="R110" s="73"/>
      <c r="S110" s="73"/>
      <c r="T110" s="73"/>
      <c r="U110" s="73"/>
      <c r="V110" s="73"/>
      <c r="W110" s="232"/>
      <c r="X110" s="233"/>
      <c r="Y110" s="252">
        <f t="shared" si="213"/>
        <v>0</v>
      </c>
      <c r="Z110" s="252">
        <f t="shared" si="208"/>
        <v>0</v>
      </c>
      <c r="AA110" s="252">
        <f t="shared" si="214"/>
        <v>0</v>
      </c>
      <c r="AB110" s="252">
        <f t="shared" si="215"/>
        <v>0</v>
      </c>
      <c r="AC110" s="233"/>
      <c r="AD110" s="252">
        <f>IF(AND('Indata byggnad och BBR krav'!$C$17&gt;0,$D$107="Mäts separat"),(IF($J$104=$AD$101,I113,0)+IF($M$104=$AD$101,L113,0)+IF($P$104=$AD$101,O113,0)),0)</f>
        <v>0</v>
      </c>
      <c r="AE110" s="233"/>
      <c r="AF110" s="252">
        <f t="shared" si="216"/>
        <v>0</v>
      </c>
      <c r="AG110" s="252">
        <f t="shared" si="209"/>
        <v>0</v>
      </c>
      <c r="AH110" s="252">
        <f t="shared" si="210"/>
        <v>0</v>
      </c>
      <c r="AI110" s="259">
        <f t="shared" si="217"/>
        <v>0</v>
      </c>
      <c r="AJ110" s="307">
        <f t="shared" si="218"/>
        <v>0</v>
      </c>
      <c r="AK110" s="366" t="str">
        <f t="shared" si="219"/>
        <v/>
      </c>
      <c r="AL110" s="362" t="str">
        <f t="shared" si="220"/>
        <v/>
      </c>
      <c r="AM110" s="56" t="str">
        <f t="shared" ca="1" si="211"/>
        <v xml:space="preserve">jun </v>
      </c>
      <c r="AN110" s="279">
        <f t="shared" ca="1" si="221"/>
        <v>4.113E-2</v>
      </c>
      <c r="AO110" s="193" t="e">
        <f t="shared" ca="1" si="212"/>
        <v>#DIV/0!</v>
      </c>
      <c r="AP110" s="233"/>
      <c r="AQ110" s="233"/>
      <c r="AR110" s="233"/>
      <c r="AS110" s="233"/>
      <c r="AT110" s="233"/>
      <c r="AU110" s="233"/>
      <c r="AV110" s="233"/>
      <c r="AW110" s="233"/>
      <c r="AX110" s="233"/>
      <c r="AY110" s="234"/>
      <c r="AZ110" s="234"/>
      <c r="BA110" s="234"/>
      <c r="BB110" s="85">
        <f t="shared" si="227"/>
        <v>0</v>
      </c>
      <c r="BC110" s="85">
        <f t="shared" si="228"/>
        <v>0</v>
      </c>
      <c r="BD110" s="85">
        <f t="shared" si="229"/>
        <v>0</v>
      </c>
      <c r="BE110" s="47">
        <f t="shared" ref="BE110:BE120" si="234">BB110+BC110+BD110</f>
        <v>0</v>
      </c>
      <c r="BF110" s="234"/>
      <c r="BG110" s="234"/>
      <c r="BH110" s="234"/>
      <c r="BI110" s="234"/>
      <c r="BJ110" s="234"/>
      <c r="BK110" s="234"/>
      <c r="BL110" s="47">
        <f t="shared" si="230"/>
        <v>0</v>
      </c>
      <c r="BM110" s="47">
        <f t="shared" si="231"/>
        <v>0</v>
      </c>
      <c r="BN110" s="47">
        <f t="shared" si="232"/>
        <v>0</v>
      </c>
      <c r="BO110" s="47">
        <f t="shared" ref="BO110:BO120" si="235">BL110+BM110+BN110</f>
        <v>0</v>
      </c>
      <c r="BP110" s="234"/>
      <c r="BQ110" s="234"/>
      <c r="BR110" s="234"/>
      <c r="BS110" s="234"/>
      <c r="BT110" s="67"/>
      <c r="BU110" s="67"/>
      <c r="BV110" s="67"/>
      <c r="BW110" s="67"/>
      <c r="BX110" s="67"/>
      <c r="BY110" s="67"/>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31"/>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c r="DT110" s="234"/>
    </row>
    <row r="111" spans="1:124" s="231" customFormat="1" ht="16.5" customHeight="1" x14ac:dyDescent="0.25">
      <c r="A111" s="232"/>
      <c r="B111" s="250"/>
      <c r="C111" s="217" t="s">
        <v>1356</v>
      </c>
      <c r="D111" s="250"/>
      <c r="E111" s="232"/>
      <c r="F111" s="387">
        <f t="shared" ca="1" si="233"/>
        <v>2017</v>
      </c>
      <c r="G111" s="387" t="str">
        <f t="shared" ca="1" si="222"/>
        <v>apr</v>
      </c>
      <c r="H111" s="70"/>
      <c r="I111" s="109">
        <f t="shared" si="223"/>
        <v>0</v>
      </c>
      <c r="J111" s="388"/>
      <c r="K111" s="73"/>
      <c r="L111" s="108">
        <f t="shared" si="224"/>
        <v>0</v>
      </c>
      <c r="M111" s="394"/>
      <c r="N111" s="73"/>
      <c r="O111" s="108">
        <f t="shared" si="225"/>
        <v>0</v>
      </c>
      <c r="P111" s="394"/>
      <c r="Q111" s="73"/>
      <c r="R111" s="73"/>
      <c r="S111" s="73"/>
      <c r="T111" s="73"/>
      <c r="U111" s="73"/>
      <c r="V111" s="73"/>
      <c r="W111" s="232"/>
      <c r="X111" s="233"/>
      <c r="Y111" s="252">
        <f t="shared" si="213"/>
        <v>0</v>
      </c>
      <c r="Z111" s="252">
        <f t="shared" si="208"/>
        <v>0</v>
      </c>
      <c r="AA111" s="252">
        <f t="shared" si="214"/>
        <v>0</v>
      </c>
      <c r="AB111" s="252">
        <f t="shared" si="215"/>
        <v>0</v>
      </c>
      <c r="AC111" s="233"/>
      <c r="AD111" s="252">
        <f>IF(AND('Indata byggnad och BBR krav'!$C$17&gt;0,$D$107="Mäts separat"),(IF($J$104=$AD$101,I114,0)+IF($M$104=$AD$101,L114,0)+IF($P$104=$AD$101,O114,0)),0)</f>
        <v>0</v>
      </c>
      <c r="AE111" s="233"/>
      <c r="AF111" s="252">
        <f t="shared" si="216"/>
        <v>0</v>
      </c>
      <c r="AG111" s="252">
        <f t="shared" si="209"/>
        <v>0</v>
      </c>
      <c r="AH111" s="252">
        <f t="shared" si="210"/>
        <v>0</v>
      </c>
      <c r="AI111" s="259">
        <f t="shared" si="217"/>
        <v>0</v>
      </c>
      <c r="AJ111" s="307">
        <f t="shared" si="218"/>
        <v>0</v>
      </c>
      <c r="AK111" s="366" t="str">
        <f t="shared" si="219"/>
        <v/>
      </c>
      <c r="AL111" s="362" t="str">
        <f t="shared" si="220"/>
        <v/>
      </c>
      <c r="AM111" s="56" t="str">
        <f t="shared" ca="1" si="211"/>
        <v>jul</v>
      </c>
      <c r="AN111" s="279">
        <f t="shared" ca="1" si="221"/>
        <v>3.0960000000000001E-2</v>
      </c>
      <c r="AO111" s="193" t="e">
        <f t="shared" ca="1" si="212"/>
        <v>#DIV/0!</v>
      </c>
      <c r="AP111" s="233"/>
      <c r="AQ111" s="233"/>
      <c r="AR111" s="233"/>
      <c r="AS111" s="233"/>
      <c r="AT111" s="233"/>
      <c r="AU111" s="233"/>
      <c r="AV111" s="233"/>
      <c r="AW111" s="233"/>
      <c r="AX111" s="233"/>
      <c r="AY111" s="234"/>
      <c r="AZ111" s="234"/>
      <c r="BA111" s="234"/>
      <c r="BB111" s="85">
        <f t="shared" si="227"/>
        <v>0</v>
      </c>
      <c r="BC111" s="85">
        <f t="shared" si="228"/>
        <v>0</v>
      </c>
      <c r="BD111" s="85">
        <f t="shared" si="229"/>
        <v>0</v>
      </c>
      <c r="BE111" s="47">
        <f t="shared" si="234"/>
        <v>0</v>
      </c>
      <c r="BF111" s="234"/>
      <c r="BG111" s="234"/>
      <c r="BH111" s="234"/>
      <c r="BI111" s="234"/>
      <c r="BJ111" s="234"/>
      <c r="BK111" s="234"/>
      <c r="BL111" s="47">
        <f t="shared" si="230"/>
        <v>0</v>
      </c>
      <c r="BM111" s="47">
        <f t="shared" si="231"/>
        <v>0</v>
      </c>
      <c r="BN111" s="47">
        <f t="shared" si="232"/>
        <v>0</v>
      </c>
      <c r="BO111" s="47">
        <f t="shared" si="235"/>
        <v>0</v>
      </c>
      <c r="BP111" s="234"/>
      <c r="BQ111" s="234"/>
      <c r="BR111" s="234"/>
      <c r="BS111" s="234"/>
      <c r="BT111" s="67"/>
      <c r="BU111" s="67"/>
      <c r="BV111" s="67"/>
      <c r="BW111" s="67"/>
      <c r="BX111" s="67"/>
      <c r="BY111" s="67"/>
      <c r="BZ111" s="234"/>
      <c r="CA111" s="234"/>
      <c r="CB111" s="234"/>
      <c r="CC111" s="234"/>
      <c r="CD111" s="234"/>
      <c r="CE111" s="234"/>
      <c r="CF111" s="234"/>
      <c r="CG111" s="234"/>
      <c r="CH111" s="234"/>
      <c r="CI111" s="234"/>
      <c r="CJ111" s="234"/>
      <c r="CK111" s="234"/>
      <c r="CL111" s="234"/>
      <c r="CM111" s="234"/>
      <c r="CN111" s="234"/>
      <c r="CO111" s="234"/>
      <c r="CP111" s="234"/>
      <c r="CQ111" s="234"/>
      <c r="CR111" s="234"/>
      <c r="CS111" s="234"/>
      <c r="CT111" s="234"/>
      <c r="CU111" s="234"/>
      <c r="CV111" s="234"/>
      <c r="CW111" s="234"/>
      <c r="CX111" s="234"/>
      <c r="CY111" s="31"/>
      <c r="CZ111" s="234"/>
      <c r="DA111" s="234"/>
      <c r="DB111" s="234"/>
      <c r="DC111" s="234"/>
      <c r="DD111" s="234"/>
      <c r="DE111" s="234"/>
      <c r="DF111" s="234"/>
      <c r="DG111" s="234"/>
      <c r="DH111" s="234"/>
      <c r="DI111" s="234"/>
      <c r="DJ111" s="234"/>
      <c r="DK111" s="234"/>
      <c r="DL111" s="234"/>
      <c r="DM111" s="234"/>
      <c r="DN111" s="234"/>
      <c r="DO111" s="234"/>
      <c r="DP111" s="234"/>
      <c r="DQ111" s="234"/>
      <c r="DR111" s="234"/>
      <c r="DS111" s="234"/>
      <c r="DT111" s="234"/>
    </row>
    <row r="112" spans="1:124" s="231" customFormat="1" ht="16.5" customHeight="1" x14ac:dyDescent="0.25">
      <c r="A112" s="232"/>
      <c r="B112" s="250"/>
      <c r="C112" s="512"/>
      <c r="D112" s="513"/>
      <c r="E112" s="232"/>
      <c r="F112" s="387">
        <f t="shared" ca="1" si="233"/>
        <v>2017</v>
      </c>
      <c r="G112" s="387" t="str">
        <f t="shared" ca="1" si="222"/>
        <v>maj</v>
      </c>
      <c r="H112" s="70"/>
      <c r="I112" s="109">
        <f t="shared" si="223"/>
        <v>0</v>
      </c>
      <c r="J112" s="388"/>
      <c r="K112" s="73"/>
      <c r="L112" s="108">
        <f t="shared" si="224"/>
        <v>0</v>
      </c>
      <c r="M112" s="394"/>
      <c r="N112" s="73"/>
      <c r="O112" s="108">
        <f t="shared" si="225"/>
        <v>0</v>
      </c>
      <c r="P112" s="394"/>
      <c r="Q112" s="73"/>
      <c r="R112" s="73"/>
      <c r="S112" s="73"/>
      <c r="T112" s="73"/>
      <c r="U112" s="73"/>
      <c r="V112" s="73"/>
      <c r="W112" s="232"/>
      <c r="X112" s="233"/>
      <c r="Y112" s="252">
        <f t="shared" si="213"/>
        <v>0</v>
      </c>
      <c r="Z112" s="252">
        <f t="shared" si="208"/>
        <v>0</v>
      </c>
      <c r="AA112" s="252">
        <f t="shared" si="214"/>
        <v>0</v>
      </c>
      <c r="AB112" s="252">
        <f t="shared" si="215"/>
        <v>0</v>
      </c>
      <c r="AC112" s="233"/>
      <c r="AD112" s="252">
        <f>IF(AND('Indata byggnad och BBR krav'!$C$17&gt;0,$D$107="Mäts separat"),(IF($J$104=$AD$101,I115,0)+IF($M$104=$AD$101,L115,0)+IF($P$104=$AD$101,O115,0)),0)</f>
        <v>0</v>
      </c>
      <c r="AE112" s="233"/>
      <c r="AF112" s="252">
        <f t="shared" si="216"/>
        <v>0</v>
      </c>
      <c r="AG112" s="252">
        <f t="shared" si="209"/>
        <v>0</v>
      </c>
      <c r="AH112" s="252">
        <f t="shared" si="210"/>
        <v>0</v>
      </c>
      <c r="AI112" s="259">
        <f t="shared" si="217"/>
        <v>0</v>
      </c>
      <c r="AJ112" s="307">
        <f t="shared" si="218"/>
        <v>0</v>
      </c>
      <c r="AK112" s="366" t="str">
        <f t="shared" si="219"/>
        <v/>
      </c>
      <c r="AL112" s="362" t="str">
        <f t="shared" si="220"/>
        <v/>
      </c>
      <c r="AM112" s="56" t="str">
        <f t="shared" ca="1" si="211"/>
        <v>aug</v>
      </c>
      <c r="AN112" s="279">
        <f t="shared" ca="1" si="221"/>
        <v>3.347E-2</v>
      </c>
      <c r="AO112" s="193" t="e">
        <f t="shared" ca="1" si="212"/>
        <v>#DIV/0!</v>
      </c>
      <c r="AP112" s="233"/>
      <c r="AQ112" s="233"/>
      <c r="AR112" s="233"/>
      <c r="AS112" s="233"/>
      <c r="AT112" s="233"/>
      <c r="AU112" s="233"/>
      <c r="AV112" s="233"/>
      <c r="AW112" s="233"/>
      <c r="AX112" s="233"/>
      <c r="AY112" s="234"/>
      <c r="AZ112" s="234"/>
      <c r="BA112" s="234"/>
      <c r="BB112" s="85">
        <f t="shared" si="227"/>
        <v>0</v>
      </c>
      <c r="BC112" s="85">
        <f t="shared" si="228"/>
        <v>0</v>
      </c>
      <c r="BD112" s="85">
        <f t="shared" si="229"/>
        <v>0</v>
      </c>
      <c r="BE112" s="47">
        <f t="shared" si="234"/>
        <v>0</v>
      </c>
      <c r="BF112" s="234"/>
      <c r="BG112" s="234"/>
      <c r="BH112" s="234"/>
      <c r="BI112" s="234"/>
      <c r="BJ112" s="234"/>
      <c r="BK112" s="234"/>
      <c r="BL112" s="47">
        <f t="shared" si="230"/>
        <v>0</v>
      </c>
      <c r="BM112" s="47">
        <f t="shared" si="231"/>
        <v>0</v>
      </c>
      <c r="BN112" s="47">
        <f t="shared" si="232"/>
        <v>0</v>
      </c>
      <c r="BO112" s="47">
        <f t="shared" si="235"/>
        <v>0</v>
      </c>
      <c r="BP112" s="234"/>
      <c r="BQ112" s="234"/>
      <c r="BR112" s="234"/>
      <c r="BS112" s="234"/>
      <c r="BT112" s="67"/>
      <c r="BU112" s="67"/>
      <c r="BV112" s="67"/>
      <c r="BW112" s="67"/>
      <c r="BX112" s="67"/>
      <c r="BY112" s="67"/>
      <c r="BZ112" s="234"/>
      <c r="CA112" s="234"/>
      <c r="CB112" s="234"/>
      <c r="CC112" s="234"/>
      <c r="CD112" s="234"/>
      <c r="CE112" s="234"/>
      <c r="CF112" s="234"/>
      <c r="CG112" s="234"/>
      <c r="CH112" s="234"/>
      <c r="CI112" s="234"/>
      <c r="CJ112" s="234"/>
      <c r="CK112" s="234"/>
      <c r="CL112" s="234"/>
      <c r="CM112" s="234"/>
      <c r="CN112" s="234"/>
      <c r="CO112" s="234"/>
      <c r="CP112" s="234"/>
      <c r="CQ112" s="234"/>
      <c r="CR112" s="234"/>
      <c r="CS112" s="234"/>
      <c r="CT112" s="234"/>
      <c r="CU112" s="234"/>
      <c r="CV112" s="234"/>
      <c r="CW112" s="234"/>
      <c r="CX112" s="234"/>
      <c r="CY112" s="31"/>
      <c r="CZ112" s="234"/>
      <c r="DA112" s="234"/>
      <c r="DB112" s="234"/>
      <c r="DC112" s="234"/>
      <c r="DD112" s="234"/>
      <c r="DE112" s="234"/>
      <c r="DF112" s="234"/>
      <c r="DG112" s="234"/>
      <c r="DH112" s="234"/>
      <c r="DI112" s="234"/>
      <c r="DJ112" s="234"/>
      <c r="DK112" s="234"/>
      <c r="DL112" s="234"/>
      <c r="DM112" s="234"/>
      <c r="DN112" s="234"/>
      <c r="DO112" s="234"/>
      <c r="DP112" s="234"/>
      <c r="DQ112" s="234"/>
      <c r="DR112" s="234"/>
      <c r="DS112" s="234"/>
      <c r="DT112" s="234"/>
    </row>
    <row r="113" spans="1:124" s="231" customFormat="1" ht="16.5" customHeight="1" x14ac:dyDescent="0.25">
      <c r="A113" s="232"/>
      <c r="B113" s="250"/>
      <c r="C113" s="514"/>
      <c r="D113" s="515"/>
      <c r="E113" s="232"/>
      <c r="F113" s="387">
        <f t="shared" ca="1" si="233"/>
        <v>2017</v>
      </c>
      <c r="G113" s="387" t="str">
        <f t="shared" ca="1" si="222"/>
        <v xml:space="preserve">jun </v>
      </c>
      <c r="H113" s="70"/>
      <c r="I113" s="109">
        <f t="shared" si="223"/>
        <v>0</v>
      </c>
      <c r="J113" s="388"/>
      <c r="K113" s="73"/>
      <c r="L113" s="108">
        <f t="shared" si="224"/>
        <v>0</v>
      </c>
      <c r="M113" s="394"/>
      <c r="N113" s="73"/>
      <c r="O113" s="108">
        <f t="shared" si="225"/>
        <v>0</v>
      </c>
      <c r="P113" s="394"/>
      <c r="Q113" s="73"/>
      <c r="R113" s="73"/>
      <c r="S113" s="73"/>
      <c r="T113" s="73"/>
      <c r="U113" s="73"/>
      <c r="V113" s="73"/>
      <c r="W113" s="232"/>
      <c r="X113" s="233"/>
      <c r="Y113" s="252">
        <f t="shared" si="213"/>
        <v>0</v>
      </c>
      <c r="Z113" s="252">
        <f t="shared" si="208"/>
        <v>0</v>
      </c>
      <c r="AA113" s="252">
        <f t="shared" si="214"/>
        <v>0</v>
      </c>
      <c r="AB113" s="252">
        <f t="shared" si="215"/>
        <v>0</v>
      </c>
      <c r="AC113" s="233"/>
      <c r="AD113" s="252">
        <f>IF(AND('Indata byggnad och BBR krav'!$C$17&gt;0,$D$107="Mäts separat"),(IF($J$104=$AD$101,I116,0)+IF($M$104=$AD$101,L116,0)+IF($P$104=$AD$101,O116,0)),0)</f>
        <v>0</v>
      </c>
      <c r="AE113" s="233"/>
      <c r="AF113" s="252">
        <f t="shared" si="216"/>
        <v>0</v>
      </c>
      <c r="AG113" s="252">
        <f t="shared" si="209"/>
        <v>0</v>
      </c>
      <c r="AH113" s="252">
        <f t="shared" si="210"/>
        <v>0</v>
      </c>
      <c r="AI113" s="259">
        <f t="shared" si="217"/>
        <v>0</v>
      </c>
      <c r="AJ113" s="307">
        <f t="shared" si="218"/>
        <v>0</v>
      </c>
      <c r="AK113" s="366" t="str">
        <f t="shared" si="219"/>
        <v/>
      </c>
      <c r="AL113" s="362" t="str">
        <f t="shared" si="220"/>
        <v/>
      </c>
      <c r="AM113" s="56" t="str">
        <f t="shared" ca="1" si="211"/>
        <v>sept</v>
      </c>
      <c r="AN113" s="279">
        <f t="shared" ca="1" si="221"/>
        <v>5.4630000000000005E-2</v>
      </c>
      <c r="AO113" s="193" t="e">
        <f t="shared" ca="1" si="212"/>
        <v>#DIV/0!</v>
      </c>
      <c r="AP113" s="233"/>
      <c r="AQ113" s="233"/>
      <c r="AR113" s="233"/>
      <c r="AS113" s="233"/>
      <c r="AT113" s="233"/>
      <c r="AU113" s="233"/>
      <c r="AV113" s="233"/>
      <c r="AW113" s="233"/>
      <c r="AX113" s="233"/>
      <c r="AY113" s="234"/>
      <c r="AZ113" s="234"/>
      <c r="BA113" s="234"/>
      <c r="BB113" s="85">
        <f t="shared" si="227"/>
        <v>0</v>
      </c>
      <c r="BC113" s="85">
        <f t="shared" si="228"/>
        <v>0</v>
      </c>
      <c r="BD113" s="85">
        <f t="shared" si="229"/>
        <v>0</v>
      </c>
      <c r="BE113" s="47">
        <f t="shared" si="234"/>
        <v>0</v>
      </c>
      <c r="BF113" s="234"/>
      <c r="BG113" s="234"/>
      <c r="BH113" s="234"/>
      <c r="BI113" s="234"/>
      <c r="BJ113" s="234"/>
      <c r="BK113" s="234"/>
      <c r="BL113" s="47">
        <f t="shared" si="230"/>
        <v>0</v>
      </c>
      <c r="BM113" s="47">
        <f t="shared" si="231"/>
        <v>0</v>
      </c>
      <c r="BN113" s="47">
        <f t="shared" si="232"/>
        <v>0</v>
      </c>
      <c r="BO113" s="47">
        <f t="shared" si="235"/>
        <v>0</v>
      </c>
      <c r="BP113" s="234"/>
      <c r="BQ113" s="234"/>
      <c r="BR113" s="234"/>
      <c r="BS113" s="234"/>
      <c r="BT113" s="67"/>
      <c r="BU113" s="67"/>
      <c r="BV113" s="67"/>
      <c r="BW113" s="67"/>
      <c r="BX113" s="67"/>
      <c r="BY113" s="67"/>
      <c r="BZ113" s="234"/>
      <c r="CA113" s="234"/>
      <c r="CB113" s="234"/>
      <c r="CC113" s="234"/>
      <c r="CD113" s="234"/>
      <c r="CE113" s="234"/>
      <c r="CF113" s="234"/>
      <c r="CG113" s="234"/>
      <c r="CH113" s="234"/>
      <c r="CI113" s="234"/>
      <c r="CJ113" s="234"/>
      <c r="CK113" s="234"/>
      <c r="CL113" s="234"/>
      <c r="CM113" s="234"/>
      <c r="CN113" s="234"/>
      <c r="CO113" s="234"/>
      <c r="CP113" s="234"/>
      <c r="CQ113" s="234"/>
      <c r="CR113" s="234"/>
      <c r="CS113" s="234"/>
      <c r="CT113" s="234"/>
      <c r="CU113" s="234"/>
      <c r="CV113" s="234"/>
      <c r="CW113" s="234"/>
      <c r="CX113" s="234"/>
      <c r="CY113" s="31"/>
      <c r="CZ113" s="234"/>
      <c r="DA113" s="234"/>
      <c r="DB113" s="234"/>
      <c r="DC113" s="234"/>
      <c r="DD113" s="234"/>
      <c r="DE113" s="234"/>
      <c r="DF113" s="234"/>
      <c r="DG113" s="234"/>
      <c r="DH113" s="234"/>
      <c r="DI113" s="234"/>
      <c r="DJ113" s="234"/>
      <c r="DK113" s="234"/>
      <c r="DL113" s="234"/>
      <c r="DM113" s="234"/>
      <c r="DN113" s="234"/>
      <c r="DO113" s="234"/>
      <c r="DP113" s="234"/>
      <c r="DQ113" s="234"/>
      <c r="DR113" s="234"/>
      <c r="DS113" s="234"/>
      <c r="DT113" s="234"/>
    </row>
    <row r="114" spans="1:124" s="231" customFormat="1" ht="16.5" customHeight="1" x14ac:dyDescent="0.25">
      <c r="A114" s="232"/>
      <c r="B114" s="250"/>
      <c r="C114" s="516"/>
      <c r="D114" s="517"/>
      <c r="E114" s="232"/>
      <c r="F114" s="387">
        <f t="shared" ca="1" si="233"/>
        <v>2017</v>
      </c>
      <c r="G114" s="387" t="str">
        <f t="shared" ca="1" si="222"/>
        <v>jul</v>
      </c>
      <c r="H114" s="70"/>
      <c r="I114" s="109">
        <f t="shared" si="223"/>
        <v>0</v>
      </c>
      <c r="J114" s="388"/>
      <c r="K114" s="73"/>
      <c r="L114" s="108">
        <f t="shared" si="224"/>
        <v>0</v>
      </c>
      <c r="M114" s="394"/>
      <c r="N114" s="73"/>
      <c r="O114" s="108">
        <f t="shared" si="225"/>
        <v>0</v>
      </c>
      <c r="P114" s="394"/>
      <c r="Q114" s="73"/>
      <c r="R114" s="73"/>
      <c r="S114" s="73"/>
      <c r="T114" s="73"/>
      <c r="U114" s="73"/>
      <c r="V114" s="73"/>
      <c r="W114" s="232"/>
      <c r="X114" s="233"/>
      <c r="Y114" s="252">
        <f t="shared" si="213"/>
        <v>0</v>
      </c>
      <c r="Z114" s="252">
        <f t="shared" si="208"/>
        <v>0</v>
      </c>
      <c r="AA114" s="252">
        <f t="shared" si="214"/>
        <v>0</v>
      </c>
      <c r="AB114" s="252">
        <f t="shared" si="215"/>
        <v>0</v>
      </c>
      <c r="AC114" s="233"/>
      <c r="AD114" s="252">
        <f>IF(AND('Indata byggnad och BBR krav'!$C$17&gt;0,$D$107="Mäts separat"),(IF($J$104=$AD$101,I117,0)+IF($M$104=$AD$101,L117,0)+IF($P$104=$AD$101,O117,0)),0)</f>
        <v>0</v>
      </c>
      <c r="AE114" s="233"/>
      <c r="AF114" s="252">
        <f t="shared" si="216"/>
        <v>0</v>
      </c>
      <c r="AG114" s="252">
        <f t="shared" si="209"/>
        <v>0</v>
      </c>
      <c r="AH114" s="252">
        <f t="shared" si="210"/>
        <v>0</v>
      </c>
      <c r="AI114" s="259">
        <f t="shared" si="217"/>
        <v>0</v>
      </c>
      <c r="AJ114" s="307">
        <f t="shared" si="218"/>
        <v>0</v>
      </c>
      <c r="AK114" s="366" t="str">
        <f t="shared" si="219"/>
        <v/>
      </c>
      <c r="AL114" s="362" t="str">
        <f t="shared" si="220"/>
        <v/>
      </c>
      <c r="AM114" s="56" t="str">
        <f t="shared" ca="1" si="211"/>
        <v>okt</v>
      </c>
      <c r="AN114" s="279">
        <f t="shared" ca="1" si="221"/>
        <v>9.0889999999999999E-2</v>
      </c>
      <c r="AO114" s="193" t="e">
        <f t="shared" ca="1" si="212"/>
        <v>#DIV/0!</v>
      </c>
      <c r="AP114" s="233"/>
      <c r="AQ114" s="233"/>
      <c r="AR114" s="233"/>
      <c r="AS114" s="233"/>
      <c r="AT114" s="233"/>
      <c r="AU114" s="233"/>
      <c r="AV114" s="233"/>
      <c r="AW114" s="233"/>
      <c r="AX114" s="233"/>
      <c r="AY114" s="234"/>
      <c r="AZ114" s="234"/>
      <c r="BA114" s="234"/>
      <c r="BB114" s="85">
        <f t="shared" si="227"/>
        <v>0</v>
      </c>
      <c r="BC114" s="85">
        <f t="shared" si="228"/>
        <v>0</v>
      </c>
      <c r="BD114" s="85">
        <f t="shared" si="229"/>
        <v>0</v>
      </c>
      <c r="BE114" s="47">
        <f t="shared" si="234"/>
        <v>0</v>
      </c>
      <c r="BF114" s="234"/>
      <c r="BG114" s="234"/>
      <c r="BH114" s="234"/>
      <c r="BI114" s="234"/>
      <c r="BJ114" s="234"/>
      <c r="BK114" s="234"/>
      <c r="BL114" s="47">
        <f t="shared" si="230"/>
        <v>0</v>
      </c>
      <c r="BM114" s="47">
        <f t="shared" si="231"/>
        <v>0</v>
      </c>
      <c r="BN114" s="47">
        <f t="shared" si="232"/>
        <v>0</v>
      </c>
      <c r="BO114" s="47">
        <f t="shared" si="235"/>
        <v>0</v>
      </c>
      <c r="BP114" s="234"/>
      <c r="BQ114" s="234"/>
      <c r="BR114" s="234"/>
      <c r="BS114" s="234"/>
      <c r="BT114" s="67"/>
      <c r="BU114" s="67"/>
      <c r="BV114" s="67"/>
      <c r="BW114" s="67"/>
      <c r="BX114" s="67"/>
      <c r="BY114" s="67"/>
      <c r="BZ114" s="234"/>
      <c r="CA114" s="234"/>
      <c r="CB114" s="234"/>
      <c r="CC114" s="234"/>
      <c r="CD114" s="234"/>
      <c r="CE114" s="234"/>
      <c r="CF114" s="234"/>
      <c r="CG114" s="234"/>
      <c r="CH114" s="234"/>
      <c r="CI114" s="234"/>
      <c r="CJ114" s="234"/>
      <c r="CK114" s="234"/>
      <c r="CL114" s="234"/>
      <c r="CM114" s="234"/>
      <c r="CN114" s="234"/>
      <c r="CO114" s="234"/>
      <c r="CP114" s="234"/>
      <c r="CQ114" s="234"/>
      <c r="CR114" s="234"/>
      <c r="CS114" s="234"/>
      <c r="CT114" s="234"/>
      <c r="CU114" s="234"/>
      <c r="CV114" s="234"/>
      <c r="CW114" s="234"/>
      <c r="CX114" s="234"/>
      <c r="CY114" s="31"/>
      <c r="CZ114" s="234"/>
      <c r="DA114" s="234"/>
      <c r="DB114" s="234"/>
      <c r="DC114" s="234"/>
      <c r="DD114" s="234"/>
      <c r="DE114" s="234"/>
      <c r="DF114" s="234"/>
      <c r="DG114" s="234"/>
      <c r="DH114" s="234"/>
      <c r="DI114" s="234"/>
      <c r="DJ114" s="234"/>
      <c r="DK114" s="234"/>
      <c r="DL114" s="234"/>
      <c r="DM114" s="234"/>
      <c r="DN114" s="234"/>
      <c r="DO114" s="234"/>
      <c r="DP114" s="234"/>
      <c r="DQ114" s="234"/>
      <c r="DR114" s="234"/>
      <c r="DS114" s="234"/>
      <c r="DT114" s="234"/>
    </row>
    <row r="115" spans="1:124" s="231" customFormat="1" ht="16.5" customHeight="1" x14ac:dyDescent="0.25">
      <c r="A115" s="232"/>
      <c r="B115" s="250"/>
      <c r="C115" s="250"/>
      <c r="D115" s="250"/>
      <c r="E115" s="232"/>
      <c r="F115" s="387">
        <f t="shared" ca="1" si="233"/>
        <v>2017</v>
      </c>
      <c r="G115" s="387" t="str">
        <f t="shared" ca="1" si="222"/>
        <v>aug</v>
      </c>
      <c r="H115" s="70"/>
      <c r="I115" s="109">
        <f t="shared" si="223"/>
        <v>0</v>
      </c>
      <c r="J115" s="388"/>
      <c r="K115" s="73"/>
      <c r="L115" s="108">
        <f t="shared" si="224"/>
        <v>0</v>
      </c>
      <c r="M115" s="394"/>
      <c r="N115" s="73"/>
      <c r="O115" s="108">
        <f t="shared" si="225"/>
        <v>0</v>
      </c>
      <c r="P115" s="394"/>
      <c r="Q115" s="73"/>
      <c r="R115" s="73"/>
      <c r="S115" s="73"/>
      <c r="T115" s="73"/>
      <c r="U115" s="73"/>
      <c r="V115" s="73"/>
      <c r="W115" s="232"/>
      <c r="X115" s="233"/>
      <c r="Y115" s="252">
        <f t="shared" si="213"/>
        <v>0</v>
      </c>
      <c r="Z115" s="252">
        <f t="shared" si="208"/>
        <v>0</v>
      </c>
      <c r="AA115" s="252">
        <f t="shared" si="214"/>
        <v>0</v>
      </c>
      <c r="AB115" s="252">
        <f t="shared" si="215"/>
        <v>0</v>
      </c>
      <c r="AC115" s="233"/>
      <c r="AD115" s="252">
        <f>IF(AND('Indata byggnad och BBR krav'!$C$17&gt;0,$D$107="Mäts separat"),(IF($J$104=$AD$101,I118,0)+IF($M$104=$AD$101,L118,0)+IF($P$104=$AD$101,O118,0)),0)</f>
        <v>0</v>
      </c>
      <c r="AE115" s="233"/>
      <c r="AF115" s="252">
        <f t="shared" si="216"/>
        <v>0</v>
      </c>
      <c r="AG115" s="252">
        <f t="shared" si="209"/>
        <v>0</v>
      </c>
      <c r="AH115" s="252">
        <f t="shared" si="210"/>
        <v>0</v>
      </c>
      <c r="AI115" s="259">
        <f t="shared" si="217"/>
        <v>0</v>
      </c>
      <c r="AJ115" s="307">
        <f t="shared" si="218"/>
        <v>0</v>
      </c>
      <c r="AK115" s="366" t="str">
        <f t="shared" si="219"/>
        <v/>
      </c>
      <c r="AL115" s="362" t="str">
        <f t="shared" si="220"/>
        <v/>
      </c>
      <c r="AM115" s="56" t="str">
        <f t="shared" ca="1" si="211"/>
        <v>nov</v>
      </c>
      <c r="AN115" s="279">
        <f t="shared" ca="1" si="221"/>
        <v>0.10604000000000001</v>
      </c>
      <c r="AO115" s="193" t="e">
        <f t="shared" ca="1" si="212"/>
        <v>#DIV/0!</v>
      </c>
      <c r="AP115" s="233"/>
      <c r="AQ115" s="233"/>
      <c r="AR115" s="233"/>
      <c r="AS115" s="233"/>
      <c r="AT115" s="233"/>
      <c r="AU115" s="233"/>
      <c r="AV115" s="233"/>
      <c r="AW115" s="233"/>
      <c r="AX115" s="233"/>
      <c r="AY115" s="234"/>
      <c r="AZ115" s="234"/>
      <c r="BA115" s="234"/>
      <c r="BB115" s="85">
        <f t="shared" si="227"/>
        <v>0</v>
      </c>
      <c r="BC115" s="85">
        <f t="shared" si="228"/>
        <v>0</v>
      </c>
      <c r="BD115" s="85">
        <f t="shared" si="229"/>
        <v>0</v>
      </c>
      <c r="BE115" s="47">
        <f t="shared" si="234"/>
        <v>0</v>
      </c>
      <c r="BF115" s="234"/>
      <c r="BG115" s="234"/>
      <c r="BH115" s="234"/>
      <c r="BI115" s="234"/>
      <c r="BJ115" s="234"/>
      <c r="BK115" s="234"/>
      <c r="BL115" s="47">
        <f t="shared" si="230"/>
        <v>0</v>
      </c>
      <c r="BM115" s="47">
        <f t="shared" si="231"/>
        <v>0</v>
      </c>
      <c r="BN115" s="47">
        <f t="shared" si="232"/>
        <v>0</v>
      </c>
      <c r="BO115" s="47">
        <f t="shared" si="235"/>
        <v>0</v>
      </c>
      <c r="BP115" s="234"/>
      <c r="BQ115" s="234"/>
      <c r="BR115" s="234"/>
      <c r="BS115" s="234"/>
      <c r="BT115" s="67"/>
      <c r="BU115" s="67"/>
      <c r="BV115" s="67"/>
      <c r="BW115" s="67"/>
      <c r="BX115" s="67"/>
      <c r="BY115" s="67"/>
      <c r="BZ115" s="234"/>
      <c r="CA115" s="234"/>
      <c r="CB115" s="234"/>
      <c r="CC115" s="234"/>
      <c r="CD115" s="234"/>
      <c r="CE115" s="234"/>
      <c r="CF115" s="234"/>
      <c r="CG115" s="234"/>
      <c r="CH115" s="234"/>
      <c r="CI115" s="234"/>
      <c r="CJ115" s="234"/>
      <c r="CK115" s="234"/>
      <c r="CL115" s="234"/>
      <c r="CM115" s="234"/>
      <c r="CN115" s="234"/>
      <c r="CO115" s="234"/>
      <c r="CP115" s="234"/>
      <c r="CQ115" s="234"/>
      <c r="CR115" s="234"/>
      <c r="CS115" s="234"/>
      <c r="CT115" s="234"/>
      <c r="CU115" s="234"/>
      <c r="CV115" s="234"/>
      <c r="CW115" s="234"/>
      <c r="CX115" s="234"/>
      <c r="CY115" s="31"/>
      <c r="CZ115" s="234"/>
      <c r="DA115" s="234"/>
      <c r="DB115" s="234"/>
      <c r="DC115" s="234"/>
      <c r="DD115" s="234"/>
      <c r="DE115" s="234"/>
      <c r="DF115" s="234"/>
      <c r="DG115" s="234"/>
      <c r="DH115" s="234"/>
      <c r="DI115" s="234"/>
      <c r="DJ115" s="234"/>
      <c r="DK115" s="234"/>
      <c r="DL115" s="234"/>
      <c r="DM115" s="234"/>
      <c r="DN115" s="234"/>
      <c r="DO115" s="234"/>
      <c r="DP115" s="234"/>
      <c r="DQ115" s="234"/>
      <c r="DR115" s="234"/>
      <c r="DS115" s="234"/>
      <c r="DT115" s="234"/>
    </row>
    <row r="116" spans="1:124" s="231" customFormat="1" ht="16.5" customHeight="1" thickBot="1" x14ac:dyDescent="0.3">
      <c r="A116" s="232"/>
      <c r="B116" s="250"/>
      <c r="C116" s="250"/>
      <c r="D116" s="250"/>
      <c r="E116" s="232"/>
      <c r="F116" s="387">
        <f t="shared" ca="1" si="233"/>
        <v>2017</v>
      </c>
      <c r="G116" s="387" t="str">
        <f t="shared" ca="1" si="222"/>
        <v>sept</v>
      </c>
      <c r="H116" s="70"/>
      <c r="I116" s="109">
        <f t="shared" si="223"/>
        <v>0</v>
      </c>
      <c r="J116" s="388"/>
      <c r="K116" s="73"/>
      <c r="L116" s="108">
        <f t="shared" si="224"/>
        <v>0</v>
      </c>
      <c r="M116" s="394"/>
      <c r="N116" s="73"/>
      <c r="O116" s="108">
        <f t="shared" si="225"/>
        <v>0</v>
      </c>
      <c r="P116" s="394"/>
      <c r="Q116" s="73"/>
      <c r="R116" s="73"/>
      <c r="S116" s="73"/>
      <c r="T116" s="73"/>
      <c r="U116" s="73"/>
      <c r="V116" s="73"/>
      <c r="W116" s="232"/>
      <c r="X116" s="233"/>
      <c r="Y116" s="254">
        <f t="shared" si="213"/>
        <v>0</v>
      </c>
      <c r="Z116" s="254">
        <f t="shared" si="208"/>
        <v>0</v>
      </c>
      <c r="AA116" s="254">
        <f t="shared" si="214"/>
        <v>0</v>
      </c>
      <c r="AB116" s="254">
        <f t="shared" si="215"/>
        <v>0</v>
      </c>
      <c r="AC116" s="233"/>
      <c r="AD116" s="254">
        <f>IF(AND('Indata byggnad och BBR krav'!$C$17&gt;0,$D$107="Mäts separat"),(IF($J$104=$AD$101,I119,0)+IF($M$104=$AD$101,L119,0)+IF($P$104=$AD$101,O119,0)),0)</f>
        <v>0</v>
      </c>
      <c r="AE116" s="233"/>
      <c r="AF116" s="254">
        <f t="shared" si="216"/>
        <v>0</v>
      </c>
      <c r="AG116" s="254">
        <f t="shared" si="209"/>
        <v>0</v>
      </c>
      <c r="AH116" s="254">
        <f t="shared" si="210"/>
        <v>0</v>
      </c>
      <c r="AI116" s="274">
        <f t="shared" si="217"/>
        <v>0</v>
      </c>
      <c r="AJ116" s="308">
        <f t="shared" si="218"/>
        <v>0</v>
      </c>
      <c r="AK116" s="366" t="str">
        <f t="shared" si="219"/>
        <v/>
      </c>
      <c r="AL116" s="362" t="str">
        <f t="shared" si="220"/>
        <v/>
      </c>
      <c r="AM116" s="114" t="str">
        <f t="shared" ca="1" si="211"/>
        <v>dec</v>
      </c>
      <c r="AN116" s="280">
        <f t="shared" ca="1" si="221"/>
        <v>0.11701</v>
      </c>
      <c r="AO116" s="304" t="e">
        <f t="shared" ca="1" si="212"/>
        <v>#DIV/0!</v>
      </c>
      <c r="AP116" s="233"/>
      <c r="AQ116" s="233"/>
      <c r="AR116" s="233"/>
      <c r="AS116" s="233"/>
      <c r="AT116" s="233"/>
      <c r="AU116" s="233"/>
      <c r="AV116" s="233"/>
      <c r="AW116" s="233"/>
      <c r="AX116" s="233"/>
      <c r="AY116" s="234"/>
      <c r="AZ116" s="234"/>
      <c r="BA116" s="234"/>
      <c r="BB116" s="85">
        <f t="shared" si="227"/>
        <v>0</v>
      </c>
      <c r="BC116" s="85">
        <f t="shared" si="228"/>
        <v>0</v>
      </c>
      <c r="BD116" s="85">
        <f t="shared" si="229"/>
        <v>0</v>
      </c>
      <c r="BE116" s="47">
        <f t="shared" si="234"/>
        <v>0</v>
      </c>
      <c r="BF116" s="234"/>
      <c r="BG116" s="234"/>
      <c r="BH116" s="234"/>
      <c r="BI116" s="234"/>
      <c r="BJ116" s="234"/>
      <c r="BK116" s="234"/>
      <c r="BL116" s="47">
        <f t="shared" si="230"/>
        <v>0</v>
      </c>
      <c r="BM116" s="47">
        <f t="shared" si="231"/>
        <v>0</v>
      </c>
      <c r="BN116" s="47">
        <f t="shared" si="232"/>
        <v>0</v>
      </c>
      <c r="BO116" s="47">
        <f t="shared" si="235"/>
        <v>0</v>
      </c>
      <c r="BP116" s="234"/>
      <c r="BQ116" s="234"/>
      <c r="BR116" s="234"/>
      <c r="BS116" s="234"/>
      <c r="BT116" s="67"/>
      <c r="BU116" s="67"/>
      <c r="BV116" s="67"/>
      <c r="BW116" s="67"/>
      <c r="BX116" s="67"/>
      <c r="BY116" s="67"/>
      <c r="BZ116" s="234"/>
      <c r="CA116" s="234"/>
      <c r="CB116" s="234"/>
      <c r="CC116" s="234"/>
      <c r="CD116" s="234"/>
      <c r="CE116" s="234"/>
      <c r="CF116" s="234"/>
      <c r="CG116" s="234"/>
      <c r="CH116" s="234"/>
      <c r="CI116" s="234"/>
      <c r="CJ116" s="234"/>
      <c r="CK116" s="234"/>
      <c r="CL116" s="234"/>
      <c r="CM116" s="234"/>
      <c r="CN116" s="234"/>
      <c r="CO116" s="234"/>
      <c r="CP116" s="234"/>
      <c r="CQ116" s="234"/>
      <c r="CR116" s="234"/>
      <c r="CS116" s="234"/>
      <c r="CT116" s="234"/>
      <c r="CU116" s="234"/>
      <c r="CV116" s="234"/>
      <c r="CW116" s="234"/>
      <c r="CX116" s="234"/>
      <c r="CY116" s="31"/>
      <c r="CZ116" s="234"/>
      <c r="DA116" s="234"/>
      <c r="DB116" s="234"/>
      <c r="DC116" s="234"/>
      <c r="DD116" s="234"/>
      <c r="DE116" s="234"/>
      <c r="DF116" s="234"/>
      <c r="DG116" s="234"/>
      <c r="DH116" s="234"/>
      <c r="DI116" s="234"/>
      <c r="DJ116" s="234"/>
      <c r="DK116" s="234"/>
      <c r="DL116" s="234"/>
      <c r="DM116" s="234"/>
      <c r="DN116" s="234"/>
      <c r="DO116" s="234"/>
      <c r="DP116" s="234"/>
      <c r="DQ116" s="234"/>
      <c r="DR116" s="234"/>
      <c r="DS116" s="234"/>
      <c r="DT116" s="234"/>
    </row>
    <row r="117" spans="1:124" s="231" customFormat="1" ht="16.5" customHeight="1" thickTop="1" thickBot="1" x14ac:dyDescent="0.3">
      <c r="A117" s="232"/>
      <c r="B117" s="250"/>
      <c r="C117" s="250"/>
      <c r="D117" s="250"/>
      <c r="E117" s="232"/>
      <c r="F117" s="387">
        <f t="shared" ca="1" si="233"/>
        <v>2017</v>
      </c>
      <c r="G117" s="387" t="str">
        <f t="shared" ca="1" si="222"/>
        <v>okt</v>
      </c>
      <c r="H117" s="70"/>
      <c r="I117" s="109">
        <f t="shared" si="223"/>
        <v>0</v>
      </c>
      <c r="J117" s="388"/>
      <c r="K117" s="73"/>
      <c r="L117" s="108">
        <f t="shared" si="224"/>
        <v>0</v>
      </c>
      <c r="M117" s="394"/>
      <c r="N117" s="73"/>
      <c r="O117" s="108">
        <f t="shared" si="225"/>
        <v>0</v>
      </c>
      <c r="P117" s="394"/>
      <c r="Q117" s="73"/>
      <c r="R117" s="73"/>
      <c r="S117" s="73"/>
      <c r="T117" s="73"/>
      <c r="U117" s="73"/>
      <c r="V117" s="73"/>
      <c r="W117" s="232"/>
      <c r="X117" s="236" t="s">
        <v>1296</v>
      </c>
      <c r="Y117" s="256">
        <f>SUM(Y105:Y116)</f>
        <v>0</v>
      </c>
      <c r="Z117" s="256">
        <f>SUM(Z105:Z116)</f>
        <v>0</v>
      </c>
      <c r="AA117" s="257">
        <f>SUM(AA105:AA116)</f>
        <v>0</v>
      </c>
      <c r="AB117" s="119">
        <f>Y117+Z117+AA117</f>
        <v>0</v>
      </c>
      <c r="AC117" s="233"/>
      <c r="AD117" s="256">
        <f>SUM(AD105:AD116)</f>
        <v>0</v>
      </c>
      <c r="AE117" s="236" t="s">
        <v>1194</v>
      </c>
      <c r="AF117" s="256">
        <f>SUM(AF105:AF116)</f>
        <v>0</v>
      </c>
      <c r="AG117" s="256">
        <f>SUM(AG105:AG116)</f>
        <v>0</v>
      </c>
      <c r="AH117" s="118">
        <f>SUM(AH105:AH116)</f>
        <v>0</v>
      </c>
      <c r="AI117" s="257">
        <f>SUM(AI105:AI116)</f>
        <v>0</v>
      </c>
      <c r="AJ117" s="177">
        <f>SUM(AJ105:AJ116)</f>
        <v>0</v>
      </c>
      <c r="AK117" s="233"/>
      <c r="AL117" s="233"/>
      <c r="AM117" s="116"/>
      <c r="AN117" s="305">
        <v>1.0000199999999999</v>
      </c>
      <c r="AO117" s="260" t="e">
        <f ca="1">SUM(AO105:AO116)</f>
        <v>#DIV/0!</v>
      </c>
      <c r="AP117" s="266"/>
      <c r="AQ117" s="266"/>
      <c r="AR117" s="266"/>
      <c r="AS117" s="266"/>
      <c r="AT117" s="266"/>
      <c r="AU117" s="266"/>
      <c r="AV117" s="266"/>
      <c r="AW117" s="266"/>
      <c r="AX117" s="266"/>
      <c r="AY117" s="234"/>
      <c r="AZ117" s="234"/>
      <c r="BA117" s="234"/>
      <c r="BB117" s="85">
        <f t="shared" si="227"/>
        <v>0</v>
      </c>
      <c r="BC117" s="85">
        <f t="shared" si="228"/>
        <v>0</v>
      </c>
      <c r="BD117" s="85">
        <f t="shared" si="229"/>
        <v>0</v>
      </c>
      <c r="BE117" s="47">
        <f t="shared" si="234"/>
        <v>0</v>
      </c>
      <c r="BF117" s="234"/>
      <c r="BG117" s="234"/>
      <c r="BH117" s="234"/>
      <c r="BI117" s="234"/>
      <c r="BJ117" s="234"/>
      <c r="BK117" s="234"/>
      <c r="BL117" s="47">
        <f t="shared" si="230"/>
        <v>0</v>
      </c>
      <c r="BM117" s="47">
        <f t="shared" si="231"/>
        <v>0</v>
      </c>
      <c r="BN117" s="47">
        <f t="shared" si="232"/>
        <v>0</v>
      </c>
      <c r="BO117" s="47">
        <f t="shared" si="235"/>
        <v>0</v>
      </c>
      <c r="BP117" s="234"/>
      <c r="BQ117" s="234"/>
      <c r="BR117" s="234"/>
      <c r="BS117" s="234"/>
      <c r="BT117" s="67"/>
      <c r="BU117" s="67"/>
      <c r="BV117" s="67"/>
      <c r="BW117" s="67"/>
      <c r="BX117" s="67"/>
      <c r="BY117" s="67"/>
      <c r="BZ117" s="234"/>
      <c r="CA117" s="234"/>
      <c r="CB117" s="234"/>
      <c r="CC117" s="234"/>
      <c r="CD117" s="234"/>
      <c r="CE117" s="234"/>
      <c r="CF117" s="234"/>
      <c r="CG117" s="234"/>
      <c r="CH117" s="234"/>
      <c r="CI117" s="234"/>
      <c r="CJ117" s="234"/>
      <c r="CK117" s="234"/>
      <c r="CL117" s="234"/>
      <c r="CM117" s="234"/>
      <c r="CN117" s="234"/>
      <c r="CO117" s="234"/>
      <c r="CP117" s="234"/>
      <c r="CQ117" s="234"/>
      <c r="CR117" s="234"/>
      <c r="CS117" s="234"/>
      <c r="CT117" s="234"/>
      <c r="CU117" s="234"/>
      <c r="CV117" s="234"/>
      <c r="CW117" s="234"/>
      <c r="CX117" s="234"/>
      <c r="CY117" s="31"/>
      <c r="CZ117" s="234"/>
      <c r="DA117" s="234"/>
      <c r="DB117" s="234"/>
      <c r="DC117" s="234"/>
      <c r="DD117" s="234"/>
      <c r="DE117" s="234"/>
      <c r="DF117" s="234"/>
      <c r="DG117" s="234"/>
      <c r="DH117" s="234"/>
      <c r="DI117" s="234"/>
      <c r="DJ117" s="234"/>
      <c r="DK117" s="234"/>
      <c r="DL117" s="234"/>
      <c r="DM117" s="234"/>
      <c r="DN117" s="234"/>
      <c r="DO117" s="234"/>
      <c r="DP117" s="234"/>
      <c r="DQ117" s="234"/>
      <c r="DR117" s="234"/>
      <c r="DS117" s="234"/>
      <c r="DT117" s="234"/>
    </row>
    <row r="118" spans="1:124" s="231" customFormat="1" ht="16.5" customHeight="1" x14ac:dyDescent="0.25">
      <c r="A118" s="232"/>
      <c r="B118" s="250"/>
      <c r="C118" s="250"/>
      <c r="D118" s="250"/>
      <c r="E118" s="232"/>
      <c r="F118" s="387">
        <f t="shared" ca="1" si="233"/>
        <v>2017</v>
      </c>
      <c r="G118" s="387" t="str">
        <f t="shared" ca="1" si="222"/>
        <v>nov</v>
      </c>
      <c r="H118" s="70"/>
      <c r="I118" s="109">
        <f t="shared" si="223"/>
        <v>0</v>
      </c>
      <c r="J118" s="388"/>
      <c r="K118" s="73"/>
      <c r="L118" s="108">
        <f t="shared" si="224"/>
        <v>0</v>
      </c>
      <c r="M118" s="394"/>
      <c r="N118" s="73"/>
      <c r="O118" s="108">
        <f t="shared" si="225"/>
        <v>0</v>
      </c>
      <c r="P118" s="394"/>
      <c r="Q118" s="73"/>
      <c r="R118" s="73"/>
      <c r="S118" s="73"/>
      <c r="T118" s="73"/>
      <c r="U118" s="73"/>
      <c r="V118" s="73"/>
      <c r="W118" s="232"/>
      <c r="X118" s="236" t="s">
        <v>1381</v>
      </c>
      <c r="Y118" s="248">
        <f>IF(Y104="El",Y117-$AA$142,Y117)</f>
        <v>0</v>
      </c>
      <c r="Z118" s="248">
        <f>IF(Z104="El",Z117-$AA$142,Z117)</f>
        <v>0</v>
      </c>
      <c r="AA118" s="263">
        <f>IF(AA104="El",AA117-$AA$142,AA117)</f>
        <v>0</v>
      </c>
      <c r="AB118" s="248">
        <f>Y118+Z118+AA118</f>
        <v>0</v>
      </c>
      <c r="AC118" s="233"/>
      <c r="AD118" s="233"/>
      <c r="AE118" s="233"/>
      <c r="AF118" s="266"/>
      <c r="AG118" s="266"/>
      <c r="AH118" s="266"/>
      <c r="AI118" s="266"/>
      <c r="AJ118" s="271"/>
      <c r="AK118" s="233"/>
      <c r="AL118" s="266"/>
      <c r="AM118" s="266"/>
      <c r="AN118" s="266"/>
      <c r="AO118" s="266"/>
      <c r="AP118" s="266"/>
      <c r="AQ118" s="266"/>
      <c r="AR118" s="266"/>
      <c r="AS118" s="266"/>
      <c r="AT118" s="266"/>
      <c r="AU118" s="266"/>
      <c r="AV118" s="266"/>
      <c r="AW118" s="266"/>
      <c r="AX118" s="266"/>
      <c r="AY118" s="234"/>
      <c r="AZ118" s="234"/>
      <c r="BA118" s="234"/>
      <c r="BB118" s="85">
        <f t="shared" si="227"/>
        <v>0</v>
      </c>
      <c r="BC118" s="85">
        <f t="shared" si="228"/>
        <v>0</v>
      </c>
      <c r="BD118" s="85">
        <f t="shared" si="229"/>
        <v>0</v>
      </c>
      <c r="BE118" s="47">
        <f t="shared" si="234"/>
        <v>0</v>
      </c>
      <c r="BF118" s="234"/>
      <c r="BG118" s="234"/>
      <c r="BH118" s="234"/>
      <c r="BI118" s="234"/>
      <c r="BJ118" s="234"/>
      <c r="BK118" s="234"/>
      <c r="BL118" s="47">
        <f t="shared" si="230"/>
        <v>0</v>
      </c>
      <c r="BM118" s="47">
        <f t="shared" si="231"/>
        <v>0</v>
      </c>
      <c r="BN118" s="47">
        <f t="shared" si="232"/>
        <v>0</v>
      </c>
      <c r="BO118" s="47">
        <f t="shared" si="235"/>
        <v>0</v>
      </c>
      <c r="BP118" s="234"/>
      <c r="BQ118" s="234"/>
      <c r="BR118" s="234"/>
      <c r="BS118" s="234"/>
      <c r="BT118" s="67"/>
      <c r="BU118" s="67"/>
      <c r="BV118" s="67"/>
      <c r="BW118" s="67"/>
      <c r="BX118" s="67"/>
      <c r="BY118" s="67"/>
      <c r="BZ118" s="234"/>
      <c r="CA118" s="234"/>
      <c r="CB118" s="234"/>
      <c r="CC118" s="234"/>
      <c r="CD118" s="234"/>
      <c r="CE118" s="234"/>
      <c r="CF118" s="234"/>
      <c r="CG118" s="234"/>
      <c r="CH118" s="234"/>
      <c r="CI118" s="234"/>
      <c r="CJ118" s="234"/>
      <c r="CK118" s="234"/>
      <c r="CL118" s="234"/>
      <c r="CM118" s="234"/>
      <c r="CN118" s="234"/>
      <c r="CO118" s="234"/>
      <c r="CP118" s="234"/>
      <c r="CQ118" s="234"/>
      <c r="CR118" s="234"/>
      <c r="CS118" s="234"/>
      <c r="CT118" s="234"/>
      <c r="CU118" s="234"/>
      <c r="CV118" s="234"/>
      <c r="CW118" s="234"/>
      <c r="CX118" s="234"/>
      <c r="CY118" s="31"/>
      <c r="CZ118" s="234"/>
      <c r="DA118" s="234"/>
      <c r="DB118" s="234"/>
      <c r="DC118" s="234"/>
      <c r="DD118" s="234"/>
      <c r="DE118" s="234"/>
      <c r="DF118" s="234"/>
      <c r="DG118" s="234"/>
      <c r="DH118" s="234"/>
      <c r="DI118" s="234"/>
      <c r="DJ118" s="234"/>
      <c r="DK118" s="234"/>
      <c r="DL118" s="234"/>
      <c r="DM118" s="234"/>
      <c r="DN118" s="234"/>
      <c r="DO118" s="234"/>
      <c r="DP118" s="234"/>
      <c r="DQ118" s="234"/>
      <c r="DR118" s="234"/>
      <c r="DS118" s="234"/>
      <c r="DT118" s="234"/>
    </row>
    <row r="119" spans="1:124" s="231" customFormat="1" ht="16.5" customHeight="1" x14ac:dyDescent="0.25">
      <c r="A119" s="232"/>
      <c r="B119" s="250"/>
      <c r="C119" s="250"/>
      <c r="D119" s="250"/>
      <c r="E119" s="232"/>
      <c r="F119" s="387">
        <f t="shared" ca="1" si="233"/>
        <v>2017</v>
      </c>
      <c r="G119" s="387" t="str">
        <f t="shared" ca="1" si="222"/>
        <v>dec</v>
      </c>
      <c r="H119" s="70"/>
      <c r="I119" s="109">
        <f t="shared" si="223"/>
        <v>0</v>
      </c>
      <c r="J119" s="388"/>
      <c r="K119" s="73"/>
      <c r="L119" s="108">
        <f t="shared" si="224"/>
        <v>0</v>
      </c>
      <c r="M119" s="394"/>
      <c r="N119" s="73"/>
      <c r="O119" s="108">
        <f t="shared" si="225"/>
        <v>0</v>
      </c>
      <c r="P119" s="394"/>
      <c r="Q119" s="73"/>
      <c r="R119" s="73"/>
      <c r="S119" s="73"/>
      <c r="T119" s="73"/>
      <c r="U119" s="73"/>
      <c r="V119" s="73"/>
      <c r="W119" s="232"/>
      <c r="X119" s="266"/>
      <c r="Y119" s="266"/>
      <c r="Z119" s="266"/>
      <c r="AA119" s="266"/>
      <c r="AB119" s="266"/>
      <c r="AC119" s="233"/>
      <c r="AD119" s="233"/>
      <c r="AE119" s="247"/>
      <c r="AF119" s="233"/>
      <c r="AG119" s="233"/>
      <c r="AH119" s="233"/>
      <c r="AI119" s="233"/>
      <c r="AJ119" s="233"/>
      <c r="AK119" s="233"/>
      <c r="AL119" s="233"/>
      <c r="AM119" s="233"/>
      <c r="AN119" s="233"/>
      <c r="AO119" s="233"/>
      <c r="AP119" s="233"/>
      <c r="AQ119" s="233"/>
      <c r="AR119" s="233"/>
      <c r="AS119" s="233"/>
      <c r="AT119" s="233"/>
      <c r="AU119" s="233"/>
      <c r="AV119" s="233"/>
      <c r="AW119" s="233"/>
      <c r="AX119" s="233"/>
      <c r="AY119" s="31"/>
      <c r="AZ119" s="234"/>
      <c r="BA119" s="234"/>
      <c r="BB119" s="85">
        <f t="shared" si="227"/>
        <v>0</v>
      </c>
      <c r="BC119" s="85">
        <f t="shared" si="228"/>
        <v>0</v>
      </c>
      <c r="BD119" s="85">
        <f t="shared" si="229"/>
        <v>0</v>
      </c>
      <c r="BE119" s="47">
        <f t="shared" si="234"/>
        <v>0</v>
      </c>
      <c r="BF119" s="234"/>
      <c r="BG119" s="31"/>
      <c r="BH119" s="31"/>
      <c r="BI119" s="31"/>
      <c r="BJ119" s="31"/>
      <c r="BK119" s="234"/>
      <c r="BL119" s="47">
        <f t="shared" si="230"/>
        <v>0</v>
      </c>
      <c r="BM119" s="47">
        <f t="shared" si="231"/>
        <v>0</v>
      </c>
      <c r="BN119" s="47">
        <f t="shared" si="232"/>
        <v>0</v>
      </c>
      <c r="BO119" s="47">
        <f t="shared" si="235"/>
        <v>0</v>
      </c>
      <c r="BP119" s="234"/>
      <c r="BQ119" s="234"/>
      <c r="BR119" s="234"/>
      <c r="BS119" s="234"/>
      <c r="BT119" s="31"/>
      <c r="BU119" s="31"/>
      <c r="BV119" s="31"/>
      <c r="BW119" s="31"/>
      <c r="BX119" s="31"/>
      <c r="BY119" s="31"/>
      <c r="BZ119" s="31"/>
      <c r="CA119" s="234"/>
      <c r="CB119" s="234"/>
      <c r="CC119" s="234"/>
      <c r="CD119" s="234"/>
      <c r="CE119" s="234"/>
      <c r="CF119" s="234"/>
      <c r="CG119" s="234"/>
      <c r="CH119" s="234"/>
      <c r="CI119" s="234"/>
      <c r="CJ119" s="234"/>
      <c r="CK119" s="234"/>
      <c r="CL119" s="234"/>
      <c r="CM119" s="234"/>
      <c r="CN119" s="234"/>
      <c r="CO119" s="234"/>
      <c r="CP119" s="234"/>
      <c r="CQ119" s="234"/>
      <c r="CR119" s="234"/>
      <c r="CS119" s="234"/>
      <c r="CT119" s="234"/>
      <c r="CU119" s="234"/>
      <c r="CV119" s="234"/>
      <c r="CW119" s="234"/>
      <c r="CX119" s="234"/>
      <c r="CY119" s="31"/>
      <c r="CZ119" s="234"/>
      <c r="DA119" s="234"/>
      <c r="DB119" s="234"/>
      <c r="DC119" s="234"/>
      <c r="DD119" s="234"/>
      <c r="DE119" s="234"/>
      <c r="DF119" s="234"/>
      <c r="DG119" s="234"/>
      <c r="DH119" s="234"/>
      <c r="DI119" s="234"/>
      <c r="DJ119" s="234"/>
      <c r="DK119" s="234"/>
      <c r="DL119" s="234"/>
      <c r="DM119" s="234"/>
      <c r="DN119" s="234"/>
      <c r="DO119" s="234"/>
      <c r="DP119" s="234"/>
      <c r="DQ119" s="234"/>
      <c r="DR119" s="234"/>
      <c r="DS119" s="234"/>
      <c r="DT119" s="234"/>
    </row>
    <row r="120" spans="1:124" s="231" customFormat="1" ht="16.5" customHeight="1" thickBot="1" x14ac:dyDescent="0.3">
      <c r="A120" s="232"/>
      <c r="B120" s="250"/>
      <c r="C120" s="232"/>
      <c r="D120" s="232"/>
      <c r="E120" s="251"/>
      <c r="F120" s="250"/>
      <c r="G120" s="250"/>
      <c r="H120" s="250"/>
      <c r="I120" s="115">
        <f>SUM(I108:I119)</f>
        <v>0</v>
      </c>
      <c r="J120" s="115"/>
      <c r="K120" s="229"/>
      <c r="L120" s="115">
        <f>SUM(L108:L119)</f>
        <v>0</v>
      </c>
      <c r="M120" s="115">
        <f>SUM(M108:M119)</f>
        <v>0</v>
      </c>
      <c r="N120" s="229"/>
      <c r="O120" s="115">
        <f>SUM(O108:O119)</f>
        <v>0</v>
      </c>
      <c r="P120" s="115">
        <f>SUM(P108:P119)</f>
        <v>0</v>
      </c>
      <c r="Q120" s="250"/>
      <c r="R120" s="250"/>
      <c r="S120" s="250"/>
      <c r="T120" s="250"/>
      <c r="U120" s="250"/>
      <c r="V120" s="250"/>
      <c r="W120" s="232"/>
      <c r="X120" s="266"/>
      <c r="Y120" s="266"/>
      <c r="Z120" s="266"/>
      <c r="AA120" s="266"/>
      <c r="AB120" s="266"/>
      <c r="AC120" s="233"/>
      <c r="AD120" s="233"/>
      <c r="AE120" s="247"/>
      <c r="AF120" s="233"/>
      <c r="AG120" s="233"/>
      <c r="AH120" s="233"/>
      <c r="AI120" s="233"/>
      <c r="AJ120" s="233"/>
      <c r="AK120" s="233"/>
      <c r="AL120" s="233"/>
      <c r="AM120" s="233"/>
      <c r="AN120" s="233"/>
      <c r="AO120" s="233"/>
      <c r="AP120" s="233"/>
      <c r="AQ120" s="233"/>
      <c r="AR120" s="233"/>
      <c r="AS120" s="233"/>
      <c r="AT120" s="233"/>
      <c r="AU120" s="233"/>
      <c r="AV120" s="233"/>
      <c r="AW120" s="233"/>
      <c r="AX120" s="233"/>
      <c r="AY120" s="31"/>
      <c r="AZ120" s="234"/>
      <c r="BA120" s="234"/>
      <c r="BB120" s="183">
        <f t="shared" si="227"/>
        <v>0</v>
      </c>
      <c r="BC120" s="183">
        <f t="shared" si="228"/>
        <v>0</v>
      </c>
      <c r="BD120" s="183">
        <f t="shared" si="229"/>
        <v>0</v>
      </c>
      <c r="BE120" s="83">
        <f t="shared" si="234"/>
        <v>0</v>
      </c>
      <c r="BF120" s="234"/>
      <c r="BG120" s="31"/>
      <c r="BH120" s="31"/>
      <c r="BI120" s="31"/>
      <c r="BJ120" s="31"/>
      <c r="BK120" s="234"/>
      <c r="BL120" s="83">
        <f t="shared" si="230"/>
        <v>0</v>
      </c>
      <c r="BM120" s="83">
        <f t="shared" si="231"/>
        <v>0</v>
      </c>
      <c r="BN120" s="83">
        <f t="shared" si="232"/>
        <v>0</v>
      </c>
      <c r="BO120" s="83">
        <f t="shared" si="235"/>
        <v>0</v>
      </c>
      <c r="BP120" s="234"/>
      <c r="BQ120" s="234"/>
      <c r="BR120" s="234"/>
      <c r="BS120" s="234"/>
      <c r="BT120" s="67"/>
      <c r="BU120" s="67"/>
      <c r="BV120" s="67"/>
      <c r="BW120" s="67"/>
      <c r="BX120" s="67"/>
      <c r="BY120" s="67"/>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234"/>
      <c r="DF120" s="234"/>
      <c r="DG120" s="234"/>
      <c r="DH120" s="234"/>
      <c r="DI120" s="234"/>
      <c r="DJ120" s="234"/>
      <c r="DK120" s="234"/>
      <c r="DL120" s="31"/>
      <c r="DM120" s="31"/>
      <c r="DN120" s="234"/>
      <c r="DO120" s="234"/>
      <c r="DP120" s="234"/>
      <c r="DQ120" s="234"/>
      <c r="DR120" s="234"/>
      <c r="DS120" s="234"/>
      <c r="DT120" s="234"/>
    </row>
    <row r="121" spans="1:124" s="231" customFormat="1" ht="16.5" customHeight="1" thickTop="1" thickBot="1" x14ac:dyDescent="0.3">
      <c r="A121" s="232"/>
      <c r="B121" s="250"/>
      <c r="C121" s="232"/>
      <c r="D121" s="232"/>
      <c r="E121" s="251"/>
      <c r="F121" s="250"/>
      <c r="G121" s="367" t="str">
        <f>IF(OR(AK105="Fel i indata",AK106="Fel i indata",AK107="Fel i indata",AK108="Fel i indata",AK109="Fel i indata",AK110="Fel i indata",AK111="Fel i indata",AK112="Fel i indata",AK113="Fel i indata",AK114="Fel i indata",AK115="Fel i indata",AK116="Fel i indata"),"Fel i indata","")</f>
        <v/>
      </c>
      <c r="H121" s="221"/>
      <c r="I121" s="221" t="str">
        <f>IF(G121="Fel i indata","OBS! Se över din indata, energi för fastighetsenergi blir negativ efter avdrag för elgolvvärme om mätvärdena ingår i uppmätt fastighetsenergi!","")</f>
        <v/>
      </c>
      <c r="J121" s="250"/>
      <c r="K121" s="250"/>
      <c r="L121" s="250"/>
      <c r="M121" s="250"/>
      <c r="N121" s="250"/>
      <c r="O121" s="120"/>
      <c r="P121" s="250"/>
      <c r="Q121" s="250"/>
      <c r="R121" s="250"/>
      <c r="S121" s="250"/>
      <c r="T121" s="250"/>
      <c r="U121" s="250"/>
      <c r="V121" s="250"/>
      <c r="W121" s="232"/>
      <c r="X121" s="236"/>
      <c r="Y121" s="247"/>
      <c r="Z121" s="247"/>
      <c r="AA121" s="247"/>
      <c r="AB121" s="233"/>
      <c r="AC121" s="247"/>
      <c r="AD121" s="247"/>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31"/>
      <c r="AZ121" s="234"/>
      <c r="BA121" s="41" t="s">
        <v>1194</v>
      </c>
      <c r="BB121" s="85">
        <f>SUM(BB109:BB120)</f>
        <v>0</v>
      </c>
      <c r="BC121" s="113">
        <f>SUM(BC109:BC120)</f>
        <v>0</v>
      </c>
      <c r="BD121" s="113">
        <f>SUM(BD109:BD120)</f>
        <v>0</v>
      </c>
      <c r="BE121" s="89">
        <f>SUM(BE109:BE120)</f>
        <v>0</v>
      </c>
      <c r="BF121" s="234"/>
      <c r="BG121" s="31"/>
      <c r="BH121" s="31"/>
      <c r="BI121" s="31"/>
      <c r="BJ121" s="31"/>
      <c r="BK121" s="41" t="s">
        <v>1194</v>
      </c>
      <c r="BL121" s="85">
        <f>SUM(BL109:BL120)</f>
        <v>0</v>
      </c>
      <c r="BM121" s="85">
        <f t="shared" ref="BM121:BN121" si="236">SUM(BM109:BM120)</f>
        <v>0</v>
      </c>
      <c r="BN121" s="85">
        <f t="shared" si="236"/>
        <v>0</v>
      </c>
      <c r="BO121" s="89">
        <f>SUM(BO109:BO120)</f>
        <v>0</v>
      </c>
      <c r="BP121" s="234"/>
      <c r="BQ121" s="234"/>
      <c r="BR121" s="234"/>
      <c r="BS121" s="234"/>
      <c r="BT121" s="67"/>
      <c r="BU121" s="67"/>
      <c r="BV121" s="67"/>
      <c r="BW121" s="67"/>
      <c r="BX121" s="67"/>
      <c r="BY121" s="67"/>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234"/>
      <c r="DF121" s="234"/>
      <c r="DG121" s="234"/>
      <c r="DH121" s="234"/>
      <c r="DI121" s="234"/>
      <c r="DJ121" s="234"/>
      <c r="DK121" s="234"/>
      <c r="DL121" s="31"/>
      <c r="DM121" s="31"/>
      <c r="DN121" s="234"/>
      <c r="DO121" s="234"/>
      <c r="DP121" s="234"/>
      <c r="DQ121" s="234"/>
      <c r="DR121" s="234"/>
      <c r="DS121" s="234"/>
      <c r="DT121" s="234"/>
    </row>
    <row r="122" spans="1:124" s="231" customFormat="1" ht="16.5" customHeight="1" thickBot="1" x14ac:dyDescent="0.3">
      <c r="A122" s="232"/>
      <c r="B122" s="250"/>
      <c r="C122" s="232"/>
      <c r="D122" s="232"/>
      <c r="E122" s="251"/>
      <c r="F122" s="250"/>
      <c r="G122" s="250"/>
      <c r="H122" s="250"/>
      <c r="I122" s="250"/>
      <c r="J122" s="250"/>
      <c r="K122" s="250"/>
      <c r="L122" s="250"/>
      <c r="M122" s="250"/>
      <c r="N122" s="250"/>
      <c r="O122" s="120"/>
      <c r="P122" s="250"/>
      <c r="Q122" s="250"/>
      <c r="R122" s="250"/>
      <c r="S122" s="250"/>
      <c r="T122" s="250"/>
      <c r="U122" s="250"/>
      <c r="V122" s="250"/>
      <c r="W122" s="232"/>
      <c r="X122" s="236"/>
      <c r="Y122" s="247"/>
      <c r="Z122" s="247"/>
      <c r="AA122" s="247"/>
      <c r="AB122" s="233"/>
      <c r="AC122" s="247"/>
      <c r="AD122" s="247"/>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34"/>
      <c r="AZ122" s="234"/>
      <c r="BA122" s="41" t="s">
        <v>1196</v>
      </c>
      <c r="BB122" s="47">
        <f>IF(BB108="El",BB121-$AA$142,BB121)</f>
        <v>0</v>
      </c>
      <c r="BC122" s="47">
        <f>IF(BC108="El",BC121-$AA$142,BC121)</f>
        <v>0</v>
      </c>
      <c r="BD122" s="47">
        <f>IF(BD108="El",BD121-$AA$142,BD121)</f>
        <v>0</v>
      </c>
      <c r="BE122" s="260">
        <f>BB122+BC122+BD122</f>
        <v>0</v>
      </c>
      <c r="BF122" s="67" t="e">
        <f>BE122*1000/'Indata byggnad och BBR krav'!$C$16</f>
        <v>#DIV/0!</v>
      </c>
      <c r="BG122" s="234"/>
      <c r="BH122" s="234"/>
      <c r="BI122" s="234"/>
      <c r="BJ122" s="234"/>
      <c r="BK122" s="291" t="s">
        <v>1395</v>
      </c>
      <c r="BL122" s="47">
        <f>IF(BL108="El",BL121,BL121)</f>
        <v>0</v>
      </c>
      <c r="BM122" s="47">
        <f>IF(BM108="El",BM121,BM121)</f>
        <v>0</v>
      </c>
      <c r="BN122" s="47">
        <f>IF(BN108="El",BN121,BN121)</f>
        <v>0</v>
      </c>
      <c r="BO122" s="260">
        <f>BL122+BM122+BN122</f>
        <v>0</v>
      </c>
      <c r="BP122" s="67" t="e">
        <f>BO122*1000/'Indata byggnad och BBR krav'!$C$16</f>
        <v>#DIV/0!</v>
      </c>
      <c r="BQ122" s="234"/>
      <c r="BR122" s="234"/>
      <c r="BS122" s="234"/>
      <c r="BT122" s="67"/>
      <c r="BU122" s="67"/>
      <c r="BV122" s="67"/>
      <c r="BW122" s="67"/>
      <c r="BX122" s="67"/>
      <c r="BY122" s="67"/>
      <c r="BZ122" s="234"/>
      <c r="CA122" s="234"/>
      <c r="CB122" s="234"/>
      <c r="CC122" s="234"/>
      <c r="CD122" s="234"/>
      <c r="CE122" s="234"/>
      <c r="CF122" s="234"/>
      <c r="CG122" s="234"/>
      <c r="CH122" s="234"/>
      <c r="CI122" s="234"/>
      <c r="CJ122" s="234"/>
      <c r="CK122" s="234"/>
      <c r="CL122" s="234"/>
      <c r="CM122" s="234"/>
      <c r="CN122" s="234"/>
      <c r="CO122" s="234"/>
      <c r="CP122" s="234"/>
      <c r="CQ122" s="234"/>
      <c r="CR122" s="234"/>
      <c r="CS122" s="234"/>
      <c r="CT122" s="234"/>
      <c r="CU122" s="234"/>
      <c r="CV122" s="234"/>
      <c r="CW122" s="234"/>
      <c r="CX122" s="234"/>
      <c r="CY122" s="31"/>
      <c r="CZ122" s="234"/>
      <c r="DA122" s="234"/>
      <c r="DB122" s="234"/>
      <c r="DC122" s="234"/>
      <c r="DD122" s="234"/>
      <c r="DE122" s="234"/>
      <c r="DF122" s="234"/>
      <c r="DG122" s="234"/>
      <c r="DH122" s="234"/>
      <c r="DI122" s="234"/>
      <c r="DJ122" s="234"/>
      <c r="DK122" s="234"/>
      <c r="DL122" s="234"/>
      <c r="DM122" s="234"/>
      <c r="DN122" s="234"/>
      <c r="DO122" s="234"/>
      <c r="DP122" s="234"/>
      <c r="DQ122" s="234"/>
      <c r="DR122" s="234"/>
      <c r="DS122" s="234"/>
      <c r="DT122" s="234"/>
    </row>
    <row r="123" spans="1:124" s="231" customFormat="1" ht="16.5" customHeight="1" thickBot="1" x14ac:dyDescent="0.3">
      <c r="A123" s="232"/>
      <c r="B123" s="250"/>
      <c r="C123" s="232"/>
      <c r="D123" s="232"/>
      <c r="E123" s="251"/>
      <c r="F123" s="250"/>
      <c r="G123" s="250"/>
      <c r="H123" s="250"/>
      <c r="I123" s="250"/>
      <c r="J123" s="250"/>
      <c r="K123" s="250"/>
      <c r="L123" s="250"/>
      <c r="M123" s="250"/>
      <c r="N123" s="250"/>
      <c r="O123" s="120"/>
      <c r="P123" s="250"/>
      <c r="Q123" s="250"/>
      <c r="R123" s="250"/>
      <c r="S123" s="250"/>
      <c r="T123" s="250"/>
      <c r="U123" s="250"/>
      <c r="V123" s="250"/>
      <c r="W123" s="232"/>
      <c r="X123" s="266"/>
      <c r="Y123" s="242"/>
      <c r="Z123" s="266"/>
      <c r="AA123" s="266"/>
      <c r="AB123" s="266"/>
      <c r="AC123" s="266"/>
      <c r="AD123" s="266"/>
      <c r="AE123" s="242"/>
      <c r="AF123" s="242"/>
      <c r="AG123" s="242"/>
      <c r="AH123" s="242"/>
      <c r="AI123" s="242"/>
      <c r="AJ123" s="242"/>
      <c r="AK123" s="242"/>
      <c r="AL123" s="242"/>
      <c r="AM123" s="242"/>
      <c r="AN123" s="242"/>
      <c r="AO123" s="242"/>
      <c r="AP123" s="242"/>
      <c r="AQ123" s="242"/>
      <c r="AR123" s="242"/>
      <c r="AS123" s="242"/>
      <c r="AT123" s="242"/>
      <c r="AU123" s="242"/>
      <c r="AV123" s="242"/>
      <c r="AW123" s="242"/>
      <c r="AX123" s="242"/>
      <c r="AY123" s="234"/>
      <c r="AZ123" s="234"/>
      <c r="BA123" s="41" t="s">
        <v>1299</v>
      </c>
      <c r="BB123" s="47">
        <f>IF(BB122&gt;0,BB122*BB105,0)</f>
        <v>0</v>
      </c>
      <c r="BC123" s="47">
        <f>IF(BC122&gt;0,BC122*BC105,0)</f>
        <v>0</v>
      </c>
      <c r="BD123" s="47">
        <f>IF(BD122&gt;0,BD122*BD105,0)</f>
        <v>0</v>
      </c>
      <c r="BE123" s="96">
        <f>BB123+BC123+BD123</f>
        <v>0</v>
      </c>
      <c r="BF123" s="234"/>
      <c r="BG123" s="234"/>
      <c r="BH123" s="234"/>
      <c r="BI123" s="234"/>
      <c r="BJ123" s="234"/>
      <c r="BK123" s="41" t="s">
        <v>1299</v>
      </c>
      <c r="BL123" s="47">
        <f>IF(BL122&gt;0,BL122*BL105,0)</f>
        <v>0</v>
      </c>
      <c r="BM123" s="47">
        <f>IF(BM122&gt;0,BM122*BM105,0)</f>
        <v>0</v>
      </c>
      <c r="BN123" s="47">
        <f>IF(BN122&gt;0,BN122*BN105,0)</f>
        <v>0</v>
      </c>
      <c r="BO123" s="96">
        <f>BL123+BM123+BN123</f>
        <v>0</v>
      </c>
      <c r="BP123" s="234"/>
      <c r="BQ123" s="234"/>
      <c r="BR123" s="234"/>
      <c r="BS123" s="234"/>
      <c r="BT123" s="67"/>
      <c r="BU123" s="67"/>
      <c r="BV123" s="67"/>
      <c r="BW123" s="67"/>
      <c r="BX123" s="67"/>
      <c r="BY123" s="67"/>
      <c r="BZ123" s="234"/>
      <c r="CA123" s="234"/>
      <c r="CB123" s="234"/>
      <c r="CC123" s="234"/>
      <c r="CD123" s="234"/>
      <c r="CE123" s="234"/>
      <c r="CF123" s="234"/>
      <c r="CG123" s="234"/>
      <c r="CH123" s="234"/>
      <c r="CI123" s="234"/>
      <c r="CJ123" s="234"/>
      <c r="CK123" s="234"/>
      <c r="CL123" s="234"/>
      <c r="CM123" s="234"/>
      <c r="CN123" s="234"/>
      <c r="CO123" s="234"/>
      <c r="CP123" s="234"/>
      <c r="CQ123" s="234"/>
      <c r="CR123" s="234"/>
      <c r="CS123" s="234"/>
      <c r="CT123" s="234"/>
      <c r="CU123" s="234"/>
      <c r="CV123" s="234"/>
      <c r="CW123" s="234"/>
      <c r="CX123" s="234"/>
      <c r="CY123" s="31"/>
      <c r="CZ123" s="234"/>
      <c r="DA123" s="234"/>
      <c r="DB123" s="234"/>
      <c r="DC123" s="234"/>
      <c r="DD123" s="234"/>
      <c r="DE123" s="234"/>
      <c r="DF123" s="234"/>
      <c r="DG123" s="234"/>
      <c r="DH123" s="234"/>
      <c r="DI123" s="234"/>
      <c r="DJ123" s="234"/>
      <c r="DK123" s="234"/>
      <c r="DL123" s="234"/>
      <c r="DM123" s="234"/>
      <c r="DN123" s="234"/>
      <c r="DO123" s="234"/>
      <c r="DP123" s="234"/>
      <c r="DQ123" s="234"/>
      <c r="DR123" s="234"/>
      <c r="DS123" s="234"/>
      <c r="DT123" s="234"/>
    </row>
    <row r="124" spans="1:124" s="231" customFormat="1" ht="16.5" customHeight="1" thickBot="1" x14ac:dyDescent="0.3">
      <c r="A124" s="232"/>
      <c r="B124" s="250"/>
      <c r="C124" s="232"/>
      <c r="D124" s="232"/>
      <c r="E124" s="251"/>
      <c r="F124" s="250"/>
      <c r="G124" s="250"/>
      <c r="H124" s="250"/>
      <c r="I124" s="250"/>
      <c r="J124" s="250"/>
      <c r="K124" s="250"/>
      <c r="L124" s="250"/>
      <c r="M124" s="250"/>
      <c r="N124" s="250"/>
      <c r="O124" s="120"/>
      <c r="P124" s="250"/>
      <c r="Q124" s="250"/>
      <c r="R124" s="250"/>
      <c r="S124" s="250"/>
      <c r="T124" s="250"/>
      <c r="U124" s="250"/>
      <c r="V124" s="250"/>
      <c r="W124" s="232"/>
      <c r="X124" s="125"/>
      <c r="Y124" s="266"/>
      <c r="Z124" s="126"/>
      <c r="AA124" s="127"/>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34"/>
      <c r="AZ124" s="234"/>
      <c r="BA124" s="41" t="s">
        <v>1300</v>
      </c>
      <c r="BB124" s="47">
        <f>IF(BB122&gt;0,BB122*BB106,0)</f>
        <v>0</v>
      </c>
      <c r="BC124" s="47">
        <f>IF(BC122&gt;0,BC122*BC106,0)</f>
        <v>0</v>
      </c>
      <c r="BD124" s="47">
        <f>IF(BD122&gt;0,BD122*BD106,0)</f>
        <v>0</v>
      </c>
      <c r="BE124" s="96">
        <f>BB124+BC124+BD124</f>
        <v>0</v>
      </c>
      <c r="BF124" s="234"/>
      <c r="BG124" s="234"/>
      <c r="BH124" s="234"/>
      <c r="BI124" s="234"/>
      <c r="BJ124" s="234"/>
      <c r="BK124" s="41" t="s">
        <v>1300</v>
      </c>
      <c r="BL124" s="47">
        <f>IF(BL122&gt;0,BL122*BL106,0)</f>
        <v>0</v>
      </c>
      <c r="BM124" s="47">
        <f>IF(BM122&gt;0,BM122*BM106,0)</f>
        <v>0</v>
      </c>
      <c r="BN124" s="47">
        <f>IF(BN122&gt;0,BN122*BN106,0)</f>
        <v>0</v>
      </c>
      <c r="BO124" s="96">
        <f>BL124+BM124+BN124</f>
        <v>0</v>
      </c>
      <c r="BP124" s="234"/>
      <c r="BQ124" s="234"/>
      <c r="BR124" s="234"/>
      <c r="BS124" s="234"/>
      <c r="BT124" s="67"/>
      <c r="BU124" s="67"/>
      <c r="BV124" s="67"/>
      <c r="BW124" s="67"/>
      <c r="BX124" s="67"/>
      <c r="BY124" s="67"/>
      <c r="BZ124" s="234"/>
      <c r="CA124" s="234"/>
      <c r="CB124" s="234"/>
      <c r="CC124" s="234"/>
      <c r="CD124" s="234"/>
      <c r="CE124" s="234"/>
      <c r="CF124" s="234"/>
      <c r="CG124" s="234"/>
      <c r="CH124" s="234"/>
      <c r="CI124" s="234"/>
      <c r="CJ124" s="234"/>
      <c r="CK124" s="234"/>
      <c r="CL124" s="234"/>
      <c r="CM124" s="234"/>
      <c r="CN124" s="234"/>
      <c r="CO124" s="234"/>
      <c r="CP124" s="234"/>
      <c r="CQ124" s="234"/>
      <c r="CR124" s="234"/>
      <c r="CS124" s="234"/>
      <c r="CT124" s="234"/>
      <c r="CU124" s="234"/>
      <c r="CV124" s="234"/>
      <c r="CW124" s="234"/>
      <c r="CX124" s="234"/>
      <c r="CY124" s="31"/>
      <c r="CZ124" s="234"/>
      <c r="DA124" s="234"/>
      <c r="DB124" s="234"/>
      <c r="DC124" s="234"/>
      <c r="DD124" s="234"/>
      <c r="DE124" s="234"/>
      <c r="DF124" s="234"/>
      <c r="DG124" s="234"/>
      <c r="DH124" s="234"/>
      <c r="DI124" s="234"/>
      <c r="DJ124" s="234"/>
      <c r="DK124" s="234"/>
      <c r="DL124" s="234"/>
      <c r="DM124" s="234"/>
      <c r="DN124" s="234"/>
      <c r="DO124" s="234"/>
      <c r="DP124" s="234"/>
      <c r="DQ124" s="234"/>
      <c r="DR124" s="234"/>
      <c r="DS124" s="234"/>
      <c r="DT124" s="234"/>
    </row>
    <row r="125" spans="1:124" s="231" customFormat="1" ht="16.5" customHeight="1" x14ac:dyDescent="0.25">
      <c r="A125" s="232"/>
      <c r="B125" s="250"/>
      <c r="C125" s="232"/>
      <c r="D125" s="232"/>
      <c r="E125" s="251"/>
      <c r="F125" s="250"/>
      <c r="G125" s="250"/>
      <c r="H125" s="250"/>
      <c r="I125" s="250"/>
      <c r="J125" s="250"/>
      <c r="K125" s="250"/>
      <c r="L125" s="250"/>
      <c r="M125" s="250"/>
      <c r="N125" s="250"/>
      <c r="O125" s="250"/>
      <c r="P125" s="250"/>
      <c r="Q125" s="250"/>
      <c r="R125" s="250"/>
      <c r="S125" s="250"/>
      <c r="T125" s="250"/>
      <c r="U125" s="250"/>
      <c r="V125" s="250"/>
      <c r="W125" s="232"/>
      <c r="X125" s="125"/>
      <c r="Y125" s="242" t="s">
        <v>1082</v>
      </c>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34"/>
      <c r="AZ125" s="234"/>
      <c r="BA125" s="234"/>
      <c r="BB125" s="234"/>
      <c r="BC125" s="234"/>
      <c r="BD125" s="234"/>
      <c r="BE125" s="234"/>
      <c r="BF125" s="234"/>
      <c r="BG125" s="234"/>
      <c r="BH125" s="234"/>
      <c r="BI125" s="234"/>
      <c r="BJ125" s="234"/>
      <c r="BK125" s="234"/>
      <c r="BL125" s="234"/>
      <c r="BM125" s="234"/>
      <c r="BN125" s="234"/>
      <c r="BO125" s="234"/>
      <c r="BP125" s="234"/>
      <c r="BQ125" s="234"/>
      <c r="BR125" s="234"/>
      <c r="BS125" s="234"/>
      <c r="BT125" s="67"/>
      <c r="BU125" s="67"/>
      <c r="BV125" s="67"/>
      <c r="BW125" s="67"/>
      <c r="BX125" s="67"/>
      <c r="BY125" s="67"/>
      <c r="BZ125" s="234"/>
      <c r="CA125" s="234"/>
      <c r="CB125" s="234"/>
      <c r="CC125" s="234"/>
      <c r="CD125" s="234"/>
      <c r="CE125" s="234"/>
      <c r="CF125" s="234"/>
      <c r="CG125" s="234"/>
      <c r="CH125" s="234"/>
      <c r="CI125" s="234"/>
      <c r="CJ125" s="234"/>
      <c r="CK125" s="234"/>
      <c r="CL125" s="234"/>
      <c r="CM125" s="234"/>
      <c r="CN125" s="234"/>
      <c r="CO125" s="234"/>
      <c r="CP125" s="234"/>
      <c r="CQ125" s="234"/>
      <c r="CR125" s="234"/>
      <c r="CS125" s="234"/>
      <c r="CT125" s="234"/>
      <c r="CU125" s="234"/>
      <c r="CV125" s="234"/>
      <c r="CW125" s="234"/>
      <c r="CX125" s="234"/>
      <c r="CY125" s="31"/>
      <c r="CZ125" s="234"/>
      <c r="DA125" s="234"/>
      <c r="DB125" s="234"/>
      <c r="DC125" s="234"/>
      <c r="DD125" s="234"/>
      <c r="DE125" s="234"/>
      <c r="DF125" s="234"/>
      <c r="DG125" s="234"/>
      <c r="DH125" s="234"/>
      <c r="DI125" s="234"/>
      <c r="DJ125" s="234"/>
      <c r="DK125" s="234"/>
      <c r="DL125" s="234"/>
      <c r="DM125" s="234"/>
      <c r="DN125" s="234"/>
      <c r="DO125" s="234"/>
      <c r="DP125" s="234"/>
      <c r="DQ125" s="234"/>
      <c r="DR125" s="234"/>
      <c r="DS125" s="234"/>
      <c r="DT125" s="234"/>
    </row>
    <row r="126" spans="1:124" s="231" customFormat="1" ht="16.5" customHeight="1" thickBot="1" x14ac:dyDescent="0.3">
      <c r="A126" s="232"/>
      <c r="B126" s="382">
        <v>5</v>
      </c>
      <c r="C126" s="383" t="s">
        <v>1349</v>
      </c>
      <c r="D126" s="384"/>
      <c r="E126" s="385"/>
      <c r="F126" s="384"/>
      <c r="G126" s="384"/>
      <c r="H126" s="384"/>
      <c r="I126" s="384"/>
      <c r="J126" s="384"/>
      <c r="K126" s="384"/>
      <c r="L126" s="384"/>
      <c r="M126" s="385"/>
      <c r="N126" s="385"/>
      <c r="O126" s="385"/>
      <c r="P126" s="385"/>
      <c r="Q126" s="385"/>
      <c r="R126" s="385"/>
      <c r="S126" s="385"/>
      <c r="T126" s="385"/>
      <c r="U126" s="385"/>
      <c r="V126" s="385"/>
      <c r="W126" s="386"/>
      <c r="X126" s="233"/>
      <c r="Y126" s="233"/>
      <c r="Z126" s="233"/>
      <c r="AA126" s="233"/>
      <c r="AB126" s="233"/>
      <c r="AC126" s="233"/>
      <c r="AD126" s="266"/>
      <c r="AE126" s="266"/>
      <c r="AF126" s="266"/>
      <c r="AG126" s="266"/>
      <c r="AH126" s="266"/>
      <c r="AI126" s="266"/>
      <c r="AJ126" s="233"/>
      <c r="AK126" s="233" t="s">
        <v>1128</v>
      </c>
      <c r="AL126" s="233"/>
      <c r="AM126" s="266"/>
      <c r="AN126" s="129"/>
      <c r="AO126" s="266"/>
      <c r="AP126" s="266"/>
      <c r="AQ126" s="266"/>
      <c r="AR126" s="266"/>
      <c r="AS126" s="266"/>
      <c r="AT126" s="266"/>
      <c r="AU126" s="266"/>
      <c r="AV126" s="266"/>
      <c r="AW126" s="266"/>
      <c r="AX126" s="266"/>
      <c r="AY126" s="234"/>
      <c r="AZ126" s="234"/>
      <c r="BA126" s="122" t="s">
        <v>1401</v>
      </c>
      <c r="BB126" s="52">
        <f>IF(BB108="",0,VLOOKUP(BB108,'Indata byggnad och BBR krav'!$Y$8:$AA$14,3,TRUE))</f>
        <v>2.1999999999999999E-2</v>
      </c>
      <c r="BC126" s="52">
        <f>IF(BC108="",0,VLOOKUP(BC108,'Indata byggnad och BBR krav'!$Y$8:$AA$14,3,TRUE))</f>
        <v>0</v>
      </c>
      <c r="BD126" s="52">
        <f>IF(BD108="",0,VLOOKUP(BD108,'Indata byggnad och BBR krav'!$Y$8:$AA$14,3,TRUE))</f>
        <v>0</v>
      </c>
      <c r="BE126" s="299"/>
      <c r="BF126" s="234"/>
      <c r="BG126" s="234"/>
      <c r="BH126" s="234"/>
      <c r="BI126" s="234"/>
      <c r="BJ126" s="234"/>
      <c r="BK126" s="122" t="s">
        <v>1401</v>
      </c>
      <c r="BL126" s="52">
        <f>IF(BL108="",0,VLOOKUP(BL108,'Indata byggnad och BBR krav'!$Y$8:$AA$14,3,TRUE))</f>
        <v>2.1999999999999999E-2</v>
      </c>
      <c r="BM126" s="52">
        <f>IF(BM108="",0,VLOOKUP(BM108,'Indata byggnad och BBR krav'!$Y$8:$AA$14,3,TRUE))</f>
        <v>0</v>
      </c>
      <c r="BN126" s="52">
        <f>IF(BN108="",0,VLOOKUP(BN108,'Indata byggnad och BBR krav'!$Y$8:$AA$14,3,TRUE))</f>
        <v>0</v>
      </c>
      <c r="BO126" s="299"/>
      <c r="BP126" s="234"/>
      <c r="BQ126" s="234"/>
      <c r="BR126" s="234"/>
      <c r="BS126" s="234"/>
      <c r="BT126" s="67"/>
      <c r="BU126" s="67"/>
      <c r="BV126" s="67"/>
      <c r="BW126" s="67"/>
      <c r="BX126" s="67"/>
      <c r="BY126" s="67"/>
      <c r="BZ126" s="234"/>
      <c r="CA126" s="234"/>
      <c r="CB126" s="234"/>
      <c r="CC126" s="234"/>
      <c r="CD126" s="234"/>
      <c r="CE126" s="234"/>
      <c r="CF126" s="234"/>
      <c r="CG126" s="234"/>
      <c r="CH126" s="234"/>
      <c r="CI126" s="234"/>
      <c r="CJ126" s="234"/>
      <c r="CK126" s="234"/>
      <c r="CL126" s="234"/>
      <c r="CM126" s="234"/>
      <c r="CN126" s="234"/>
      <c r="CO126" s="234"/>
      <c r="CP126" s="234"/>
      <c r="CQ126" s="234"/>
      <c r="CR126" s="234"/>
      <c r="CS126" s="234"/>
      <c r="CT126" s="234"/>
      <c r="CU126" s="234"/>
      <c r="CV126" s="234"/>
      <c r="CW126" s="234"/>
      <c r="CX126" s="234"/>
      <c r="CY126" s="31"/>
      <c r="CZ126" s="234"/>
      <c r="DA126" s="234"/>
      <c r="DB126" s="234"/>
      <c r="DC126" s="234"/>
      <c r="DD126" s="234"/>
      <c r="DE126" s="234"/>
      <c r="DF126" s="234"/>
      <c r="DG126" s="234"/>
      <c r="DH126" s="234"/>
      <c r="DI126" s="234"/>
      <c r="DJ126" s="234"/>
      <c r="DK126" s="234"/>
      <c r="DL126" s="234"/>
      <c r="DM126" s="234"/>
      <c r="DN126" s="234"/>
      <c r="DO126" s="234"/>
      <c r="DP126" s="234"/>
      <c r="DQ126" s="234"/>
      <c r="DR126" s="234"/>
      <c r="DS126" s="234"/>
      <c r="DT126" s="234"/>
    </row>
    <row r="127" spans="1:124" s="231" customFormat="1" ht="16.5" customHeight="1" thickBot="1" x14ac:dyDescent="0.3">
      <c r="A127" s="232"/>
      <c r="X127" s="245"/>
      <c r="Y127" s="242" t="s">
        <v>1189</v>
      </c>
      <c r="Z127" s="242"/>
      <c r="AA127" s="242"/>
      <c r="AB127" s="242"/>
      <c r="AC127" s="242" t="s">
        <v>1190</v>
      </c>
      <c r="AD127" s="128"/>
      <c r="AE127" s="128" t="s">
        <v>1191</v>
      </c>
      <c r="AF127" s="128"/>
      <c r="AG127" s="128" t="s">
        <v>1083</v>
      </c>
      <c r="AH127" s="266"/>
      <c r="AI127" s="266"/>
      <c r="AJ127" s="242"/>
      <c r="AK127" s="130" t="s">
        <v>1076</v>
      </c>
      <c r="AL127" s="131" t="s">
        <v>1076</v>
      </c>
      <c r="AM127" s="117" t="s">
        <v>1083</v>
      </c>
      <c r="AN127" s="132" t="s">
        <v>1083</v>
      </c>
      <c r="AO127" s="117" t="s">
        <v>17</v>
      </c>
      <c r="AP127" s="127" t="s">
        <v>17</v>
      </c>
      <c r="AQ127" s="127" t="s">
        <v>17</v>
      </c>
      <c r="AR127" s="127" t="s">
        <v>17</v>
      </c>
      <c r="AS127" s="253" t="s">
        <v>16</v>
      </c>
      <c r="AT127" s="253" t="s">
        <v>16</v>
      </c>
      <c r="AU127" s="253" t="s">
        <v>16</v>
      </c>
      <c r="AV127" s="253"/>
      <c r="AW127" s="253"/>
      <c r="AX127" s="253"/>
      <c r="AY127" s="234"/>
      <c r="AZ127" s="437"/>
      <c r="BA127" s="438" t="s">
        <v>1411</v>
      </c>
      <c r="BB127" s="417" t="e">
        <f>BB122*1000/'Indata byggnad och BBR krav'!$C$40*'Indata byggnad och BBR krav'!$C$38*BB126</f>
        <v>#DIV/0!</v>
      </c>
      <c r="BC127" s="417" t="e">
        <f>BC122*1000/'Indata byggnad och BBR krav'!$C$40*'Indata byggnad och BBR krav'!$C$38*BC126</f>
        <v>#DIV/0!</v>
      </c>
      <c r="BD127" s="417" t="e">
        <f>BD122*1000/'Indata byggnad och BBR krav'!$C$40*'Indata byggnad och BBR krav'!$C$38*BD126</f>
        <v>#DIV/0!</v>
      </c>
      <c r="BE127" s="418" t="e">
        <f>BB127+BC127+BD127</f>
        <v>#DIV/0!</v>
      </c>
      <c r="BF127" s="234"/>
      <c r="BG127" s="234"/>
      <c r="BH127" s="234"/>
      <c r="BI127" s="234"/>
      <c r="BJ127" s="437"/>
      <c r="BK127" s="438" t="s">
        <v>1411</v>
      </c>
      <c r="BL127" s="417" t="e">
        <f>BL122*1000/'Indata byggnad och BBR krav'!$C$40*'Indata byggnad och BBR krav'!$C$38*BL126</f>
        <v>#DIV/0!</v>
      </c>
      <c r="BM127" s="417" t="e">
        <f>BM122*1000/'Indata byggnad och BBR krav'!$C$40*'Indata byggnad och BBR krav'!$C$38*BM126</f>
        <v>#DIV/0!</v>
      </c>
      <c r="BN127" s="417" t="e">
        <f>BN122*1000/'Indata byggnad och BBR krav'!$C$40*'Indata byggnad och BBR krav'!$C$38*BN126</f>
        <v>#DIV/0!</v>
      </c>
      <c r="BO127" s="418" t="e">
        <f>BL127+BM127+BN127</f>
        <v>#DIV/0!</v>
      </c>
      <c r="BP127" s="234"/>
      <c r="BQ127" s="234"/>
      <c r="BR127" s="234"/>
      <c r="BS127" s="234"/>
      <c r="BT127" s="67"/>
      <c r="BU127" s="67"/>
      <c r="BV127" s="67"/>
      <c r="BW127" s="67"/>
      <c r="BX127" s="67"/>
      <c r="BY127" s="67"/>
      <c r="BZ127" s="234"/>
      <c r="CA127" s="234"/>
      <c r="CB127" s="234"/>
      <c r="CC127" s="234"/>
      <c r="CD127" s="234"/>
      <c r="CE127" s="234"/>
      <c r="CF127" s="234"/>
      <c r="CG127" s="234"/>
      <c r="CH127" s="234"/>
      <c r="CI127" s="234"/>
      <c r="CJ127" s="234"/>
      <c r="CK127" s="234"/>
      <c r="CL127" s="234"/>
      <c r="CM127" s="234"/>
      <c r="CN127" s="234"/>
      <c r="CO127" s="234"/>
      <c r="CP127" s="234"/>
      <c r="CQ127" s="234"/>
      <c r="CR127" s="234"/>
      <c r="CS127" s="234"/>
      <c r="CT127" s="234"/>
      <c r="CU127" s="234"/>
      <c r="CV127" s="234"/>
      <c r="CW127" s="234"/>
      <c r="CX127" s="234"/>
      <c r="CY127" s="31"/>
      <c r="CZ127" s="234"/>
      <c r="DA127" s="234"/>
      <c r="DB127" s="234"/>
      <c r="DC127" s="234"/>
      <c r="DD127" s="234"/>
      <c r="DE127" s="234"/>
      <c r="DF127" s="234"/>
      <c r="DG127" s="234"/>
      <c r="DH127" s="234"/>
      <c r="DI127" s="234"/>
      <c r="DJ127" s="234"/>
      <c r="DK127" s="234"/>
      <c r="DL127" s="234"/>
      <c r="DM127" s="234"/>
      <c r="DN127" s="234"/>
      <c r="DO127" s="234"/>
      <c r="DP127" s="234"/>
      <c r="DQ127" s="234"/>
      <c r="DR127" s="234"/>
      <c r="DS127" s="234"/>
      <c r="DT127" s="234"/>
    </row>
    <row r="128" spans="1:124" s="231" customFormat="1" ht="16.5" customHeight="1" thickBot="1" x14ac:dyDescent="0.3">
      <c r="A128" s="232"/>
      <c r="B128" s="232"/>
      <c r="C128" s="232"/>
      <c r="D128" s="232"/>
      <c r="E128" s="232"/>
      <c r="F128" s="505" t="s">
        <v>1138</v>
      </c>
      <c r="G128" s="505"/>
      <c r="H128" s="232"/>
      <c r="I128" s="238" t="s">
        <v>1047</v>
      </c>
      <c r="J128" s="238"/>
      <c r="L128" s="238" t="s">
        <v>1048</v>
      </c>
      <c r="M128" s="238"/>
      <c r="O128" s="238" t="s">
        <v>1049</v>
      </c>
      <c r="P128" s="232"/>
      <c r="R128" s="238" t="s">
        <v>1192</v>
      </c>
      <c r="S128" s="232"/>
      <c r="U128" s="238" t="s">
        <v>1193</v>
      </c>
      <c r="V128" s="232"/>
      <c r="X128" s="245" t="s">
        <v>1079</v>
      </c>
      <c r="Y128" s="253" t="s">
        <v>1087</v>
      </c>
      <c r="Z128" s="253" t="s">
        <v>1088</v>
      </c>
      <c r="AA128" s="253" t="s">
        <v>1089</v>
      </c>
      <c r="AB128" s="253" t="s">
        <v>1090</v>
      </c>
      <c r="AC128" s="253" t="s">
        <v>1087</v>
      </c>
      <c r="AD128" s="253" t="s">
        <v>1088</v>
      </c>
      <c r="AE128" s="287" t="s">
        <v>1087</v>
      </c>
      <c r="AF128" s="287" t="s">
        <v>1088</v>
      </c>
      <c r="AG128" s="287" t="s">
        <v>1087</v>
      </c>
      <c r="AH128" s="287" t="s">
        <v>1088</v>
      </c>
      <c r="AI128" s="266"/>
      <c r="AJ128" s="247"/>
      <c r="AK128" s="253" t="s">
        <v>1087</v>
      </c>
      <c r="AL128" s="253" t="s">
        <v>1088</v>
      </c>
      <c r="AM128" s="253" t="s">
        <v>1087</v>
      </c>
      <c r="AN128" s="253" t="s">
        <v>1088</v>
      </c>
      <c r="AO128" s="253" t="s">
        <v>1087</v>
      </c>
      <c r="AP128" s="253" t="s">
        <v>1088</v>
      </c>
      <c r="AQ128" s="253" t="s">
        <v>1089</v>
      </c>
      <c r="AR128" s="253" t="s">
        <v>1090</v>
      </c>
      <c r="AS128" s="253" t="s">
        <v>1087</v>
      </c>
      <c r="AT128" s="253" t="s">
        <v>1088</v>
      </c>
      <c r="AU128" s="253" t="s">
        <v>1090</v>
      </c>
      <c r="AV128" s="253"/>
      <c r="AW128" s="253"/>
      <c r="AX128" s="253"/>
      <c r="AY128" s="234"/>
      <c r="AZ128" s="437"/>
      <c r="BA128" s="439" t="s">
        <v>1459</v>
      </c>
      <c r="BB128" s="417" t="e">
        <f>BB122*1000/'Indata byggnad och BBR krav'!$C$16*'Indata byggnad och BBR krav'!$C$38*BB126</f>
        <v>#DIV/0!</v>
      </c>
      <c r="BC128" s="417" t="e">
        <f>BC122*1000/'Indata byggnad och BBR krav'!$C$16*'Indata byggnad och BBR krav'!$C$38*BC126</f>
        <v>#DIV/0!</v>
      </c>
      <c r="BD128" s="417" t="e">
        <f>BD122*1000/'Indata byggnad och BBR krav'!$C$16*'Indata byggnad och BBR krav'!$C$38*BD126</f>
        <v>#DIV/0!</v>
      </c>
      <c r="BE128" s="418" t="e">
        <f t="shared" ref="BE128:BE129" si="237">BB128+BC128+BD128</f>
        <v>#DIV/0!</v>
      </c>
      <c r="BF128" s="234"/>
      <c r="BG128" s="234"/>
      <c r="BH128" s="234"/>
      <c r="BI128" s="234"/>
      <c r="BJ128" s="437"/>
      <c r="BK128" s="439" t="s">
        <v>1459</v>
      </c>
      <c r="BL128" s="417" t="e">
        <f>BL122*1000/'Indata byggnad och BBR krav'!$C$16*'Indata byggnad och BBR krav'!$C$38*BL126</f>
        <v>#DIV/0!</v>
      </c>
      <c r="BM128" s="417" t="e">
        <f>BM122*1000/'Indata byggnad och BBR krav'!$C$16*'Indata byggnad och BBR krav'!$C$38*BM126</f>
        <v>#DIV/0!</v>
      </c>
      <c r="BN128" s="417" t="e">
        <f>BN122*1000/'Indata byggnad och BBR krav'!$C$16*'Indata byggnad och BBR krav'!$C$38*BN126</f>
        <v>#DIV/0!</v>
      </c>
      <c r="BO128" s="418" t="e">
        <f t="shared" ref="BO128:BO129" si="238">BL128+BM128+BN128</f>
        <v>#DIV/0!</v>
      </c>
      <c r="BP128" s="234"/>
      <c r="BQ128" s="234"/>
      <c r="BR128" s="234"/>
      <c r="BS128" s="234"/>
      <c r="BT128" s="67"/>
      <c r="BU128" s="67"/>
      <c r="BV128" s="67"/>
      <c r="BW128" s="67"/>
      <c r="BX128" s="67"/>
      <c r="BY128" s="67"/>
      <c r="BZ128" s="234"/>
      <c r="CA128" s="234"/>
      <c r="CB128" s="234"/>
      <c r="CC128" s="234"/>
      <c r="CD128" s="234"/>
      <c r="CE128" s="234"/>
      <c r="CF128" s="234"/>
      <c r="CG128" s="234"/>
      <c r="CH128" s="234"/>
      <c r="CI128" s="234"/>
      <c r="CJ128" s="234"/>
      <c r="CK128" s="234"/>
      <c r="CL128" s="234"/>
      <c r="CM128" s="234"/>
      <c r="CN128" s="234"/>
      <c r="CO128" s="234"/>
      <c r="CP128" s="234"/>
      <c r="CQ128" s="234"/>
      <c r="CR128" s="234"/>
      <c r="CS128" s="234"/>
      <c r="CT128" s="234"/>
      <c r="CU128" s="234"/>
      <c r="CV128" s="234"/>
      <c r="CW128" s="234"/>
      <c r="CX128" s="234"/>
      <c r="CY128" s="31"/>
      <c r="CZ128" s="234"/>
      <c r="DA128" s="234"/>
      <c r="DB128" s="234"/>
      <c r="DC128" s="234"/>
      <c r="DD128" s="234"/>
      <c r="DE128" s="234"/>
      <c r="DF128" s="234"/>
      <c r="DG128" s="234"/>
      <c r="DH128" s="234"/>
      <c r="DI128" s="234"/>
      <c r="DJ128" s="234"/>
      <c r="DK128" s="234"/>
      <c r="DL128" s="234"/>
      <c r="DM128" s="234"/>
      <c r="DN128" s="234"/>
      <c r="DO128" s="234"/>
      <c r="DP128" s="234"/>
      <c r="DQ128" s="234"/>
      <c r="DR128" s="234"/>
      <c r="DS128" s="234"/>
      <c r="DT128" s="234"/>
    </row>
    <row r="129" spans="1:124" s="231" customFormat="1" ht="16.5" customHeight="1" thickBot="1" x14ac:dyDescent="0.3">
      <c r="A129" s="232"/>
      <c r="B129" s="232"/>
      <c r="C129" s="55" t="s">
        <v>1050</v>
      </c>
      <c r="D129" s="392">
        <v>1</v>
      </c>
      <c r="E129" s="232"/>
      <c r="F129" s="54" t="s">
        <v>9</v>
      </c>
      <c r="G129" s="375">
        <f>$G$14</f>
        <v>2017</v>
      </c>
      <c r="H129" s="37"/>
      <c r="I129" s="55" t="s">
        <v>1084</v>
      </c>
      <c r="J129" s="368" t="s">
        <v>16</v>
      </c>
      <c r="L129" s="55" t="s">
        <v>1084</v>
      </c>
      <c r="M129" s="368" t="s">
        <v>16</v>
      </c>
      <c r="O129" s="55" t="s">
        <v>1084</v>
      </c>
      <c r="P129" s="368" t="s">
        <v>1076</v>
      </c>
      <c r="R129" s="55" t="s">
        <v>1084</v>
      </c>
      <c r="S129" s="368" t="s">
        <v>17</v>
      </c>
      <c r="U129" s="55" t="s">
        <v>1084</v>
      </c>
      <c r="V129" s="368" t="s">
        <v>17</v>
      </c>
      <c r="X129" s="233"/>
      <c r="Y129" s="107" t="s">
        <v>1188</v>
      </c>
      <c r="Z129" s="107" t="s">
        <v>1188</v>
      </c>
      <c r="AA129" s="107" t="s">
        <v>1188</v>
      </c>
      <c r="AB129" s="107" t="s">
        <v>1188</v>
      </c>
      <c r="AC129" s="107" t="s">
        <v>1188</v>
      </c>
      <c r="AD129" s="107" t="s">
        <v>1188</v>
      </c>
      <c r="AE129" s="107" t="s">
        <v>1188</v>
      </c>
      <c r="AF129" s="107" t="s">
        <v>1188</v>
      </c>
      <c r="AG129" s="107" t="s">
        <v>1188</v>
      </c>
      <c r="AH129" s="107" t="s">
        <v>1188</v>
      </c>
      <c r="AI129" s="266"/>
      <c r="AJ129" s="133" t="s">
        <v>1130</v>
      </c>
      <c r="AK129" s="270" t="str">
        <f t="shared" ref="AK129:AU129" si="239">$DW$3</f>
        <v>Före andra mätare</v>
      </c>
      <c r="AL129" s="270" t="str">
        <f t="shared" si="239"/>
        <v>Före andra mätare</v>
      </c>
      <c r="AM129" s="270" t="str">
        <f t="shared" si="239"/>
        <v>Före andra mätare</v>
      </c>
      <c r="AN129" s="270" t="str">
        <f t="shared" si="239"/>
        <v>Före andra mätare</v>
      </c>
      <c r="AO129" s="270" t="str">
        <f t="shared" si="239"/>
        <v>Före andra mätare</v>
      </c>
      <c r="AP129" s="270" t="str">
        <f t="shared" si="239"/>
        <v>Före andra mätare</v>
      </c>
      <c r="AQ129" s="270" t="str">
        <f t="shared" si="239"/>
        <v>Före andra mätare</v>
      </c>
      <c r="AR129" s="270" t="str">
        <f t="shared" si="239"/>
        <v>Före andra mätare</v>
      </c>
      <c r="AS129" s="270" t="str">
        <f t="shared" si="239"/>
        <v>Före andra mätare</v>
      </c>
      <c r="AT129" s="270" t="str">
        <f t="shared" si="239"/>
        <v>Före andra mätare</v>
      </c>
      <c r="AU129" s="270" t="str">
        <f t="shared" si="239"/>
        <v>Före andra mätare</v>
      </c>
      <c r="AV129" s="270"/>
      <c r="AW129" s="270"/>
      <c r="AX129" s="127"/>
      <c r="AY129" s="234"/>
      <c r="AZ129" s="437"/>
      <c r="BA129" s="439" t="s">
        <v>1460</v>
      </c>
      <c r="BB129" s="419" t="e">
        <f>BB127/50</f>
        <v>#DIV/0!</v>
      </c>
      <c r="BC129" s="419" t="e">
        <f t="shared" ref="BC129:BD129" si="240">BC127/50</f>
        <v>#DIV/0!</v>
      </c>
      <c r="BD129" s="419" t="e">
        <f t="shared" si="240"/>
        <v>#DIV/0!</v>
      </c>
      <c r="BE129" s="420" t="e">
        <f t="shared" si="237"/>
        <v>#DIV/0!</v>
      </c>
      <c r="BF129" s="234"/>
      <c r="BG129" s="234"/>
      <c r="BH129" s="234"/>
      <c r="BI129" s="234"/>
      <c r="BJ129" s="437"/>
      <c r="BK129" s="439" t="s">
        <v>1460</v>
      </c>
      <c r="BL129" s="419" t="e">
        <f>BL127/50</f>
        <v>#DIV/0!</v>
      </c>
      <c r="BM129" s="419" t="e">
        <f t="shared" ref="BM129:BN129" si="241">BM127/50</f>
        <v>#DIV/0!</v>
      </c>
      <c r="BN129" s="419" t="e">
        <f t="shared" si="241"/>
        <v>#DIV/0!</v>
      </c>
      <c r="BO129" s="420" t="e">
        <f t="shared" si="238"/>
        <v>#DIV/0!</v>
      </c>
      <c r="BP129" s="234"/>
      <c r="BQ129" s="234"/>
      <c r="BR129" s="234"/>
      <c r="BS129" s="234"/>
      <c r="BT129" s="67"/>
      <c r="BU129" s="67"/>
      <c r="BV129" s="67"/>
      <c r="BW129" s="67"/>
      <c r="BX129" s="67"/>
      <c r="BY129" s="67"/>
      <c r="BZ129" s="234"/>
      <c r="CA129" s="234"/>
      <c r="CB129" s="234"/>
      <c r="CC129" s="234"/>
      <c r="CD129" s="234"/>
      <c r="CE129" s="234"/>
      <c r="CF129" s="234"/>
      <c r="CG129" s="234"/>
      <c r="CH129" s="234"/>
      <c r="CI129" s="234"/>
      <c r="CJ129" s="234"/>
      <c r="CK129" s="234"/>
      <c r="CL129" s="234"/>
      <c r="CM129" s="234"/>
      <c r="CN129" s="234"/>
      <c r="CO129" s="234"/>
      <c r="CP129" s="234"/>
      <c r="CQ129" s="234"/>
      <c r="CR129" s="234"/>
      <c r="CS129" s="234"/>
      <c r="CT129" s="234"/>
      <c r="CU129" s="234"/>
      <c r="CV129" s="234"/>
      <c r="CW129" s="234"/>
      <c r="CX129" s="234"/>
      <c r="CY129" s="31"/>
      <c r="CZ129" s="234"/>
      <c r="DA129" s="234"/>
      <c r="DB129" s="234"/>
      <c r="DC129" s="234"/>
      <c r="DD129" s="234"/>
      <c r="DE129" s="234"/>
      <c r="DF129" s="234"/>
      <c r="DG129" s="234"/>
      <c r="DH129" s="234"/>
      <c r="DI129" s="234"/>
      <c r="DJ129" s="234"/>
      <c r="DK129" s="234"/>
      <c r="DL129" s="234"/>
      <c r="DM129" s="234"/>
      <c r="DN129" s="234"/>
      <c r="DO129" s="234"/>
      <c r="DP129" s="234"/>
      <c r="DQ129" s="234"/>
      <c r="DR129" s="234"/>
      <c r="DS129" s="234"/>
      <c r="DT129" s="234"/>
    </row>
    <row r="130" spans="1:124" s="231" customFormat="1" ht="16.5" customHeight="1" x14ac:dyDescent="0.25">
      <c r="A130" s="232"/>
      <c r="B130" s="232"/>
      <c r="C130" s="217" t="s">
        <v>1356</v>
      </c>
      <c r="D130" s="250"/>
      <c r="E130" s="232"/>
      <c r="F130" s="54" t="s">
        <v>19</v>
      </c>
      <c r="G130" s="375" t="str">
        <f>$G$15</f>
        <v>jan</v>
      </c>
      <c r="H130" s="37"/>
      <c r="I130" s="55" t="s">
        <v>1079</v>
      </c>
      <c r="J130" s="368" t="s">
        <v>1088</v>
      </c>
      <c r="L130" s="55" t="s">
        <v>1079</v>
      </c>
      <c r="M130" s="368" t="s">
        <v>1087</v>
      </c>
      <c r="O130" s="55" t="s">
        <v>1079</v>
      </c>
      <c r="P130" s="368" t="s">
        <v>1087</v>
      </c>
      <c r="R130" s="55" t="s">
        <v>1079</v>
      </c>
      <c r="S130" s="368" t="s">
        <v>1089</v>
      </c>
      <c r="U130" s="55" t="s">
        <v>1079</v>
      </c>
      <c r="V130" s="368" t="s">
        <v>1090</v>
      </c>
      <c r="X130" s="233"/>
      <c r="Y130" s="252">
        <f t="shared" ref="Y130:Y141" si="242">AO130</f>
        <v>0</v>
      </c>
      <c r="Z130" s="252">
        <f t="shared" ref="Z130:Z141" si="243">AP130</f>
        <v>0</v>
      </c>
      <c r="AA130" s="252">
        <f t="shared" ref="AA130:AA141" si="244">AQ130</f>
        <v>0</v>
      </c>
      <c r="AB130" s="252">
        <f t="shared" ref="AB130:AB141" si="245">AR130</f>
        <v>0</v>
      </c>
      <c r="AC130" s="248">
        <f t="shared" ref="AC130:AC141" si="246">AS130</f>
        <v>0</v>
      </c>
      <c r="AD130" s="248">
        <f t="shared" ref="AD130:AD141" si="247">AT130</f>
        <v>0</v>
      </c>
      <c r="AE130" s="248">
        <f t="shared" ref="AE130:AE141" si="248">AK130</f>
        <v>0</v>
      </c>
      <c r="AF130" s="248">
        <f t="shared" ref="AF130:AF141" si="249">AL130</f>
        <v>0</v>
      </c>
      <c r="AG130" s="248">
        <f t="shared" ref="AG130:AG141" si="250">AM130</f>
        <v>0</v>
      </c>
      <c r="AH130" s="248">
        <f t="shared" ref="AH130:AH141" si="251">AN130</f>
        <v>0</v>
      </c>
      <c r="AI130" s="266"/>
      <c r="AJ130" s="247" t="str">
        <f t="shared" ref="AJ130:AJ141" ca="1" si="252">G134</f>
        <v>jan</v>
      </c>
      <c r="AK130" s="252">
        <f t="shared" ref="AK130:AK141" si="253">IF($J$129=AK$127,IF($J$130=AK$128,IF($J$131=AK$129,$I134,0),0),0)+IF($M$129=AK$127,IF($M$130=AK$128,IF($M$131=AK$129,$L134,0),0),0)+IF($P$129=AK$127,IF($P$130=AK$128,IF($P$131=AK$129,$O134,0),0),0)+IF($S$129=AK$127,IF($S$130=AK$128,IF($S$131=AK$129,R134,0),0),0)+IF($V$129=AK$127,IF($V$130=AK$128,IF($V$131=AK$129,U134,0),0),0)</f>
        <v>0</v>
      </c>
      <c r="AL130" s="252">
        <f t="shared" ref="AL130:AU130" si="254">IF($J$129=AL$127,IF($J$130=AL$128,IF($J$131=AL$129,$I134,0),0),0)+IF($M$129=AL$127,IF($M$130=AL$128,IF($M$131=AL$129,$L134,0),0),0)+IF($P$129=AL$127,IF($P$130=AL$128,IF($P$131=AL$129,$O134,0),0),0)+IF($S$129=AL$127,IF($S$130=AL$128,IF($S$131=AL$129,$R134,0),0),0)+IF($V$129=AL$127,IF($V$130=AL$128,IF($V$131=AL$129,$U134,0),0),0)</f>
        <v>0</v>
      </c>
      <c r="AM130" s="252">
        <f t="shared" si="254"/>
        <v>0</v>
      </c>
      <c r="AN130" s="252">
        <f t="shared" si="254"/>
        <v>0</v>
      </c>
      <c r="AO130" s="252">
        <f t="shared" si="254"/>
        <v>0</v>
      </c>
      <c r="AP130" s="252">
        <f t="shared" si="254"/>
        <v>0</v>
      </c>
      <c r="AQ130" s="252">
        <f t="shared" si="254"/>
        <v>0</v>
      </c>
      <c r="AR130" s="252">
        <f t="shared" si="254"/>
        <v>0</v>
      </c>
      <c r="AS130" s="252">
        <f t="shared" si="254"/>
        <v>0</v>
      </c>
      <c r="AT130" s="252">
        <f t="shared" si="254"/>
        <v>0</v>
      </c>
      <c r="AU130" s="252">
        <f t="shared" si="254"/>
        <v>0</v>
      </c>
      <c r="AV130" s="265"/>
      <c r="AW130" s="265"/>
      <c r="AX130" s="265"/>
      <c r="AY130" s="234"/>
      <c r="AZ130" s="234"/>
      <c r="BA130" s="234"/>
      <c r="BB130" s="234"/>
      <c r="BC130" s="234"/>
      <c r="BD130" s="234"/>
      <c r="BE130" s="234"/>
      <c r="BF130" s="234"/>
      <c r="BG130" s="234"/>
      <c r="BH130" s="234"/>
      <c r="BI130" s="234"/>
      <c r="BJ130" s="234"/>
      <c r="BK130" s="234"/>
      <c r="BL130" s="234"/>
      <c r="BM130" s="234"/>
      <c r="BN130" s="234"/>
      <c r="BO130" s="234"/>
      <c r="BP130" s="234"/>
      <c r="BQ130" s="234"/>
      <c r="BR130" s="234"/>
      <c r="BS130" s="234"/>
      <c r="BT130" s="67"/>
      <c r="BU130" s="67"/>
      <c r="BV130" s="67"/>
      <c r="BW130" s="67"/>
      <c r="BX130" s="67"/>
      <c r="BY130" s="67"/>
      <c r="BZ130" s="234"/>
      <c r="CA130" s="234"/>
      <c r="CB130" s="234"/>
      <c r="CC130" s="234"/>
      <c r="CD130" s="234"/>
      <c r="CE130" s="234"/>
      <c r="CF130" s="234"/>
      <c r="CG130" s="234"/>
      <c r="CH130" s="234"/>
      <c r="CI130" s="234"/>
      <c r="CJ130" s="234"/>
      <c r="CK130" s="234"/>
      <c r="CL130" s="234"/>
      <c r="CM130" s="234"/>
      <c r="CN130" s="234"/>
      <c r="CO130" s="234"/>
      <c r="CP130" s="234"/>
      <c r="CQ130" s="234"/>
      <c r="CR130" s="234"/>
      <c r="CS130" s="234"/>
      <c r="CT130" s="234"/>
      <c r="CU130" s="234"/>
      <c r="CV130" s="234"/>
      <c r="CW130" s="234"/>
      <c r="CX130" s="234"/>
      <c r="CY130" s="31"/>
      <c r="CZ130" s="234"/>
      <c r="DA130" s="234"/>
      <c r="DB130" s="234"/>
      <c r="DC130" s="234"/>
      <c r="DD130" s="234"/>
      <c r="DE130" s="234"/>
      <c r="DF130" s="234"/>
      <c r="DG130" s="234"/>
      <c r="DH130" s="234"/>
      <c r="DI130" s="234"/>
      <c r="DJ130" s="234"/>
      <c r="DK130" s="234"/>
      <c r="DL130" s="234"/>
      <c r="DM130" s="234"/>
      <c r="DN130" s="234"/>
      <c r="DO130" s="234"/>
      <c r="DP130" s="234"/>
      <c r="DQ130" s="234"/>
      <c r="DR130" s="234"/>
      <c r="DS130" s="234"/>
      <c r="DT130" s="234"/>
    </row>
    <row r="131" spans="1:124" s="231" customFormat="1" ht="16.5" customHeight="1" x14ac:dyDescent="0.25">
      <c r="A131" s="232"/>
      <c r="B131" s="232"/>
      <c r="C131" s="527"/>
      <c r="D131" s="528"/>
      <c r="E131" s="232"/>
      <c r="F131" s="93"/>
      <c r="G131" s="93"/>
      <c r="H131" s="37"/>
      <c r="I131" s="268" t="s">
        <v>1140</v>
      </c>
      <c r="J131" s="373" t="s">
        <v>1141</v>
      </c>
      <c r="L131" s="268" t="s">
        <v>1140</v>
      </c>
      <c r="M131" s="373" t="s">
        <v>1141</v>
      </c>
      <c r="O131" s="268" t="s">
        <v>1140</v>
      </c>
      <c r="P131" s="373" t="s">
        <v>1141</v>
      </c>
      <c r="R131" s="268" t="s">
        <v>1140</v>
      </c>
      <c r="S131" s="373" t="s">
        <v>1141</v>
      </c>
      <c r="U131" s="268" t="s">
        <v>1140</v>
      </c>
      <c r="V131" s="368" t="s">
        <v>1141</v>
      </c>
      <c r="X131" s="233"/>
      <c r="Y131" s="252">
        <f t="shared" si="242"/>
        <v>0</v>
      </c>
      <c r="Z131" s="252">
        <f t="shared" si="243"/>
        <v>0</v>
      </c>
      <c r="AA131" s="252">
        <f t="shared" si="244"/>
        <v>0</v>
      </c>
      <c r="AB131" s="252">
        <f t="shared" si="245"/>
        <v>0</v>
      </c>
      <c r="AC131" s="248">
        <f t="shared" si="246"/>
        <v>0</v>
      </c>
      <c r="AD131" s="248">
        <f t="shared" si="247"/>
        <v>0</v>
      </c>
      <c r="AE131" s="248">
        <f t="shared" si="248"/>
        <v>0</v>
      </c>
      <c r="AF131" s="248">
        <f t="shared" si="249"/>
        <v>0</v>
      </c>
      <c r="AG131" s="248">
        <f t="shared" si="250"/>
        <v>0</v>
      </c>
      <c r="AH131" s="248">
        <f t="shared" si="251"/>
        <v>0</v>
      </c>
      <c r="AI131" s="266"/>
      <c r="AJ131" s="247" t="str">
        <f t="shared" ca="1" si="252"/>
        <v>feb</v>
      </c>
      <c r="AK131" s="252">
        <f t="shared" si="253"/>
        <v>0</v>
      </c>
      <c r="AL131" s="252">
        <f t="shared" ref="AL131:AU131" si="255">IF($J$129=AL$127,IF($J$130=AL$128,IF($J$131=AL$129,$I135,0),0),0)+IF($M$129=AL$127,IF($M$130=AL$128,IF($M$131=AL$129,$L135,0),0),0)+IF($P$129=AL$127,IF($P$130=AL$128,IF($P$131=AL$129,$O135,0),0),0)+IF($S$129=AL$127,IF($S$130=AL$128,IF($S$131=AL$129,$R135,0),0),0)+IF($V$129=AL$127,IF($V$130=AL$128,IF($V$131=AL$129,$U135,0),0),0)</f>
        <v>0</v>
      </c>
      <c r="AM131" s="252">
        <f t="shared" si="255"/>
        <v>0</v>
      </c>
      <c r="AN131" s="252">
        <f t="shared" si="255"/>
        <v>0</v>
      </c>
      <c r="AO131" s="252">
        <f t="shared" si="255"/>
        <v>0</v>
      </c>
      <c r="AP131" s="252">
        <f t="shared" si="255"/>
        <v>0</v>
      </c>
      <c r="AQ131" s="252">
        <f t="shared" si="255"/>
        <v>0</v>
      </c>
      <c r="AR131" s="252">
        <f t="shared" si="255"/>
        <v>0</v>
      </c>
      <c r="AS131" s="252">
        <f t="shared" si="255"/>
        <v>0</v>
      </c>
      <c r="AT131" s="252">
        <f t="shared" si="255"/>
        <v>0</v>
      </c>
      <c r="AU131" s="252">
        <f t="shared" si="255"/>
        <v>0</v>
      </c>
      <c r="AV131" s="265"/>
      <c r="AW131" s="265"/>
      <c r="AX131" s="265"/>
      <c r="AY131" s="234"/>
      <c r="AZ131" s="234"/>
      <c r="BA131" s="234"/>
      <c r="BB131" s="234"/>
      <c r="BC131" s="234"/>
      <c r="BD131" s="234"/>
      <c r="BE131" s="234"/>
      <c r="BF131" s="234"/>
      <c r="BG131" s="234"/>
      <c r="BH131" s="234"/>
      <c r="BI131" s="234"/>
      <c r="BJ131" s="234"/>
      <c r="BK131" s="234"/>
      <c r="BL131" s="234"/>
      <c r="BM131" s="234"/>
      <c r="BN131" s="234"/>
      <c r="BO131" s="234"/>
      <c r="BP131" s="234"/>
      <c r="BQ131" s="234"/>
      <c r="BR131" s="234"/>
      <c r="BS131" s="234"/>
      <c r="BT131" s="67"/>
      <c r="BU131" s="67"/>
      <c r="BV131" s="67"/>
      <c r="BW131" s="67"/>
      <c r="BX131" s="67"/>
      <c r="BY131" s="67"/>
      <c r="BZ131" s="234"/>
      <c r="CA131" s="234"/>
      <c r="CB131" s="234"/>
      <c r="CC131" s="234"/>
      <c r="CD131" s="234"/>
      <c r="CE131" s="234"/>
      <c r="CF131" s="234"/>
      <c r="CG131" s="234"/>
      <c r="CH131" s="234"/>
      <c r="CI131" s="234"/>
      <c r="CJ131" s="234"/>
      <c r="CK131" s="234"/>
      <c r="CL131" s="234"/>
      <c r="CM131" s="234"/>
      <c r="CN131" s="234"/>
      <c r="CO131" s="234"/>
      <c r="CP131" s="234"/>
      <c r="CQ131" s="234"/>
      <c r="CR131" s="234"/>
      <c r="CS131" s="234"/>
      <c r="CT131" s="234"/>
      <c r="CU131" s="234"/>
      <c r="CV131" s="234"/>
      <c r="CW131" s="234"/>
      <c r="CX131" s="234"/>
      <c r="CY131" s="31"/>
      <c r="CZ131" s="234"/>
      <c r="DA131" s="234"/>
      <c r="DB131" s="234"/>
      <c r="DC131" s="234"/>
      <c r="DD131" s="234"/>
      <c r="DE131" s="234"/>
      <c r="DF131" s="234"/>
      <c r="DG131" s="234"/>
      <c r="DH131" s="234"/>
      <c r="DI131" s="234"/>
      <c r="DJ131" s="234"/>
      <c r="DK131" s="234"/>
      <c r="DL131" s="234"/>
      <c r="DM131" s="234"/>
      <c r="DN131" s="234"/>
      <c r="DO131" s="234"/>
      <c r="DP131" s="234"/>
      <c r="DQ131" s="234"/>
      <c r="DR131" s="234"/>
      <c r="DS131" s="234"/>
      <c r="DT131" s="234"/>
    </row>
    <row r="132" spans="1:124" s="231" customFormat="1" ht="16.5" customHeight="1" x14ac:dyDescent="0.25">
      <c r="A132" s="232"/>
      <c r="B132" s="232"/>
      <c r="C132" s="529"/>
      <c r="D132" s="530"/>
      <c r="E132" s="232"/>
      <c r="F132" s="232"/>
      <c r="G132" s="37"/>
      <c r="H132" s="37"/>
      <c r="I132" s="97"/>
      <c r="J132" s="66" t="s">
        <v>1132</v>
      </c>
      <c r="L132" s="97"/>
      <c r="M132" s="66" t="s">
        <v>1132</v>
      </c>
      <c r="O132" s="97"/>
      <c r="P132" s="66" t="s">
        <v>1132</v>
      </c>
      <c r="R132" s="97"/>
      <c r="S132" s="66" t="s">
        <v>1132</v>
      </c>
      <c r="U132" s="97"/>
      <c r="V132" s="66" t="s">
        <v>1132</v>
      </c>
      <c r="X132" s="233"/>
      <c r="Y132" s="252">
        <f t="shared" si="242"/>
        <v>0</v>
      </c>
      <c r="Z132" s="252">
        <f t="shared" si="243"/>
        <v>0</v>
      </c>
      <c r="AA132" s="252">
        <f t="shared" si="244"/>
        <v>0</v>
      </c>
      <c r="AB132" s="252">
        <f t="shared" si="245"/>
        <v>0</v>
      </c>
      <c r="AC132" s="248">
        <f t="shared" si="246"/>
        <v>0</v>
      </c>
      <c r="AD132" s="248">
        <f t="shared" si="247"/>
        <v>0</v>
      </c>
      <c r="AE132" s="248">
        <f t="shared" si="248"/>
        <v>0</v>
      </c>
      <c r="AF132" s="248">
        <f t="shared" si="249"/>
        <v>0</v>
      </c>
      <c r="AG132" s="248">
        <f t="shared" si="250"/>
        <v>0</v>
      </c>
      <c r="AH132" s="248">
        <f t="shared" si="251"/>
        <v>0</v>
      </c>
      <c r="AI132" s="266"/>
      <c r="AJ132" s="247" t="str">
        <f t="shared" ca="1" si="252"/>
        <v>mars</v>
      </c>
      <c r="AK132" s="252">
        <f t="shared" si="253"/>
        <v>0</v>
      </c>
      <c r="AL132" s="252">
        <f t="shared" ref="AL132:AU132" si="256">IF($J$129=AL$127,IF($J$130=AL$128,IF($J$131=AL$129,$I136,0),0),0)+IF($M$129=AL$127,IF($M$130=AL$128,IF($M$131=AL$129,$L136,0),0),0)+IF($P$129=AL$127,IF($P$130=AL$128,IF($P$131=AL$129,$O136,0),0),0)+IF($S$129=AL$127,IF($S$130=AL$128,IF($S$131=AL$129,$R136,0),0),0)+IF($V$129=AL$127,IF($V$130=AL$128,IF($V$131=AL$129,$U136,0),0),0)</f>
        <v>0</v>
      </c>
      <c r="AM132" s="252">
        <f t="shared" si="256"/>
        <v>0</v>
      </c>
      <c r="AN132" s="252">
        <f t="shared" si="256"/>
        <v>0</v>
      </c>
      <c r="AO132" s="252">
        <f t="shared" si="256"/>
        <v>0</v>
      </c>
      <c r="AP132" s="252">
        <f t="shared" si="256"/>
        <v>0</v>
      </c>
      <c r="AQ132" s="252">
        <f t="shared" si="256"/>
        <v>0</v>
      </c>
      <c r="AR132" s="252">
        <f t="shared" si="256"/>
        <v>0</v>
      </c>
      <c r="AS132" s="252">
        <f t="shared" si="256"/>
        <v>0</v>
      </c>
      <c r="AT132" s="252">
        <f t="shared" si="256"/>
        <v>0</v>
      </c>
      <c r="AU132" s="252">
        <f t="shared" si="256"/>
        <v>0</v>
      </c>
      <c r="AV132" s="265"/>
      <c r="AW132" s="265"/>
      <c r="AX132" s="265"/>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4"/>
      <c r="BT132" s="67"/>
      <c r="BU132" s="67"/>
      <c r="BV132" s="67"/>
      <c r="BW132" s="67"/>
      <c r="BX132" s="67"/>
      <c r="BY132" s="67"/>
      <c r="BZ132" s="234"/>
      <c r="CA132" s="234"/>
      <c r="CB132" s="234"/>
      <c r="CC132" s="234"/>
      <c r="CD132" s="234"/>
      <c r="CE132" s="234"/>
      <c r="CF132" s="234"/>
      <c r="CG132" s="234"/>
      <c r="CH132" s="234"/>
      <c r="CI132" s="234"/>
      <c r="CJ132" s="234"/>
      <c r="CK132" s="234"/>
      <c r="CL132" s="234"/>
      <c r="CM132" s="234"/>
      <c r="CN132" s="234"/>
      <c r="CO132" s="234"/>
      <c r="CP132" s="234"/>
      <c r="CQ132" s="234"/>
      <c r="CR132" s="234"/>
      <c r="CS132" s="234"/>
      <c r="CT132" s="234"/>
      <c r="CU132" s="234"/>
      <c r="CV132" s="234"/>
      <c r="CW132" s="234"/>
      <c r="CX132" s="234"/>
      <c r="CY132" s="31"/>
      <c r="CZ132" s="234"/>
      <c r="DA132" s="234"/>
      <c r="DB132" s="234"/>
      <c r="DC132" s="234"/>
      <c r="DD132" s="234"/>
      <c r="DE132" s="234"/>
      <c r="DF132" s="234"/>
      <c r="DG132" s="234"/>
      <c r="DH132" s="234"/>
      <c r="DI132" s="234"/>
      <c r="DJ132" s="234"/>
      <c r="DK132" s="234"/>
      <c r="DL132" s="234"/>
      <c r="DM132" s="234"/>
      <c r="DN132" s="234"/>
      <c r="DO132" s="234"/>
      <c r="DP132" s="234"/>
      <c r="DQ132" s="234"/>
      <c r="DR132" s="234"/>
      <c r="DS132" s="234"/>
      <c r="DT132" s="234"/>
    </row>
    <row r="133" spans="1:124" s="231" customFormat="1" ht="16.5" customHeight="1" x14ac:dyDescent="0.25">
      <c r="A133" s="232"/>
      <c r="B133" s="232"/>
      <c r="C133" s="531"/>
      <c r="D133" s="532"/>
      <c r="E133" s="232"/>
      <c r="F133" s="391" t="s">
        <v>1044</v>
      </c>
      <c r="G133" s="391" t="s">
        <v>1045</v>
      </c>
      <c r="H133" s="70"/>
      <c r="I133" s="106" t="s">
        <v>1075</v>
      </c>
      <c r="J133" s="442" t="s">
        <v>1086</v>
      </c>
      <c r="K133" s="17"/>
      <c r="L133" s="444" t="s">
        <v>1075</v>
      </c>
      <c r="M133" s="442" t="s">
        <v>1086</v>
      </c>
      <c r="N133" s="17"/>
      <c r="O133" s="444" t="s">
        <v>1075</v>
      </c>
      <c r="P133" s="442" t="s">
        <v>1086</v>
      </c>
      <c r="Q133" s="17"/>
      <c r="R133" s="444" t="s">
        <v>1075</v>
      </c>
      <c r="S133" s="442" t="s">
        <v>1086</v>
      </c>
      <c r="T133" s="17"/>
      <c r="U133" s="444" t="s">
        <v>1075</v>
      </c>
      <c r="V133" s="442" t="s">
        <v>1086</v>
      </c>
      <c r="X133" s="233"/>
      <c r="Y133" s="252">
        <f t="shared" si="242"/>
        <v>0</v>
      </c>
      <c r="Z133" s="252">
        <f t="shared" si="243"/>
        <v>0</v>
      </c>
      <c r="AA133" s="252">
        <f t="shared" si="244"/>
        <v>0</v>
      </c>
      <c r="AB133" s="252">
        <f t="shared" si="245"/>
        <v>0</v>
      </c>
      <c r="AC133" s="248">
        <f t="shared" si="246"/>
        <v>0</v>
      </c>
      <c r="AD133" s="248">
        <f t="shared" si="247"/>
        <v>0</v>
      </c>
      <c r="AE133" s="248">
        <f t="shared" si="248"/>
        <v>0</v>
      </c>
      <c r="AF133" s="248">
        <f t="shared" si="249"/>
        <v>0</v>
      </c>
      <c r="AG133" s="248">
        <f t="shared" si="250"/>
        <v>0</v>
      </c>
      <c r="AH133" s="248">
        <f t="shared" si="251"/>
        <v>0</v>
      </c>
      <c r="AI133" s="266"/>
      <c r="AJ133" s="247" t="str">
        <f t="shared" ca="1" si="252"/>
        <v>apr</v>
      </c>
      <c r="AK133" s="252">
        <f t="shared" si="253"/>
        <v>0</v>
      </c>
      <c r="AL133" s="252">
        <f t="shared" ref="AL133:AU133" si="257">IF($J$129=AL$127,IF($J$130=AL$128,IF($J$131=AL$129,$I137,0),0),0)+IF($M$129=AL$127,IF($M$130=AL$128,IF($M$131=AL$129,$L137,0),0),0)+IF($P$129=AL$127,IF($P$130=AL$128,IF($P$131=AL$129,$O137,0),0),0)+IF($S$129=AL$127,IF($S$130=AL$128,IF($S$131=AL$129,$R137,0),0),0)+IF($V$129=AL$127,IF($V$130=AL$128,IF($V$131=AL$129,$U137,0),0),0)</f>
        <v>0</v>
      </c>
      <c r="AM133" s="252">
        <f t="shared" si="257"/>
        <v>0</v>
      </c>
      <c r="AN133" s="252">
        <f t="shared" si="257"/>
        <v>0</v>
      </c>
      <c r="AO133" s="252">
        <f t="shared" si="257"/>
        <v>0</v>
      </c>
      <c r="AP133" s="252">
        <f t="shared" si="257"/>
        <v>0</v>
      </c>
      <c r="AQ133" s="252">
        <f t="shared" si="257"/>
        <v>0</v>
      </c>
      <c r="AR133" s="252">
        <f t="shared" si="257"/>
        <v>0</v>
      </c>
      <c r="AS133" s="252">
        <f t="shared" si="257"/>
        <v>0</v>
      </c>
      <c r="AT133" s="252">
        <f t="shared" si="257"/>
        <v>0</v>
      </c>
      <c r="AU133" s="252">
        <f t="shared" si="257"/>
        <v>0</v>
      </c>
      <c r="AV133" s="265"/>
      <c r="AW133" s="265"/>
      <c r="AX133" s="265"/>
      <c r="AY133" s="234"/>
      <c r="AZ133" s="234"/>
      <c r="BA133" s="234"/>
      <c r="BB133" s="234"/>
      <c r="BC133" s="234"/>
      <c r="BD133" s="234"/>
      <c r="BE133" s="234"/>
      <c r="BF133" s="234"/>
      <c r="BG133" s="234"/>
      <c r="BH133" s="234"/>
      <c r="BI133" s="234"/>
      <c r="BJ133" s="234"/>
      <c r="BK133" s="234"/>
      <c r="BL133" s="234"/>
      <c r="BM133" s="234"/>
      <c r="BN133" s="234"/>
      <c r="BO133" s="234"/>
      <c r="BP133" s="234"/>
      <c r="BQ133" s="234"/>
      <c r="BR133" s="234"/>
      <c r="BS133" s="234"/>
      <c r="BT133" s="67"/>
      <c r="BU133" s="67"/>
      <c r="BV133" s="67"/>
      <c r="BW133" s="67"/>
      <c r="BX133" s="67"/>
      <c r="BY133" s="67"/>
      <c r="BZ133" s="234"/>
      <c r="CA133" s="234"/>
      <c r="CB133" s="234"/>
      <c r="CC133" s="234"/>
      <c r="CD133" s="234"/>
      <c r="CE133" s="234"/>
      <c r="CF133" s="234"/>
      <c r="CG133" s="234"/>
      <c r="CH133" s="234"/>
      <c r="CI133" s="234"/>
      <c r="CJ133" s="234"/>
      <c r="CK133" s="234"/>
      <c r="CL133" s="234"/>
      <c r="CM133" s="234"/>
      <c r="CN133" s="234"/>
      <c r="CO133" s="234"/>
      <c r="CP133" s="234"/>
      <c r="CQ133" s="234"/>
      <c r="CR133" s="234"/>
      <c r="CS133" s="234"/>
      <c r="CT133" s="234"/>
      <c r="CU133" s="234"/>
      <c r="CV133" s="234"/>
      <c r="CW133" s="234"/>
      <c r="CX133" s="234"/>
      <c r="CY133" s="31"/>
      <c r="CZ133" s="234"/>
      <c r="DA133" s="234"/>
      <c r="DB133" s="234"/>
      <c r="DC133" s="234"/>
      <c r="DD133" s="234"/>
      <c r="DE133" s="234"/>
      <c r="DF133" s="234"/>
      <c r="DG133" s="234"/>
      <c r="DH133" s="234"/>
      <c r="DI133" s="234"/>
      <c r="DJ133" s="234"/>
      <c r="DK133" s="234"/>
      <c r="DL133" s="234"/>
      <c r="DM133" s="234"/>
      <c r="DN133" s="234"/>
      <c r="DO133" s="234"/>
      <c r="DP133" s="234"/>
      <c r="DQ133" s="234"/>
      <c r="DR133" s="234"/>
      <c r="DS133" s="234"/>
      <c r="DT133" s="234"/>
    </row>
    <row r="134" spans="1:124" s="231" customFormat="1" ht="16.5" customHeight="1" x14ac:dyDescent="0.25">
      <c r="A134" s="232"/>
      <c r="B134" s="250"/>
      <c r="C134" s="250"/>
      <c r="D134" s="250"/>
      <c r="E134" s="251"/>
      <c r="F134" s="387">
        <f>G129</f>
        <v>2017</v>
      </c>
      <c r="G134" s="387" t="str">
        <f t="shared" ref="G134:G145" ca="1" si="258">OFFSET($EI$2,$EI$46+ROW(F134)-ROW($F$134),0)</f>
        <v>jan</v>
      </c>
      <c r="H134" s="70"/>
      <c r="I134" s="109">
        <f t="shared" ref="I134:I145" si="259">IF($D$129&gt;0,J134,0)</f>
        <v>0</v>
      </c>
      <c r="J134" s="394"/>
      <c r="L134" s="109">
        <f t="shared" ref="L134:L145" si="260">IF($D$129&gt;1,M134,0)</f>
        <v>0</v>
      </c>
      <c r="M134" s="394"/>
      <c r="O134" s="109">
        <f t="shared" ref="O134:O145" si="261">IF($D$129&gt;2,P134,0)</f>
        <v>0</v>
      </c>
      <c r="P134" s="394"/>
      <c r="R134" s="109">
        <f t="shared" ref="R134:R145" si="262">IF($D$129&gt;3,S134,0)</f>
        <v>0</v>
      </c>
      <c r="S134" s="394"/>
      <c r="U134" s="109">
        <f t="shared" ref="U134:U145" si="263">IF($D$129&gt;4,V134,0)</f>
        <v>0</v>
      </c>
      <c r="V134" s="394"/>
      <c r="X134" s="233"/>
      <c r="Y134" s="252">
        <f t="shared" si="242"/>
        <v>0</v>
      </c>
      <c r="Z134" s="252">
        <f t="shared" si="243"/>
        <v>0</v>
      </c>
      <c r="AA134" s="252">
        <f t="shared" si="244"/>
        <v>0</v>
      </c>
      <c r="AB134" s="252">
        <f t="shared" si="245"/>
        <v>0</v>
      </c>
      <c r="AC134" s="248">
        <f t="shared" si="246"/>
        <v>0</v>
      </c>
      <c r="AD134" s="248">
        <f t="shared" si="247"/>
        <v>0</v>
      </c>
      <c r="AE134" s="248">
        <f t="shared" si="248"/>
        <v>0</v>
      </c>
      <c r="AF134" s="248">
        <f t="shared" si="249"/>
        <v>0</v>
      </c>
      <c r="AG134" s="248">
        <f t="shared" si="250"/>
        <v>0</v>
      </c>
      <c r="AH134" s="248">
        <f t="shared" si="251"/>
        <v>0</v>
      </c>
      <c r="AI134" s="266"/>
      <c r="AJ134" s="247" t="str">
        <f t="shared" ca="1" si="252"/>
        <v>maj</v>
      </c>
      <c r="AK134" s="252">
        <f t="shared" si="253"/>
        <v>0</v>
      </c>
      <c r="AL134" s="252">
        <f t="shared" ref="AL134:AU134" si="264">IF($J$129=AL$127,IF($J$130=AL$128,IF($J$131=AL$129,$I138,0),0),0)+IF($M$129=AL$127,IF($M$130=AL$128,IF($M$131=AL$129,$L138,0),0),0)+IF($P$129=AL$127,IF($P$130=AL$128,IF($P$131=AL$129,$O138,0),0),0)+IF($S$129=AL$127,IF($S$130=AL$128,IF($S$131=AL$129,$R138,0),0),0)+IF($V$129=AL$127,IF($V$130=AL$128,IF($V$131=AL$129,$U138,0),0),0)</f>
        <v>0</v>
      </c>
      <c r="AM134" s="252">
        <f t="shared" si="264"/>
        <v>0</v>
      </c>
      <c r="AN134" s="252">
        <f t="shared" si="264"/>
        <v>0</v>
      </c>
      <c r="AO134" s="252">
        <f t="shared" si="264"/>
        <v>0</v>
      </c>
      <c r="AP134" s="252">
        <f t="shared" si="264"/>
        <v>0</v>
      </c>
      <c r="AQ134" s="252">
        <f t="shared" si="264"/>
        <v>0</v>
      </c>
      <c r="AR134" s="252">
        <f t="shared" si="264"/>
        <v>0</v>
      </c>
      <c r="AS134" s="252">
        <f t="shared" si="264"/>
        <v>0</v>
      </c>
      <c r="AT134" s="252">
        <f t="shared" si="264"/>
        <v>0</v>
      </c>
      <c r="AU134" s="252">
        <f t="shared" si="264"/>
        <v>0</v>
      </c>
      <c r="AV134" s="265"/>
      <c r="AW134" s="265"/>
      <c r="AX134" s="265"/>
      <c r="AY134" s="234"/>
      <c r="AZ134" s="234"/>
      <c r="BA134" s="234"/>
      <c r="BB134" s="234"/>
      <c r="BC134" s="234"/>
      <c r="BD134" s="234"/>
      <c r="BE134" s="234"/>
      <c r="BF134" s="234"/>
      <c r="BG134" s="234"/>
      <c r="BH134" s="234"/>
      <c r="BI134" s="234"/>
      <c r="BJ134" s="234"/>
      <c r="BK134" s="234"/>
      <c r="BL134" s="234"/>
      <c r="BM134" s="234"/>
      <c r="BN134" s="234"/>
      <c r="BO134" s="234"/>
      <c r="BP134" s="234"/>
      <c r="BQ134" s="234"/>
      <c r="BR134" s="234"/>
      <c r="BS134" s="234"/>
      <c r="BT134" s="67"/>
      <c r="BU134" s="67"/>
      <c r="BV134" s="67"/>
      <c r="BW134" s="67"/>
      <c r="BX134" s="67"/>
      <c r="BY134" s="67"/>
      <c r="BZ134" s="234"/>
      <c r="CA134" s="234"/>
      <c r="CB134" s="234"/>
      <c r="CC134" s="234"/>
      <c r="CD134" s="234"/>
      <c r="CE134" s="234"/>
      <c r="CF134" s="234"/>
      <c r="CG134" s="234"/>
      <c r="CH134" s="234"/>
      <c r="CI134" s="234"/>
      <c r="CJ134" s="234"/>
      <c r="CK134" s="234"/>
      <c r="CL134" s="234"/>
      <c r="CM134" s="234"/>
      <c r="CN134" s="234"/>
      <c r="CO134" s="234"/>
      <c r="CP134" s="234"/>
      <c r="CQ134" s="234"/>
      <c r="CR134" s="234"/>
      <c r="CS134" s="234"/>
      <c r="CT134" s="234"/>
      <c r="CU134" s="234"/>
      <c r="CV134" s="234"/>
      <c r="CW134" s="234"/>
      <c r="CX134" s="234"/>
      <c r="CY134" s="31"/>
      <c r="CZ134" s="234"/>
      <c r="DA134" s="234"/>
      <c r="DB134" s="234"/>
      <c r="DC134" s="234"/>
      <c r="DD134" s="234"/>
      <c r="DE134" s="234"/>
      <c r="DF134" s="234"/>
      <c r="DG134" s="234"/>
      <c r="DH134" s="234"/>
      <c r="DI134" s="234"/>
      <c r="DJ134" s="234"/>
      <c r="DK134" s="234"/>
      <c r="DL134" s="234"/>
      <c r="DM134" s="234"/>
      <c r="DN134" s="234"/>
      <c r="DO134" s="234"/>
      <c r="DP134" s="234"/>
      <c r="DQ134" s="234"/>
      <c r="DR134" s="234"/>
      <c r="DS134" s="234"/>
      <c r="DT134" s="234"/>
    </row>
    <row r="135" spans="1:124" s="231" customFormat="1" ht="16.5" customHeight="1" x14ac:dyDescent="0.25">
      <c r="A135" s="232"/>
      <c r="B135" s="250"/>
      <c r="C135" s="250"/>
      <c r="D135" s="250"/>
      <c r="E135" s="232"/>
      <c r="F135" s="387">
        <f ca="1">IF(G135="jan",F134+1,F134)</f>
        <v>2017</v>
      </c>
      <c r="G135" s="387" t="str">
        <f t="shared" ca="1" si="258"/>
        <v>feb</v>
      </c>
      <c r="H135" s="70"/>
      <c r="I135" s="109">
        <f t="shared" si="259"/>
        <v>0</v>
      </c>
      <c r="J135" s="394"/>
      <c r="L135" s="109">
        <f t="shared" si="260"/>
        <v>0</v>
      </c>
      <c r="M135" s="394"/>
      <c r="O135" s="109">
        <f t="shared" si="261"/>
        <v>0</v>
      </c>
      <c r="P135" s="394"/>
      <c r="R135" s="109">
        <f t="shared" si="262"/>
        <v>0</v>
      </c>
      <c r="S135" s="394"/>
      <c r="U135" s="109">
        <f t="shared" si="263"/>
        <v>0</v>
      </c>
      <c r="V135" s="394"/>
      <c r="X135" s="233"/>
      <c r="Y135" s="252">
        <f t="shared" si="242"/>
        <v>0</v>
      </c>
      <c r="Z135" s="252">
        <f t="shared" si="243"/>
        <v>0</v>
      </c>
      <c r="AA135" s="252">
        <f t="shared" si="244"/>
        <v>0</v>
      </c>
      <c r="AB135" s="252">
        <f t="shared" si="245"/>
        <v>0</v>
      </c>
      <c r="AC135" s="248">
        <f t="shared" si="246"/>
        <v>0</v>
      </c>
      <c r="AD135" s="248">
        <f t="shared" si="247"/>
        <v>0</v>
      </c>
      <c r="AE135" s="248">
        <f t="shared" si="248"/>
        <v>0</v>
      </c>
      <c r="AF135" s="248">
        <f t="shared" si="249"/>
        <v>0</v>
      </c>
      <c r="AG135" s="248">
        <f t="shared" si="250"/>
        <v>0</v>
      </c>
      <c r="AH135" s="248">
        <f t="shared" si="251"/>
        <v>0</v>
      </c>
      <c r="AI135" s="266"/>
      <c r="AJ135" s="247" t="str">
        <f t="shared" ca="1" si="252"/>
        <v xml:space="preserve">jun </v>
      </c>
      <c r="AK135" s="252">
        <f t="shared" si="253"/>
        <v>0</v>
      </c>
      <c r="AL135" s="252">
        <f t="shared" ref="AL135:AU135" si="265">IF($J$129=AL$127,IF($J$130=AL$128,IF($J$131=AL$129,$I139,0),0),0)+IF($M$129=AL$127,IF($M$130=AL$128,IF($M$131=AL$129,$L139,0),0),0)+IF($P$129=AL$127,IF($P$130=AL$128,IF($P$131=AL$129,$O139,0),0),0)+IF($S$129=AL$127,IF($S$130=AL$128,IF($S$131=AL$129,$R139,0),0),0)+IF($V$129=AL$127,IF($V$130=AL$128,IF($V$131=AL$129,$U139,0),0),0)</f>
        <v>0</v>
      </c>
      <c r="AM135" s="252">
        <f t="shared" si="265"/>
        <v>0</v>
      </c>
      <c r="AN135" s="252">
        <f t="shared" si="265"/>
        <v>0</v>
      </c>
      <c r="AO135" s="252">
        <f t="shared" si="265"/>
        <v>0</v>
      </c>
      <c r="AP135" s="252">
        <f t="shared" si="265"/>
        <v>0</v>
      </c>
      <c r="AQ135" s="252">
        <f t="shared" si="265"/>
        <v>0</v>
      </c>
      <c r="AR135" s="252">
        <f t="shared" si="265"/>
        <v>0</v>
      </c>
      <c r="AS135" s="252">
        <f t="shared" si="265"/>
        <v>0</v>
      </c>
      <c r="AT135" s="252">
        <f t="shared" si="265"/>
        <v>0</v>
      </c>
      <c r="AU135" s="252">
        <f t="shared" si="265"/>
        <v>0</v>
      </c>
      <c r="AV135" s="265"/>
      <c r="AW135" s="265"/>
      <c r="AX135" s="265"/>
      <c r="AY135" s="234"/>
      <c r="AZ135" s="234"/>
      <c r="BA135" s="234"/>
      <c r="BB135" s="234"/>
      <c r="BC135" s="234"/>
      <c r="BD135" s="234"/>
      <c r="BE135" s="234"/>
      <c r="BF135" s="234"/>
      <c r="BG135" s="234"/>
      <c r="BH135" s="234"/>
      <c r="BI135" s="234"/>
      <c r="BJ135" s="234"/>
      <c r="BK135" s="234"/>
      <c r="BL135" s="234"/>
      <c r="BM135" s="234"/>
      <c r="BN135" s="234"/>
      <c r="BO135" s="234"/>
      <c r="BP135" s="234"/>
      <c r="BQ135" s="234"/>
      <c r="BR135" s="234"/>
      <c r="BS135" s="234"/>
      <c r="BT135" s="67"/>
      <c r="BU135" s="67"/>
      <c r="BV135" s="67"/>
      <c r="BW135" s="67"/>
      <c r="BX135" s="67"/>
      <c r="BY135" s="67"/>
      <c r="BZ135" s="234"/>
      <c r="CA135" s="234"/>
      <c r="CB135" s="234"/>
      <c r="CC135" s="234"/>
      <c r="CD135" s="234"/>
      <c r="CE135" s="234"/>
      <c r="CF135" s="234"/>
      <c r="CG135" s="234"/>
      <c r="CH135" s="234"/>
      <c r="CI135" s="234"/>
      <c r="CJ135" s="234"/>
      <c r="CK135" s="234"/>
      <c r="CL135" s="234"/>
      <c r="CM135" s="234"/>
      <c r="CN135" s="234"/>
      <c r="CO135" s="234"/>
      <c r="CP135" s="234"/>
      <c r="CQ135" s="234"/>
      <c r="CR135" s="234"/>
      <c r="CS135" s="234"/>
      <c r="CT135" s="234"/>
      <c r="CU135" s="234"/>
      <c r="CV135" s="234"/>
      <c r="CW135" s="234"/>
      <c r="CX135" s="234"/>
      <c r="CY135" s="31"/>
      <c r="CZ135" s="234"/>
      <c r="DA135" s="234"/>
      <c r="DB135" s="234"/>
      <c r="DC135" s="234"/>
      <c r="DD135" s="234"/>
      <c r="DE135" s="234"/>
      <c r="DF135" s="234"/>
      <c r="DG135" s="234"/>
      <c r="DH135" s="234"/>
      <c r="DI135" s="234"/>
      <c r="DJ135" s="234"/>
      <c r="DK135" s="234"/>
      <c r="DL135" s="234"/>
      <c r="DM135" s="234"/>
      <c r="DN135" s="234"/>
      <c r="DO135" s="234"/>
      <c r="DP135" s="234"/>
      <c r="DQ135" s="234"/>
      <c r="DR135" s="234"/>
      <c r="DS135" s="234"/>
      <c r="DT135" s="234"/>
    </row>
    <row r="136" spans="1:124" s="231" customFormat="1" ht="16.5" customHeight="1" x14ac:dyDescent="0.25">
      <c r="A136" s="232"/>
      <c r="B136" s="250"/>
      <c r="C136" s="250"/>
      <c r="D136" s="250"/>
      <c r="E136" s="232"/>
      <c r="F136" s="387">
        <f t="shared" ref="F136:F145" ca="1" si="266">IF(G136="jan",F135+1,F135)</f>
        <v>2017</v>
      </c>
      <c r="G136" s="387" t="str">
        <f t="shared" ca="1" si="258"/>
        <v>mars</v>
      </c>
      <c r="H136" s="70"/>
      <c r="I136" s="109">
        <f t="shared" si="259"/>
        <v>0</v>
      </c>
      <c r="J136" s="394"/>
      <c r="L136" s="109">
        <f t="shared" si="260"/>
        <v>0</v>
      </c>
      <c r="M136" s="394"/>
      <c r="O136" s="109">
        <f t="shared" si="261"/>
        <v>0</v>
      </c>
      <c r="P136" s="394"/>
      <c r="R136" s="109">
        <f t="shared" si="262"/>
        <v>0</v>
      </c>
      <c r="S136" s="394"/>
      <c r="U136" s="109">
        <f t="shared" si="263"/>
        <v>0</v>
      </c>
      <c r="V136" s="394"/>
      <c r="X136" s="233"/>
      <c r="Y136" s="252">
        <f t="shared" si="242"/>
        <v>0</v>
      </c>
      <c r="Z136" s="252">
        <f t="shared" si="243"/>
        <v>0</v>
      </c>
      <c r="AA136" s="252">
        <f t="shared" si="244"/>
        <v>0</v>
      </c>
      <c r="AB136" s="252">
        <f t="shared" si="245"/>
        <v>0</v>
      </c>
      <c r="AC136" s="248">
        <f t="shared" si="246"/>
        <v>0</v>
      </c>
      <c r="AD136" s="248">
        <f t="shared" si="247"/>
        <v>0</v>
      </c>
      <c r="AE136" s="248">
        <f t="shared" si="248"/>
        <v>0</v>
      </c>
      <c r="AF136" s="248">
        <f t="shared" si="249"/>
        <v>0</v>
      </c>
      <c r="AG136" s="248">
        <f t="shared" si="250"/>
        <v>0</v>
      </c>
      <c r="AH136" s="248">
        <f t="shared" si="251"/>
        <v>0</v>
      </c>
      <c r="AI136" s="266"/>
      <c r="AJ136" s="247" t="str">
        <f t="shared" ca="1" si="252"/>
        <v>jul</v>
      </c>
      <c r="AK136" s="252">
        <f t="shared" si="253"/>
        <v>0</v>
      </c>
      <c r="AL136" s="252">
        <f t="shared" ref="AL136:AU136" si="267">IF($J$129=AL$127,IF($J$130=AL$128,IF($J$131=AL$129,$I140,0),0),0)+IF($M$129=AL$127,IF($M$130=AL$128,IF($M$131=AL$129,$L140,0),0),0)+IF($P$129=AL$127,IF($P$130=AL$128,IF($P$131=AL$129,$O140,0),0),0)+IF($S$129=AL$127,IF($S$130=AL$128,IF($S$131=AL$129,$R140,0),0),0)+IF($V$129=AL$127,IF($V$130=AL$128,IF($V$131=AL$129,$U140,0),0),0)</f>
        <v>0</v>
      </c>
      <c r="AM136" s="252">
        <f t="shared" si="267"/>
        <v>0</v>
      </c>
      <c r="AN136" s="252">
        <f t="shared" si="267"/>
        <v>0</v>
      </c>
      <c r="AO136" s="252">
        <f t="shared" si="267"/>
        <v>0</v>
      </c>
      <c r="AP136" s="252">
        <f t="shared" si="267"/>
        <v>0</v>
      </c>
      <c r="AQ136" s="252">
        <f t="shared" si="267"/>
        <v>0</v>
      </c>
      <c r="AR136" s="252">
        <f t="shared" si="267"/>
        <v>0</v>
      </c>
      <c r="AS136" s="252">
        <f t="shared" si="267"/>
        <v>0</v>
      </c>
      <c r="AT136" s="252">
        <f t="shared" si="267"/>
        <v>0</v>
      </c>
      <c r="AU136" s="252">
        <f t="shared" si="267"/>
        <v>0</v>
      </c>
      <c r="AV136" s="265"/>
      <c r="AW136" s="265"/>
      <c r="AX136" s="265"/>
      <c r="AY136" s="234"/>
      <c r="AZ136" s="234"/>
      <c r="BA136" s="234"/>
      <c r="BB136" s="234"/>
      <c r="BC136" s="234"/>
      <c r="BD136" s="234"/>
      <c r="BE136" s="234"/>
      <c r="BF136" s="234"/>
      <c r="BG136" s="234"/>
      <c r="BH136" s="234"/>
      <c r="BI136" s="234"/>
      <c r="BJ136" s="234"/>
      <c r="BK136" s="234"/>
      <c r="BL136" s="234"/>
      <c r="BM136" s="234"/>
      <c r="BN136" s="234"/>
      <c r="BO136" s="234"/>
      <c r="BP136" s="234"/>
      <c r="BQ136" s="234"/>
      <c r="BR136" s="234"/>
      <c r="BS136" s="234"/>
      <c r="BT136" s="67"/>
      <c r="BU136" s="67"/>
      <c r="BV136" s="67"/>
      <c r="BW136" s="67"/>
      <c r="BX136" s="67"/>
      <c r="BY136" s="67"/>
      <c r="BZ136" s="234"/>
      <c r="CA136" s="234"/>
      <c r="CB136" s="234"/>
      <c r="CC136" s="234"/>
      <c r="CD136" s="234"/>
      <c r="CE136" s="234"/>
      <c r="CF136" s="234"/>
      <c r="CG136" s="234"/>
      <c r="CH136" s="234"/>
      <c r="CI136" s="234"/>
      <c r="CJ136" s="234"/>
      <c r="CK136" s="234"/>
      <c r="CL136" s="234"/>
      <c r="CM136" s="234"/>
      <c r="CN136" s="234"/>
      <c r="CO136" s="234"/>
      <c r="CP136" s="234"/>
      <c r="CQ136" s="234"/>
      <c r="CR136" s="234"/>
      <c r="CS136" s="234"/>
      <c r="CT136" s="234"/>
      <c r="CU136" s="234"/>
      <c r="CV136" s="234"/>
      <c r="CW136" s="234"/>
      <c r="CX136" s="234"/>
      <c r="CY136" s="31"/>
      <c r="CZ136" s="234"/>
      <c r="DA136" s="234"/>
      <c r="DB136" s="234"/>
      <c r="DC136" s="234"/>
      <c r="DD136" s="234"/>
      <c r="DE136" s="234"/>
      <c r="DF136" s="234"/>
      <c r="DG136" s="234"/>
      <c r="DH136" s="234"/>
      <c r="DI136" s="234"/>
      <c r="DJ136" s="234"/>
      <c r="DK136" s="234"/>
      <c r="DL136" s="234"/>
      <c r="DM136" s="234"/>
      <c r="DN136" s="234"/>
      <c r="DO136" s="234"/>
      <c r="DP136" s="234"/>
      <c r="DQ136" s="234"/>
      <c r="DR136" s="234"/>
      <c r="DS136" s="234"/>
      <c r="DT136" s="234"/>
    </row>
    <row r="137" spans="1:124" s="231" customFormat="1" ht="16.5" customHeight="1" x14ac:dyDescent="0.25">
      <c r="A137" s="232"/>
      <c r="B137" s="250"/>
      <c r="C137" s="250"/>
      <c r="D137" s="250"/>
      <c r="E137" s="232"/>
      <c r="F137" s="387">
        <f t="shared" ca="1" si="266"/>
        <v>2017</v>
      </c>
      <c r="G137" s="387" t="str">
        <f t="shared" ca="1" si="258"/>
        <v>apr</v>
      </c>
      <c r="H137" s="70"/>
      <c r="I137" s="109">
        <f t="shared" si="259"/>
        <v>0</v>
      </c>
      <c r="J137" s="394"/>
      <c r="L137" s="109">
        <f t="shared" si="260"/>
        <v>0</v>
      </c>
      <c r="M137" s="394"/>
      <c r="O137" s="109">
        <f t="shared" si="261"/>
        <v>0</v>
      </c>
      <c r="P137" s="394"/>
      <c r="R137" s="109">
        <f t="shared" si="262"/>
        <v>0</v>
      </c>
      <c r="S137" s="394"/>
      <c r="U137" s="109">
        <f t="shared" si="263"/>
        <v>0</v>
      </c>
      <c r="V137" s="394"/>
      <c r="X137" s="233"/>
      <c r="Y137" s="252">
        <f t="shared" si="242"/>
        <v>0</v>
      </c>
      <c r="Z137" s="252">
        <f t="shared" si="243"/>
        <v>0</v>
      </c>
      <c r="AA137" s="252">
        <f t="shared" si="244"/>
        <v>0</v>
      </c>
      <c r="AB137" s="252">
        <f t="shared" si="245"/>
        <v>0</v>
      </c>
      <c r="AC137" s="248">
        <f t="shared" si="246"/>
        <v>0</v>
      </c>
      <c r="AD137" s="248">
        <f t="shared" si="247"/>
        <v>0</v>
      </c>
      <c r="AE137" s="248">
        <f t="shared" si="248"/>
        <v>0</v>
      </c>
      <c r="AF137" s="248">
        <f t="shared" si="249"/>
        <v>0</v>
      </c>
      <c r="AG137" s="248">
        <f t="shared" si="250"/>
        <v>0</v>
      </c>
      <c r="AH137" s="248">
        <f t="shared" si="251"/>
        <v>0</v>
      </c>
      <c r="AI137" s="266"/>
      <c r="AJ137" s="247" t="str">
        <f t="shared" ca="1" si="252"/>
        <v>aug</v>
      </c>
      <c r="AK137" s="252">
        <f t="shared" si="253"/>
        <v>0</v>
      </c>
      <c r="AL137" s="252">
        <f t="shared" ref="AL137:AU137" si="268">IF($J$129=AL$127,IF($J$130=AL$128,IF($J$131=AL$129,$I141,0),0),0)+IF($M$129=AL$127,IF($M$130=AL$128,IF($M$131=AL$129,$L141,0),0),0)+IF($P$129=AL$127,IF($P$130=AL$128,IF($P$131=AL$129,$O141,0),0),0)+IF($S$129=AL$127,IF($S$130=AL$128,IF($S$131=AL$129,$R141,0),0),0)+IF($V$129=AL$127,IF($V$130=AL$128,IF($V$131=AL$129,$U141,0),0),0)</f>
        <v>0</v>
      </c>
      <c r="AM137" s="252">
        <f t="shared" si="268"/>
        <v>0</v>
      </c>
      <c r="AN137" s="252">
        <f t="shared" si="268"/>
        <v>0</v>
      </c>
      <c r="AO137" s="252">
        <f t="shared" si="268"/>
        <v>0</v>
      </c>
      <c r="AP137" s="252">
        <f t="shared" si="268"/>
        <v>0</v>
      </c>
      <c r="AQ137" s="252">
        <f t="shared" si="268"/>
        <v>0</v>
      </c>
      <c r="AR137" s="252">
        <f t="shared" si="268"/>
        <v>0</v>
      </c>
      <c r="AS137" s="252">
        <f t="shared" si="268"/>
        <v>0</v>
      </c>
      <c r="AT137" s="252">
        <f t="shared" si="268"/>
        <v>0</v>
      </c>
      <c r="AU137" s="252">
        <f t="shared" si="268"/>
        <v>0</v>
      </c>
      <c r="AV137" s="265"/>
      <c r="AW137" s="265"/>
      <c r="AX137" s="265"/>
      <c r="AY137" s="234"/>
      <c r="AZ137" s="234"/>
      <c r="BA137" s="234"/>
      <c r="BB137" s="234"/>
      <c r="BC137" s="234"/>
      <c r="BD137" s="234"/>
      <c r="BE137" s="234"/>
      <c r="BF137" s="234"/>
      <c r="BG137" s="234"/>
      <c r="BH137" s="234"/>
      <c r="BI137" s="234"/>
      <c r="BJ137" s="234"/>
      <c r="BK137" s="234"/>
      <c r="BL137" s="234"/>
      <c r="BM137" s="234"/>
      <c r="BN137" s="234"/>
      <c r="BO137" s="234"/>
      <c r="BP137" s="234"/>
      <c r="BQ137" s="234"/>
      <c r="BR137" s="234"/>
      <c r="BS137" s="234"/>
      <c r="BT137" s="67"/>
      <c r="BU137" s="67"/>
      <c r="BV137" s="67"/>
      <c r="BW137" s="67"/>
      <c r="BX137" s="67"/>
      <c r="BY137" s="67"/>
      <c r="BZ137" s="234"/>
      <c r="CA137" s="234"/>
      <c r="CB137" s="234"/>
      <c r="CC137" s="234"/>
      <c r="CD137" s="234"/>
      <c r="CE137" s="234"/>
      <c r="CF137" s="234"/>
      <c r="CG137" s="234"/>
      <c r="CH137" s="234"/>
      <c r="CI137" s="234"/>
      <c r="CJ137" s="234"/>
      <c r="CK137" s="234"/>
      <c r="CL137" s="234"/>
      <c r="CM137" s="234"/>
      <c r="CN137" s="234"/>
      <c r="CO137" s="234"/>
      <c r="CP137" s="234"/>
      <c r="CQ137" s="234"/>
      <c r="CR137" s="234"/>
      <c r="CS137" s="234"/>
      <c r="CT137" s="234"/>
      <c r="CU137" s="234"/>
      <c r="CV137" s="234"/>
      <c r="CW137" s="234"/>
      <c r="CX137" s="234"/>
      <c r="CY137" s="31"/>
      <c r="CZ137" s="234"/>
      <c r="DA137" s="234"/>
      <c r="DB137" s="234"/>
      <c r="DC137" s="234"/>
      <c r="DD137" s="234"/>
      <c r="DE137" s="234"/>
      <c r="DF137" s="234"/>
      <c r="DG137" s="234"/>
      <c r="DH137" s="234"/>
      <c r="DI137" s="234"/>
      <c r="DJ137" s="234"/>
      <c r="DK137" s="234"/>
      <c r="DL137" s="234"/>
      <c r="DM137" s="234"/>
      <c r="DN137" s="234"/>
      <c r="DO137" s="234"/>
      <c r="DP137" s="234"/>
      <c r="DQ137" s="234"/>
      <c r="DR137" s="234"/>
      <c r="DS137" s="234"/>
      <c r="DT137" s="234"/>
    </row>
    <row r="138" spans="1:124" s="231" customFormat="1" ht="16.5" customHeight="1" x14ac:dyDescent="0.25">
      <c r="A138" s="232"/>
      <c r="B138" s="250"/>
      <c r="C138" s="250"/>
      <c r="D138" s="250"/>
      <c r="E138" s="232"/>
      <c r="F138" s="387">
        <f t="shared" ca="1" si="266"/>
        <v>2017</v>
      </c>
      <c r="G138" s="387" t="str">
        <f t="shared" ca="1" si="258"/>
        <v>maj</v>
      </c>
      <c r="H138" s="70"/>
      <c r="I138" s="109">
        <f t="shared" si="259"/>
        <v>0</v>
      </c>
      <c r="J138" s="394"/>
      <c r="L138" s="109">
        <f t="shared" si="260"/>
        <v>0</v>
      </c>
      <c r="M138" s="394"/>
      <c r="O138" s="109">
        <f t="shared" si="261"/>
        <v>0</v>
      </c>
      <c r="P138" s="394"/>
      <c r="R138" s="109">
        <f t="shared" si="262"/>
        <v>0</v>
      </c>
      <c r="S138" s="394"/>
      <c r="U138" s="109">
        <f t="shared" si="263"/>
        <v>0</v>
      </c>
      <c r="V138" s="394"/>
      <c r="X138" s="233"/>
      <c r="Y138" s="252">
        <f t="shared" si="242"/>
        <v>0</v>
      </c>
      <c r="Z138" s="252">
        <f t="shared" si="243"/>
        <v>0</v>
      </c>
      <c r="AA138" s="252">
        <f t="shared" si="244"/>
        <v>0</v>
      </c>
      <c r="AB138" s="252">
        <f t="shared" si="245"/>
        <v>0</v>
      </c>
      <c r="AC138" s="248">
        <f t="shared" si="246"/>
        <v>0</v>
      </c>
      <c r="AD138" s="248">
        <f t="shared" si="247"/>
        <v>0</v>
      </c>
      <c r="AE138" s="248">
        <f t="shared" si="248"/>
        <v>0</v>
      </c>
      <c r="AF138" s="248">
        <f t="shared" si="249"/>
        <v>0</v>
      </c>
      <c r="AG138" s="248">
        <f t="shared" si="250"/>
        <v>0</v>
      </c>
      <c r="AH138" s="248">
        <f t="shared" si="251"/>
        <v>0</v>
      </c>
      <c r="AI138" s="266"/>
      <c r="AJ138" s="247" t="str">
        <f t="shared" ca="1" si="252"/>
        <v>sept</v>
      </c>
      <c r="AK138" s="252">
        <f t="shared" si="253"/>
        <v>0</v>
      </c>
      <c r="AL138" s="252">
        <f t="shared" ref="AL138:AU138" si="269">IF($J$129=AL$127,IF($J$130=AL$128,IF($J$131=AL$129,$I142,0),0),0)+IF($M$129=AL$127,IF($M$130=AL$128,IF($M$131=AL$129,$L142,0),0),0)+IF($P$129=AL$127,IF($P$130=AL$128,IF($P$131=AL$129,$O142,0),0),0)+IF($S$129=AL$127,IF($S$130=AL$128,IF($S$131=AL$129,$R142,0),0),0)+IF($V$129=AL$127,IF($V$130=AL$128,IF($V$131=AL$129,$U142,0),0),0)</f>
        <v>0</v>
      </c>
      <c r="AM138" s="252">
        <f t="shared" si="269"/>
        <v>0</v>
      </c>
      <c r="AN138" s="252">
        <f t="shared" si="269"/>
        <v>0</v>
      </c>
      <c r="AO138" s="252">
        <f t="shared" si="269"/>
        <v>0</v>
      </c>
      <c r="AP138" s="252">
        <f t="shared" si="269"/>
        <v>0</v>
      </c>
      <c r="AQ138" s="252">
        <f t="shared" si="269"/>
        <v>0</v>
      </c>
      <c r="AR138" s="252">
        <f t="shared" si="269"/>
        <v>0</v>
      </c>
      <c r="AS138" s="252">
        <f t="shared" si="269"/>
        <v>0</v>
      </c>
      <c r="AT138" s="252">
        <f t="shared" si="269"/>
        <v>0</v>
      </c>
      <c r="AU138" s="252">
        <f t="shared" si="269"/>
        <v>0</v>
      </c>
      <c r="AV138" s="265"/>
      <c r="AW138" s="265"/>
      <c r="AX138" s="265"/>
      <c r="AY138" s="234"/>
      <c r="AZ138" s="234"/>
      <c r="BA138" s="234"/>
      <c r="BB138" s="234"/>
      <c r="BC138" s="234"/>
      <c r="BD138" s="234"/>
      <c r="BE138" s="234"/>
      <c r="BF138" s="234"/>
      <c r="BG138" s="234"/>
      <c r="BH138" s="234"/>
      <c r="BI138" s="234"/>
      <c r="BJ138" s="234"/>
      <c r="BK138" s="234"/>
      <c r="BL138" s="234"/>
      <c r="BM138" s="234"/>
      <c r="BN138" s="234"/>
      <c r="BO138" s="234"/>
      <c r="BP138" s="234"/>
      <c r="BQ138" s="234"/>
      <c r="BR138" s="234"/>
      <c r="BS138" s="234"/>
      <c r="BT138" s="67"/>
      <c r="BU138" s="67"/>
      <c r="BV138" s="67"/>
      <c r="BW138" s="67"/>
      <c r="BX138" s="67"/>
      <c r="BY138" s="67"/>
      <c r="BZ138" s="234"/>
      <c r="CA138" s="234"/>
      <c r="CB138" s="234"/>
      <c r="CC138" s="234"/>
      <c r="CD138" s="234"/>
      <c r="CE138" s="234"/>
      <c r="CF138" s="234"/>
      <c r="CG138" s="234"/>
      <c r="CH138" s="234"/>
      <c r="CI138" s="234"/>
      <c r="CJ138" s="234"/>
      <c r="CK138" s="234"/>
      <c r="CL138" s="234"/>
      <c r="CM138" s="234"/>
      <c r="CN138" s="234"/>
      <c r="CO138" s="234"/>
      <c r="CP138" s="234"/>
      <c r="CQ138" s="234"/>
      <c r="CR138" s="234"/>
      <c r="CS138" s="234"/>
      <c r="CT138" s="234"/>
      <c r="CU138" s="234"/>
      <c r="CV138" s="234"/>
      <c r="CW138" s="234"/>
      <c r="CX138" s="234"/>
      <c r="CY138" s="31"/>
      <c r="CZ138" s="234"/>
      <c r="DA138" s="234"/>
      <c r="DB138" s="234"/>
      <c r="DC138" s="234"/>
      <c r="DD138" s="234"/>
      <c r="DE138" s="234"/>
      <c r="DF138" s="234"/>
      <c r="DG138" s="234"/>
      <c r="DH138" s="234"/>
      <c r="DI138" s="234"/>
      <c r="DJ138" s="234"/>
      <c r="DK138" s="234"/>
      <c r="DL138" s="234"/>
      <c r="DM138" s="234"/>
      <c r="DN138" s="234"/>
      <c r="DO138" s="234"/>
      <c r="DP138" s="234"/>
      <c r="DQ138" s="234"/>
      <c r="DR138" s="234"/>
      <c r="DS138" s="234"/>
      <c r="DT138" s="234"/>
    </row>
    <row r="139" spans="1:124" s="231" customFormat="1" ht="16.5" customHeight="1" x14ac:dyDescent="0.25">
      <c r="A139" s="232"/>
      <c r="B139" s="250"/>
      <c r="C139" s="250"/>
      <c r="D139" s="250"/>
      <c r="E139" s="232"/>
      <c r="F139" s="387">
        <f t="shared" ca="1" si="266"/>
        <v>2017</v>
      </c>
      <c r="G139" s="387" t="str">
        <f t="shared" ca="1" si="258"/>
        <v xml:space="preserve">jun </v>
      </c>
      <c r="H139" s="70"/>
      <c r="I139" s="109">
        <f t="shared" si="259"/>
        <v>0</v>
      </c>
      <c r="J139" s="394"/>
      <c r="L139" s="109">
        <f t="shared" si="260"/>
        <v>0</v>
      </c>
      <c r="M139" s="394"/>
      <c r="O139" s="109">
        <f t="shared" si="261"/>
        <v>0</v>
      </c>
      <c r="P139" s="394"/>
      <c r="R139" s="109">
        <f t="shared" si="262"/>
        <v>0</v>
      </c>
      <c r="S139" s="394"/>
      <c r="U139" s="109">
        <f t="shared" si="263"/>
        <v>0</v>
      </c>
      <c r="V139" s="394"/>
      <c r="X139" s="233"/>
      <c r="Y139" s="252">
        <f t="shared" si="242"/>
        <v>0</v>
      </c>
      <c r="Z139" s="252">
        <f t="shared" si="243"/>
        <v>0</v>
      </c>
      <c r="AA139" s="252">
        <f t="shared" si="244"/>
        <v>0</v>
      </c>
      <c r="AB139" s="252">
        <f t="shared" si="245"/>
        <v>0</v>
      </c>
      <c r="AC139" s="248">
        <f t="shared" si="246"/>
        <v>0</v>
      </c>
      <c r="AD139" s="248">
        <f t="shared" si="247"/>
        <v>0</v>
      </c>
      <c r="AE139" s="248">
        <f t="shared" si="248"/>
        <v>0</v>
      </c>
      <c r="AF139" s="248">
        <f t="shared" si="249"/>
        <v>0</v>
      </c>
      <c r="AG139" s="248">
        <f t="shared" si="250"/>
        <v>0</v>
      </c>
      <c r="AH139" s="248">
        <f t="shared" si="251"/>
        <v>0</v>
      </c>
      <c r="AI139" s="266"/>
      <c r="AJ139" s="247" t="str">
        <f t="shared" ca="1" si="252"/>
        <v>okt</v>
      </c>
      <c r="AK139" s="252">
        <f t="shared" si="253"/>
        <v>0</v>
      </c>
      <c r="AL139" s="252">
        <f t="shared" ref="AL139:AU139" si="270">IF($J$129=AL$127,IF($J$130=AL$128,IF($J$131=AL$129,$I143,0),0),0)+IF($M$129=AL$127,IF($M$130=AL$128,IF($M$131=AL$129,$L143,0),0),0)+IF($P$129=AL$127,IF($P$130=AL$128,IF($P$131=AL$129,$O143,0),0),0)+IF($S$129=AL$127,IF($S$130=AL$128,IF($S$131=AL$129,$R143,0),0),0)+IF($V$129=AL$127,IF($V$130=AL$128,IF($V$131=AL$129,$U143,0),0),0)</f>
        <v>0</v>
      </c>
      <c r="AM139" s="252">
        <f t="shared" si="270"/>
        <v>0</v>
      </c>
      <c r="AN139" s="252">
        <f t="shared" si="270"/>
        <v>0</v>
      </c>
      <c r="AO139" s="252">
        <f t="shared" si="270"/>
        <v>0</v>
      </c>
      <c r="AP139" s="252">
        <f t="shared" si="270"/>
        <v>0</v>
      </c>
      <c r="AQ139" s="252">
        <f t="shared" si="270"/>
        <v>0</v>
      </c>
      <c r="AR139" s="252">
        <f t="shared" si="270"/>
        <v>0</v>
      </c>
      <c r="AS139" s="252">
        <f t="shared" si="270"/>
        <v>0</v>
      </c>
      <c r="AT139" s="252">
        <f t="shared" si="270"/>
        <v>0</v>
      </c>
      <c r="AU139" s="252">
        <f t="shared" si="270"/>
        <v>0</v>
      </c>
      <c r="AV139" s="265"/>
      <c r="AW139" s="265"/>
      <c r="AX139" s="265"/>
      <c r="AY139" s="234"/>
      <c r="AZ139" s="234"/>
      <c r="BA139" s="234"/>
      <c r="BB139" s="234"/>
      <c r="BC139" s="234"/>
      <c r="BD139" s="234"/>
      <c r="BE139" s="234"/>
      <c r="BF139" s="234"/>
      <c r="BG139" s="234"/>
      <c r="BH139" s="234"/>
      <c r="BI139" s="234"/>
      <c r="BJ139" s="234"/>
      <c r="BK139" s="234"/>
      <c r="BL139" s="234"/>
      <c r="BM139" s="234"/>
      <c r="BN139" s="234"/>
      <c r="BO139" s="234"/>
      <c r="BP139" s="234"/>
      <c r="BQ139" s="234"/>
      <c r="BR139" s="234"/>
      <c r="BS139" s="234"/>
      <c r="BT139" s="67"/>
      <c r="BU139" s="67"/>
      <c r="BV139" s="67"/>
      <c r="BW139" s="67"/>
      <c r="BX139" s="67"/>
      <c r="BY139" s="67"/>
      <c r="BZ139" s="234"/>
      <c r="CA139" s="234"/>
      <c r="CB139" s="234"/>
      <c r="CC139" s="234"/>
      <c r="CD139" s="234"/>
      <c r="CE139" s="234"/>
      <c r="CF139" s="234"/>
      <c r="CG139" s="234"/>
      <c r="CH139" s="234"/>
      <c r="CI139" s="234"/>
      <c r="CJ139" s="234"/>
      <c r="CK139" s="234"/>
      <c r="CL139" s="234"/>
      <c r="CM139" s="234"/>
      <c r="CN139" s="234"/>
      <c r="CO139" s="234"/>
      <c r="CP139" s="234"/>
      <c r="CQ139" s="234"/>
      <c r="CR139" s="234"/>
      <c r="CS139" s="234"/>
      <c r="CT139" s="234"/>
      <c r="CU139" s="234"/>
      <c r="CV139" s="234"/>
      <c r="CW139" s="234"/>
      <c r="CX139" s="234"/>
      <c r="CY139" s="31"/>
      <c r="CZ139" s="234"/>
      <c r="DA139" s="234"/>
      <c r="DB139" s="234"/>
      <c r="DC139" s="234"/>
      <c r="DD139" s="234"/>
      <c r="DE139" s="234"/>
      <c r="DF139" s="234"/>
      <c r="DG139" s="234"/>
      <c r="DH139" s="234"/>
      <c r="DI139" s="234"/>
      <c r="DJ139" s="234"/>
      <c r="DK139" s="234"/>
      <c r="DL139" s="234"/>
      <c r="DM139" s="234"/>
      <c r="DN139" s="234"/>
      <c r="DO139" s="234"/>
      <c r="DP139" s="234"/>
      <c r="DQ139" s="234"/>
      <c r="DR139" s="234"/>
      <c r="DS139" s="234"/>
      <c r="DT139" s="234"/>
    </row>
    <row r="140" spans="1:124" s="231" customFormat="1" ht="16.5" customHeight="1" x14ac:dyDescent="0.25">
      <c r="A140" s="232"/>
      <c r="B140" s="250"/>
      <c r="C140" s="250"/>
      <c r="D140" s="250"/>
      <c r="E140" s="232"/>
      <c r="F140" s="387">
        <f t="shared" ca="1" si="266"/>
        <v>2017</v>
      </c>
      <c r="G140" s="387" t="str">
        <f t="shared" ca="1" si="258"/>
        <v>jul</v>
      </c>
      <c r="H140" s="70"/>
      <c r="I140" s="109">
        <f t="shared" si="259"/>
        <v>0</v>
      </c>
      <c r="J140" s="394"/>
      <c r="L140" s="109">
        <f t="shared" si="260"/>
        <v>0</v>
      </c>
      <c r="M140" s="394"/>
      <c r="O140" s="109">
        <f t="shared" si="261"/>
        <v>0</v>
      </c>
      <c r="P140" s="394"/>
      <c r="R140" s="109">
        <f t="shared" si="262"/>
        <v>0</v>
      </c>
      <c r="S140" s="394"/>
      <c r="U140" s="109">
        <f t="shared" si="263"/>
        <v>0</v>
      </c>
      <c r="V140" s="394"/>
      <c r="X140" s="233"/>
      <c r="Y140" s="252">
        <f t="shared" si="242"/>
        <v>0</v>
      </c>
      <c r="Z140" s="252">
        <f t="shared" si="243"/>
        <v>0</v>
      </c>
      <c r="AA140" s="252">
        <f t="shared" si="244"/>
        <v>0</v>
      </c>
      <c r="AB140" s="252">
        <f t="shared" si="245"/>
        <v>0</v>
      </c>
      <c r="AC140" s="248">
        <f t="shared" si="246"/>
        <v>0</v>
      </c>
      <c r="AD140" s="248">
        <f t="shared" si="247"/>
        <v>0</v>
      </c>
      <c r="AE140" s="248">
        <f t="shared" si="248"/>
        <v>0</v>
      </c>
      <c r="AF140" s="248">
        <f t="shared" si="249"/>
        <v>0</v>
      </c>
      <c r="AG140" s="248">
        <f t="shared" si="250"/>
        <v>0</v>
      </c>
      <c r="AH140" s="248">
        <f t="shared" si="251"/>
        <v>0</v>
      </c>
      <c r="AI140" s="266"/>
      <c r="AJ140" s="247" t="str">
        <f t="shared" ca="1" si="252"/>
        <v>nov</v>
      </c>
      <c r="AK140" s="252">
        <f t="shared" si="253"/>
        <v>0</v>
      </c>
      <c r="AL140" s="252">
        <f t="shared" ref="AL140:AU140" si="271">IF($J$129=AL$127,IF($J$130=AL$128,IF($J$131=AL$129,$I144,0),0),0)+IF($M$129=AL$127,IF($M$130=AL$128,IF($M$131=AL$129,$L144,0),0),0)+IF($P$129=AL$127,IF($P$130=AL$128,IF($P$131=AL$129,$O144,0),0),0)+IF($S$129=AL$127,IF($S$130=AL$128,IF($S$131=AL$129,$R144,0),0),0)+IF($V$129=AL$127,IF($V$130=AL$128,IF($V$131=AL$129,$U144,0),0),0)</f>
        <v>0</v>
      </c>
      <c r="AM140" s="252">
        <f t="shared" si="271"/>
        <v>0</v>
      </c>
      <c r="AN140" s="252">
        <f t="shared" si="271"/>
        <v>0</v>
      </c>
      <c r="AO140" s="252">
        <f t="shared" si="271"/>
        <v>0</v>
      </c>
      <c r="AP140" s="252">
        <f t="shared" si="271"/>
        <v>0</v>
      </c>
      <c r="AQ140" s="252">
        <f t="shared" si="271"/>
        <v>0</v>
      </c>
      <c r="AR140" s="252">
        <f t="shared" si="271"/>
        <v>0</v>
      </c>
      <c r="AS140" s="252">
        <f t="shared" si="271"/>
        <v>0</v>
      </c>
      <c r="AT140" s="252">
        <f t="shared" si="271"/>
        <v>0</v>
      </c>
      <c r="AU140" s="252">
        <f t="shared" si="271"/>
        <v>0</v>
      </c>
      <c r="AV140" s="265"/>
      <c r="AW140" s="265"/>
      <c r="AX140" s="265"/>
      <c r="AY140" s="234"/>
      <c r="AZ140" s="234"/>
      <c r="BA140" s="234"/>
      <c r="BB140" s="234"/>
      <c r="BC140" s="234"/>
      <c r="BD140" s="234"/>
      <c r="BE140" s="234"/>
      <c r="BF140" s="234"/>
      <c r="BG140" s="234"/>
      <c r="BH140" s="234"/>
      <c r="BI140" s="234"/>
      <c r="BJ140" s="234"/>
      <c r="BK140" s="234"/>
      <c r="BL140" s="234"/>
      <c r="BM140" s="234"/>
      <c r="BN140" s="234"/>
      <c r="BO140" s="234"/>
      <c r="BP140" s="234"/>
      <c r="BQ140" s="234"/>
      <c r="BR140" s="234"/>
      <c r="BS140" s="234"/>
      <c r="BT140" s="67"/>
      <c r="BU140" s="67"/>
      <c r="BV140" s="67"/>
      <c r="BW140" s="67"/>
      <c r="BX140" s="67"/>
      <c r="BY140" s="67"/>
      <c r="BZ140" s="234"/>
      <c r="CA140" s="234"/>
      <c r="CB140" s="234"/>
      <c r="CC140" s="234"/>
      <c r="CD140" s="234"/>
      <c r="CE140" s="234"/>
      <c r="CF140" s="234"/>
      <c r="CG140" s="234"/>
      <c r="CH140" s="234"/>
      <c r="CI140" s="234"/>
      <c r="CJ140" s="234"/>
      <c r="CK140" s="234"/>
      <c r="CL140" s="234"/>
      <c r="CM140" s="234"/>
      <c r="CN140" s="234"/>
      <c r="CO140" s="234"/>
      <c r="CP140" s="234"/>
      <c r="CQ140" s="234"/>
      <c r="CR140" s="234"/>
      <c r="CS140" s="234"/>
      <c r="CT140" s="234"/>
      <c r="CU140" s="234"/>
      <c r="CV140" s="234"/>
      <c r="CW140" s="234"/>
      <c r="CX140" s="234"/>
      <c r="CY140" s="31"/>
      <c r="CZ140" s="234"/>
      <c r="DA140" s="234"/>
      <c r="DB140" s="234"/>
      <c r="DC140" s="234"/>
      <c r="DD140" s="234"/>
      <c r="DE140" s="234"/>
      <c r="DF140" s="234"/>
      <c r="DG140" s="234"/>
      <c r="DH140" s="234"/>
      <c r="DI140" s="234"/>
      <c r="DJ140" s="234"/>
      <c r="DK140" s="234"/>
      <c r="DL140" s="234"/>
      <c r="DM140" s="234"/>
      <c r="DN140" s="234"/>
      <c r="DO140" s="234"/>
      <c r="DP140" s="234"/>
      <c r="DQ140" s="234"/>
      <c r="DR140" s="234"/>
      <c r="DS140" s="234"/>
      <c r="DT140" s="234"/>
    </row>
    <row r="141" spans="1:124" s="231" customFormat="1" ht="16.5" customHeight="1" thickBot="1" x14ac:dyDescent="0.3">
      <c r="A141" s="232"/>
      <c r="B141" s="250"/>
      <c r="C141" s="250"/>
      <c r="D141" s="250"/>
      <c r="E141" s="232"/>
      <c r="F141" s="387">
        <f t="shared" ca="1" si="266"/>
        <v>2017</v>
      </c>
      <c r="G141" s="387" t="str">
        <f t="shared" ca="1" si="258"/>
        <v>aug</v>
      </c>
      <c r="H141" s="70"/>
      <c r="I141" s="109">
        <f t="shared" si="259"/>
        <v>0</v>
      </c>
      <c r="J141" s="394"/>
      <c r="L141" s="109">
        <f t="shared" si="260"/>
        <v>0</v>
      </c>
      <c r="M141" s="394"/>
      <c r="O141" s="109">
        <f t="shared" si="261"/>
        <v>0</v>
      </c>
      <c r="P141" s="394"/>
      <c r="R141" s="109">
        <f t="shared" si="262"/>
        <v>0</v>
      </c>
      <c r="S141" s="394"/>
      <c r="U141" s="109">
        <f t="shared" si="263"/>
        <v>0</v>
      </c>
      <c r="V141" s="394"/>
      <c r="X141" s="233"/>
      <c r="Y141" s="254">
        <f t="shared" si="242"/>
        <v>0</v>
      </c>
      <c r="Z141" s="254">
        <f t="shared" si="243"/>
        <v>0</v>
      </c>
      <c r="AA141" s="254">
        <f t="shared" si="244"/>
        <v>0</v>
      </c>
      <c r="AB141" s="254">
        <f t="shared" si="245"/>
        <v>0</v>
      </c>
      <c r="AC141" s="255">
        <f t="shared" si="246"/>
        <v>0</v>
      </c>
      <c r="AD141" s="255">
        <f t="shared" si="247"/>
        <v>0</v>
      </c>
      <c r="AE141" s="255">
        <f t="shared" si="248"/>
        <v>0</v>
      </c>
      <c r="AF141" s="255">
        <f t="shared" si="249"/>
        <v>0</v>
      </c>
      <c r="AG141" s="255">
        <f t="shared" si="250"/>
        <v>0</v>
      </c>
      <c r="AH141" s="255">
        <f t="shared" si="251"/>
        <v>0</v>
      </c>
      <c r="AI141" s="266"/>
      <c r="AJ141" s="247" t="str">
        <f t="shared" ca="1" si="252"/>
        <v>dec</v>
      </c>
      <c r="AK141" s="252">
        <f t="shared" si="253"/>
        <v>0</v>
      </c>
      <c r="AL141" s="252">
        <f t="shared" ref="AL141:AU141" si="272">IF($J$129=AL$127,IF($J$130=AL$128,IF($J$131=AL$129,$I145,0),0),0)+IF($M$129=AL$127,IF($M$130=AL$128,IF($M$131=AL$129,$L145,0),0),0)+IF($P$129=AL$127,IF($P$130=AL$128,IF($P$131=AL$129,$O145,0),0),0)+IF($S$129=AL$127,IF($S$130=AL$128,IF($S$131=AL$129,$R145,0),0),0)+IF($V$129=AL$127,IF($V$130=AL$128,IF($V$131=AL$129,$U145,0),0),0)</f>
        <v>0</v>
      </c>
      <c r="AM141" s="252">
        <f t="shared" si="272"/>
        <v>0</v>
      </c>
      <c r="AN141" s="252">
        <f t="shared" si="272"/>
        <v>0</v>
      </c>
      <c r="AO141" s="252">
        <f t="shared" si="272"/>
        <v>0</v>
      </c>
      <c r="AP141" s="252">
        <f t="shared" si="272"/>
        <v>0</v>
      </c>
      <c r="AQ141" s="252">
        <f t="shared" si="272"/>
        <v>0</v>
      </c>
      <c r="AR141" s="252">
        <f t="shared" si="272"/>
        <v>0</v>
      </c>
      <c r="AS141" s="252">
        <f t="shared" si="272"/>
        <v>0</v>
      </c>
      <c r="AT141" s="252">
        <f t="shared" si="272"/>
        <v>0</v>
      </c>
      <c r="AU141" s="252">
        <f t="shared" si="272"/>
        <v>0</v>
      </c>
      <c r="AV141" s="265"/>
      <c r="AW141" s="265"/>
      <c r="AX141" s="265"/>
      <c r="AY141" s="234"/>
      <c r="AZ141" s="234"/>
      <c r="BA141" s="234"/>
      <c r="BB141" s="234"/>
      <c r="BC141" s="234"/>
      <c r="BD141" s="234"/>
      <c r="BE141" s="234"/>
      <c r="BF141" s="234"/>
      <c r="BG141" s="234"/>
      <c r="BH141" s="234"/>
      <c r="BI141" s="234"/>
      <c r="BJ141" s="234"/>
      <c r="BK141" s="234"/>
      <c r="BL141" s="234"/>
      <c r="BM141" s="234"/>
      <c r="BN141" s="234"/>
      <c r="BO141" s="234"/>
      <c r="BP141" s="234"/>
      <c r="BQ141" s="234"/>
      <c r="BR141" s="234"/>
      <c r="BS141" s="234"/>
      <c r="BT141" s="67"/>
      <c r="BU141" s="67"/>
      <c r="BV141" s="67"/>
      <c r="BW141" s="67"/>
      <c r="BX141" s="67"/>
      <c r="BY141" s="67"/>
      <c r="BZ141" s="234"/>
      <c r="CA141" s="234"/>
      <c r="CB141" s="234"/>
      <c r="CC141" s="234"/>
      <c r="CD141" s="234"/>
      <c r="CE141" s="234"/>
      <c r="CF141" s="234"/>
      <c r="CG141" s="234"/>
      <c r="CH141" s="234"/>
      <c r="CI141" s="234"/>
      <c r="CJ141" s="234"/>
      <c r="CK141" s="234"/>
      <c r="CL141" s="234"/>
      <c r="CM141" s="234"/>
      <c r="CN141" s="234"/>
      <c r="CO141" s="234"/>
      <c r="CP141" s="234"/>
      <c r="CQ141" s="234"/>
      <c r="CR141" s="234"/>
      <c r="CS141" s="234"/>
      <c r="CT141" s="234"/>
      <c r="CU141" s="234"/>
      <c r="CV141" s="234"/>
      <c r="CW141" s="234"/>
      <c r="CX141" s="234"/>
      <c r="CY141" s="31"/>
      <c r="CZ141" s="234"/>
      <c r="DA141" s="234"/>
      <c r="DB141" s="234"/>
      <c r="DC141" s="234"/>
      <c r="DD141" s="234"/>
      <c r="DE141" s="234"/>
      <c r="DF141" s="234"/>
      <c r="DG141" s="234"/>
      <c r="DH141" s="234"/>
      <c r="DI141" s="234"/>
      <c r="DJ141" s="234"/>
      <c r="DK141" s="234"/>
      <c r="DL141" s="234"/>
      <c r="DM141" s="234"/>
      <c r="DN141" s="234"/>
      <c r="DO141" s="234"/>
      <c r="DP141" s="234"/>
      <c r="DQ141" s="234"/>
      <c r="DR141" s="234"/>
      <c r="DS141" s="234"/>
      <c r="DT141" s="234"/>
    </row>
    <row r="142" spans="1:124" s="231" customFormat="1" ht="16.5" customHeight="1" thickTop="1" x14ac:dyDescent="0.25">
      <c r="A142" s="232"/>
      <c r="B142" s="250"/>
      <c r="C142" s="250"/>
      <c r="D142" s="250"/>
      <c r="E142" s="232"/>
      <c r="F142" s="387">
        <f t="shared" ca="1" si="266"/>
        <v>2017</v>
      </c>
      <c r="G142" s="387" t="str">
        <f t="shared" ca="1" si="258"/>
        <v>sept</v>
      </c>
      <c r="H142" s="70"/>
      <c r="I142" s="109">
        <f t="shared" si="259"/>
        <v>0</v>
      </c>
      <c r="J142" s="394"/>
      <c r="L142" s="109">
        <f t="shared" si="260"/>
        <v>0</v>
      </c>
      <c r="M142" s="394"/>
      <c r="O142" s="109">
        <f t="shared" si="261"/>
        <v>0</v>
      </c>
      <c r="P142" s="394"/>
      <c r="R142" s="109">
        <f t="shared" si="262"/>
        <v>0</v>
      </c>
      <c r="S142" s="394"/>
      <c r="U142" s="109">
        <f t="shared" si="263"/>
        <v>0</v>
      </c>
      <c r="V142" s="394"/>
      <c r="X142" s="236" t="s">
        <v>1098</v>
      </c>
      <c r="Y142" s="256">
        <f t="shared" ref="Y142:AD142" si="273">SUM(Y130:Y141)</f>
        <v>0</v>
      </c>
      <c r="Z142" s="256">
        <f t="shared" si="273"/>
        <v>0</v>
      </c>
      <c r="AA142" s="256">
        <f t="shared" si="273"/>
        <v>0</v>
      </c>
      <c r="AB142" s="256">
        <f t="shared" si="273"/>
        <v>0</v>
      </c>
      <c r="AC142" s="256">
        <f t="shared" si="273"/>
        <v>0</v>
      </c>
      <c r="AD142" s="256">
        <f t="shared" si="273"/>
        <v>0</v>
      </c>
      <c r="AE142" s="256">
        <f>SUM(AE130:AE141)</f>
        <v>0</v>
      </c>
      <c r="AF142" s="256">
        <f>SUM(AF130:AF141)</f>
        <v>0</v>
      </c>
      <c r="AG142" s="256">
        <f>SUM(AG130:AG141)</f>
        <v>0</v>
      </c>
      <c r="AH142" s="256">
        <f>SUM(AH130:AH141)</f>
        <v>0</v>
      </c>
      <c r="AI142" s="266"/>
      <c r="AJ142" s="233"/>
      <c r="AK142" s="233"/>
      <c r="AL142" s="233"/>
      <c r="AM142" s="233"/>
      <c r="AN142" s="233"/>
      <c r="AO142" s="233"/>
      <c r="AP142" s="233"/>
      <c r="AQ142" s="233"/>
      <c r="AR142" s="233"/>
      <c r="AS142" s="233"/>
      <c r="AT142" s="233"/>
      <c r="AU142" s="233"/>
      <c r="AV142" s="233"/>
      <c r="AW142" s="233"/>
      <c r="AX142" s="233"/>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67"/>
      <c r="BU142" s="67"/>
      <c r="BV142" s="67"/>
      <c r="BW142" s="67"/>
      <c r="BX142" s="67"/>
      <c r="BY142" s="67"/>
      <c r="BZ142" s="234"/>
      <c r="CA142" s="234"/>
      <c r="CB142" s="234"/>
      <c r="CC142" s="234"/>
      <c r="CD142" s="234"/>
      <c r="CE142" s="234"/>
      <c r="CF142" s="234"/>
      <c r="CG142" s="234"/>
      <c r="CH142" s="234"/>
      <c r="CI142" s="234"/>
      <c r="CJ142" s="234"/>
      <c r="CK142" s="234"/>
      <c r="CL142" s="234"/>
      <c r="CM142" s="234"/>
      <c r="CN142" s="234"/>
      <c r="CO142" s="234"/>
      <c r="CP142" s="234"/>
      <c r="CQ142" s="234"/>
      <c r="CR142" s="234"/>
      <c r="CS142" s="234"/>
      <c r="CT142" s="234"/>
      <c r="CU142" s="234"/>
      <c r="CV142" s="234"/>
      <c r="CW142" s="234"/>
      <c r="CX142" s="234"/>
      <c r="CY142" s="31"/>
      <c r="CZ142" s="234"/>
      <c r="DA142" s="234"/>
      <c r="DB142" s="234"/>
      <c r="DC142" s="234"/>
      <c r="DD142" s="234"/>
      <c r="DE142" s="234"/>
      <c r="DF142" s="234"/>
      <c r="DG142" s="234"/>
      <c r="DH142" s="234"/>
      <c r="DI142" s="234"/>
      <c r="DJ142" s="234"/>
      <c r="DK142" s="234"/>
      <c r="DL142" s="234"/>
      <c r="DM142" s="234"/>
      <c r="DN142" s="234"/>
      <c r="DO142" s="234"/>
      <c r="DP142" s="234"/>
      <c r="DQ142" s="234"/>
      <c r="DR142" s="234"/>
      <c r="DS142" s="234"/>
      <c r="DT142" s="234"/>
    </row>
    <row r="143" spans="1:124" s="231" customFormat="1" ht="16.5" customHeight="1" x14ac:dyDescent="0.25">
      <c r="A143" s="232"/>
      <c r="B143" s="250"/>
      <c r="C143" s="250"/>
      <c r="D143" s="250"/>
      <c r="E143" s="232"/>
      <c r="F143" s="387">
        <f t="shared" ca="1" si="266"/>
        <v>2017</v>
      </c>
      <c r="G143" s="387" t="str">
        <f t="shared" ca="1" si="258"/>
        <v>okt</v>
      </c>
      <c r="H143" s="70"/>
      <c r="I143" s="109">
        <f t="shared" si="259"/>
        <v>0</v>
      </c>
      <c r="J143" s="394"/>
      <c r="L143" s="109">
        <f t="shared" si="260"/>
        <v>0</v>
      </c>
      <c r="M143" s="394"/>
      <c r="O143" s="109">
        <f t="shared" si="261"/>
        <v>0</v>
      </c>
      <c r="P143" s="394"/>
      <c r="R143" s="109">
        <f t="shared" si="262"/>
        <v>0</v>
      </c>
      <c r="S143" s="394"/>
      <c r="U143" s="109">
        <f t="shared" si="263"/>
        <v>0</v>
      </c>
      <c r="V143" s="394"/>
      <c r="X143" s="266"/>
      <c r="Y143" s="266"/>
      <c r="Z143" s="266"/>
      <c r="AA143" s="266"/>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4"/>
      <c r="AZ143" s="234"/>
      <c r="BA143" s="234"/>
      <c r="BB143" s="175"/>
      <c r="BC143" s="234"/>
      <c r="BD143" s="234"/>
      <c r="BE143" s="234"/>
      <c r="BF143" s="234"/>
      <c r="BG143" s="234"/>
      <c r="BH143" s="234"/>
      <c r="BI143" s="234"/>
      <c r="BJ143" s="234"/>
      <c r="BK143" s="234"/>
      <c r="BL143" s="234"/>
      <c r="BM143" s="234"/>
      <c r="BN143" s="234"/>
      <c r="BO143" s="234"/>
      <c r="BP143" s="234"/>
      <c r="BQ143" s="234"/>
      <c r="BR143" s="234"/>
      <c r="BS143" s="234"/>
      <c r="BT143" s="67"/>
      <c r="BU143" s="67"/>
      <c r="BV143" s="67"/>
      <c r="BW143" s="67"/>
      <c r="BX143" s="67"/>
      <c r="BY143" s="67"/>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31"/>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row>
    <row r="144" spans="1:124" s="231" customFormat="1" ht="16.5" customHeight="1" x14ac:dyDescent="0.25">
      <c r="A144" s="232"/>
      <c r="B144" s="250"/>
      <c r="C144" s="250"/>
      <c r="D144" s="250"/>
      <c r="E144" s="232"/>
      <c r="F144" s="387">
        <f t="shared" ca="1" si="266"/>
        <v>2017</v>
      </c>
      <c r="G144" s="387" t="str">
        <f t="shared" ca="1" si="258"/>
        <v>nov</v>
      </c>
      <c r="H144" s="70"/>
      <c r="I144" s="109">
        <f t="shared" si="259"/>
        <v>0</v>
      </c>
      <c r="J144" s="394"/>
      <c r="L144" s="109">
        <f t="shared" si="260"/>
        <v>0</v>
      </c>
      <c r="M144" s="394"/>
      <c r="O144" s="109">
        <f t="shared" si="261"/>
        <v>0</v>
      </c>
      <c r="P144" s="394"/>
      <c r="R144" s="109">
        <f t="shared" si="262"/>
        <v>0</v>
      </c>
      <c r="S144" s="394"/>
      <c r="U144" s="109">
        <f t="shared" si="263"/>
        <v>0</v>
      </c>
      <c r="V144" s="394"/>
      <c r="X144" s="266"/>
      <c r="Y144" s="242"/>
      <c r="Z144" s="233"/>
      <c r="AA144" s="233"/>
      <c r="AB144" s="233"/>
      <c r="AC144" s="233"/>
      <c r="AD144" s="233"/>
      <c r="AE144" s="233"/>
      <c r="AF144" s="233"/>
      <c r="AG144" s="264"/>
      <c r="AH144" s="264"/>
      <c r="AI144" s="264"/>
      <c r="AJ144" s="264"/>
      <c r="AK144" s="264"/>
      <c r="AL144" s="264"/>
      <c r="AM144" s="264"/>
      <c r="AN144" s="264"/>
      <c r="AO144" s="264"/>
      <c r="AP144" s="264"/>
      <c r="AQ144" s="264"/>
      <c r="AR144" s="264"/>
      <c r="AS144" s="264"/>
      <c r="AT144" s="264"/>
      <c r="AU144" s="264"/>
      <c r="AV144" s="264"/>
      <c r="AW144" s="264"/>
      <c r="AX144" s="264"/>
      <c r="AY144" s="234"/>
      <c r="AZ144" s="234"/>
      <c r="BA144" s="234"/>
      <c r="BB144" s="38" t="s">
        <v>1161</v>
      </c>
      <c r="BC144" s="234"/>
      <c r="BD144" s="234"/>
      <c r="BE144" s="234"/>
      <c r="BF144" s="234"/>
      <c r="BG144" s="234"/>
      <c r="BH144" s="234"/>
      <c r="BI144" s="234"/>
      <c r="BJ144" s="234"/>
      <c r="BK144" s="234"/>
      <c r="BL144" s="234"/>
      <c r="BM144" s="234"/>
      <c r="BN144" s="234"/>
      <c r="BO144" s="234"/>
      <c r="BP144" s="234"/>
      <c r="BQ144" s="234"/>
      <c r="BR144" s="234"/>
      <c r="BS144" s="234"/>
      <c r="BT144" s="67"/>
      <c r="BU144" s="67"/>
      <c r="BV144" s="67"/>
      <c r="BW144" s="67"/>
      <c r="BX144" s="67"/>
      <c r="BY144" s="67"/>
      <c r="BZ144" s="234"/>
      <c r="CA144" s="234"/>
      <c r="CB144" s="234"/>
      <c r="CC144" s="234"/>
      <c r="CD144" s="234"/>
      <c r="CE144" s="234"/>
      <c r="CF144" s="234"/>
      <c r="CG144" s="234"/>
      <c r="CH144" s="234"/>
      <c r="CI144" s="234"/>
      <c r="CJ144" s="234"/>
      <c r="CK144" s="234"/>
      <c r="CL144" s="234"/>
      <c r="CM144" s="234"/>
      <c r="CN144" s="234"/>
      <c r="CO144" s="234"/>
      <c r="CP144" s="234"/>
      <c r="CQ144" s="234"/>
      <c r="CR144" s="234"/>
      <c r="CS144" s="234"/>
      <c r="CT144" s="234"/>
      <c r="CU144" s="234"/>
      <c r="CV144" s="234"/>
      <c r="CW144" s="234"/>
      <c r="CX144" s="234"/>
      <c r="CY144" s="31"/>
      <c r="CZ144" s="234"/>
      <c r="DA144" s="234"/>
      <c r="DB144" s="234"/>
      <c r="DC144" s="234"/>
      <c r="DD144" s="234"/>
      <c r="DE144" s="234"/>
      <c r="DF144" s="234"/>
      <c r="DG144" s="234"/>
      <c r="DH144" s="234"/>
      <c r="DI144" s="234"/>
      <c r="DJ144" s="234"/>
      <c r="DK144" s="234"/>
      <c r="DL144" s="234"/>
      <c r="DM144" s="234"/>
      <c r="DN144" s="234"/>
      <c r="DO144" s="234"/>
      <c r="DP144" s="234"/>
      <c r="DQ144" s="234"/>
      <c r="DR144" s="234"/>
      <c r="DS144" s="234"/>
      <c r="DT144" s="234"/>
    </row>
    <row r="145" spans="1:124" s="231" customFormat="1" ht="16.5" customHeight="1" x14ac:dyDescent="0.25">
      <c r="A145" s="232"/>
      <c r="B145" s="250"/>
      <c r="C145" s="250"/>
      <c r="D145" s="250"/>
      <c r="E145" s="232"/>
      <c r="F145" s="387">
        <f t="shared" ca="1" si="266"/>
        <v>2017</v>
      </c>
      <c r="G145" s="387" t="str">
        <f t="shared" ca="1" si="258"/>
        <v>dec</v>
      </c>
      <c r="H145" s="70"/>
      <c r="I145" s="109">
        <f t="shared" si="259"/>
        <v>0</v>
      </c>
      <c r="J145" s="394"/>
      <c r="L145" s="109">
        <f t="shared" si="260"/>
        <v>0</v>
      </c>
      <c r="M145" s="394"/>
      <c r="O145" s="109">
        <f t="shared" si="261"/>
        <v>0</v>
      </c>
      <c r="P145" s="394"/>
      <c r="R145" s="109">
        <f t="shared" si="262"/>
        <v>0</v>
      </c>
      <c r="S145" s="394"/>
      <c r="U145" s="109">
        <f t="shared" si="263"/>
        <v>0</v>
      </c>
      <c r="V145" s="394"/>
      <c r="X145" s="233"/>
      <c r="Y145" s="242" t="s">
        <v>1160</v>
      </c>
      <c r="Z145" s="233"/>
      <c r="AA145" s="233"/>
      <c r="AB145" s="233"/>
      <c r="AC145" s="233"/>
      <c r="AD145" s="242" t="s">
        <v>1161</v>
      </c>
      <c r="AE145" s="233"/>
      <c r="AF145" s="233"/>
      <c r="AG145" s="264"/>
      <c r="AH145" s="264"/>
      <c r="AI145" s="233"/>
      <c r="AJ145" s="242" t="s">
        <v>1303</v>
      </c>
      <c r="AK145" s="233"/>
      <c r="AL145" s="233"/>
      <c r="AM145" s="264"/>
      <c r="AN145" s="264"/>
      <c r="AO145" s="264"/>
      <c r="AP145" s="264"/>
      <c r="AQ145" s="264"/>
      <c r="AR145" s="264"/>
      <c r="AS145" s="264"/>
      <c r="AT145" s="264"/>
      <c r="AU145" s="264"/>
      <c r="AV145" s="264"/>
      <c r="AW145" s="264"/>
      <c r="AX145" s="264"/>
      <c r="AY145" s="31"/>
      <c r="AZ145" s="31"/>
      <c r="BA145" s="234"/>
      <c r="BB145" s="43" t="s">
        <v>1162</v>
      </c>
      <c r="BC145" s="234"/>
      <c r="BD145" s="234"/>
      <c r="BE145" s="234"/>
      <c r="BF145" s="234"/>
      <c r="BG145" s="234"/>
      <c r="BH145" s="234"/>
      <c r="BI145" s="234"/>
      <c r="BJ145" s="234"/>
      <c r="BK145" s="234"/>
      <c r="BL145" s="234"/>
      <c r="BM145" s="234"/>
      <c r="BN145" s="234"/>
      <c r="BO145" s="234"/>
      <c r="BP145" s="234"/>
      <c r="BQ145" s="234"/>
      <c r="BR145" s="234"/>
      <c r="BS145" s="234"/>
      <c r="BT145" s="234"/>
      <c r="BU145" s="234"/>
      <c r="BV145" s="234"/>
      <c r="BW145" s="234"/>
      <c r="BX145" s="234"/>
      <c r="BY145" s="234"/>
      <c r="BZ145" s="234"/>
      <c r="CA145" s="234"/>
      <c r="CB145" s="234"/>
      <c r="CC145" s="234"/>
      <c r="CD145" s="234"/>
      <c r="CE145" s="234"/>
      <c r="CF145" s="234"/>
      <c r="CG145" s="234"/>
      <c r="CH145" s="234"/>
      <c r="CI145" s="234"/>
      <c r="CJ145" s="234"/>
      <c r="CK145" s="234"/>
      <c r="CL145" s="234"/>
      <c r="CM145" s="234"/>
      <c r="CN145" s="234"/>
      <c r="CO145" s="234"/>
      <c r="CP145" s="234"/>
      <c r="CQ145" s="234"/>
      <c r="CR145" s="234"/>
      <c r="CS145" s="31"/>
      <c r="CT145" s="234"/>
      <c r="CU145" s="234"/>
      <c r="CV145" s="234"/>
      <c r="CW145" s="234"/>
      <c r="CX145" s="234"/>
      <c r="CY145" s="234"/>
      <c r="CZ145" s="234"/>
      <c r="DA145" s="234"/>
      <c r="DB145" s="234"/>
      <c r="DC145" s="234"/>
      <c r="DD145" s="234"/>
      <c r="DE145" s="234"/>
      <c r="DF145" s="234"/>
      <c r="DG145" s="234"/>
      <c r="DH145" s="234"/>
      <c r="DI145" s="234"/>
      <c r="DJ145" s="234"/>
      <c r="DK145" s="234"/>
      <c r="DL145" s="234"/>
      <c r="DM145" s="234"/>
      <c r="DN145" s="234"/>
      <c r="DO145" s="234"/>
      <c r="DP145" s="234"/>
      <c r="DQ145" s="234"/>
      <c r="DR145" s="234"/>
      <c r="DS145" s="234"/>
      <c r="DT145" s="234"/>
    </row>
    <row r="146" spans="1:124" s="231" customFormat="1" ht="16.5" customHeight="1" x14ac:dyDescent="0.25">
      <c r="A146" s="232"/>
      <c r="B146" s="250"/>
      <c r="C146" s="232"/>
      <c r="D146" s="232"/>
      <c r="E146" s="251"/>
      <c r="H146" s="250"/>
      <c r="I146" s="269">
        <f>SUM(I134:I145)</f>
        <v>0</v>
      </c>
      <c r="J146" s="269">
        <f>SUM(J134:J145)</f>
        <v>0</v>
      </c>
      <c r="L146" s="269">
        <f>SUM(L134:L145)</f>
        <v>0</v>
      </c>
      <c r="M146" s="269">
        <f>SUM(M134:M145)</f>
        <v>0</v>
      </c>
      <c r="O146" s="269">
        <f>SUM(O134:O145)</f>
        <v>0</v>
      </c>
      <c r="P146" s="269">
        <f>SUM(P134:P145)</f>
        <v>0</v>
      </c>
      <c r="R146" s="269">
        <f>SUM(R134:R145)</f>
        <v>0</v>
      </c>
      <c r="S146" s="269">
        <f>SUM(S134:S145)</f>
        <v>0</v>
      </c>
      <c r="U146" s="269">
        <f>SUM(U134:U145)</f>
        <v>0</v>
      </c>
      <c r="V146" s="269">
        <f>SUM(V134:V145)</f>
        <v>0</v>
      </c>
      <c r="X146" s="233"/>
      <c r="Y146" s="244" t="s">
        <v>1285</v>
      </c>
      <c r="Z146" s="233"/>
      <c r="AA146" s="233"/>
      <c r="AB146" s="233"/>
      <c r="AC146" s="233"/>
      <c r="AD146" s="242"/>
      <c r="AE146" s="233"/>
      <c r="AF146" s="233"/>
      <c r="AG146" s="264"/>
      <c r="AH146" s="264"/>
      <c r="AI146" s="233"/>
      <c r="AJ146" s="242"/>
      <c r="AK146" s="233"/>
      <c r="AL146" s="233"/>
      <c r="AM146" s="264"/>
      <c r="AN146" s="264"/>
      <c r="AO146" s="264"/>
      <c r="AP146" s="264"/>
      <c r="AQ146" s="264"/>
      <c r="AR146" s="264"/>
      <c r="AS146" s="264"/>
      <c r="AT146" s="264"/>
      <c r="AU146" s="264"/>
      <c r="AV146" s="264"/>
      <c r="AW146" s="264"/>
      <c r="AX146" s="264"/>
      <c r="AY146" s="31"/>
      <c r="AZ146" s="31"/>
      <c r="BA146" s="57" t="s">
        <v>1093</v>
      </c>
      <c r="BB146" s="52" t="str">
        <f>AD151</f>
        <v>El</v>
      </c>
      <c r="BC146" s="52" t="str">
        <f>AE151</f>
        <v>Fjärrvärme</v>
      </c>
      <c r="BD146" s="52" t="str">
        <f>AF151</f>
        <v>Gas</v>
      </c>
      <c r="BE146" s="234"/>
      <c r="BF146" s="234"/>
      <c r="BG146" s="234"/>
      <c r="BH146" s="234"/>
      <c r="BI146" s="234"/>
      <c r="BJ146" s="234"/>
      <c r="BK146" s="234"/>
      <c r="BL146" s="234"/>
      <c r="BM146" s="234"/>
      <c r="BN146" s="234"/>
      <c r="BO146" s="234"/>
      <c r="BP146" s="234"/>
      <c r="BQ146" s="234"/>
      <c r="BR146" s="234"/>
      <c r="BS146" s="234"/>
      <c r="BT146" s="234"/>
      <c r="BU146" s="234"/>
      <c r="BV146" s="234"/>
      <c r="BW146" s="234"/>
      <c r="BX146" s="234"/>
      <c r="BY146" s="234"/>
      <c r="BZ146" s="234"/>
      <c r="CA146" s="234"/>
      <c r="CB146" s="234"/>
      <c r="CC146" s="234"/>
      <c r="CD146" s="234"/>
      <c r="CE146" s="234"/>
      <c r="CF146" s="234"/>
      <c r="CG146" s="234"/>
      <c r="CH146" s="234"/>
      <c r="CI146" s="234"/>
      <c r="CJ146" s="234"/>
      <c r="CK146" s="234"/>
      <c r="CL146" s="234"/>
      <c r="CM146" s="234"/>
      <c r="CN146" s="234"/>
      <c r="CO146" s="234"/>
      <c r="CP146" s="234"/>
      <c r="CQ146" s="234"/>
      <c r="CR146" s="234"/>
      <c r="CS146" s="31"/>
      <c r="CT146" s="234"/>
      <c r="CU146" s="234"/>
      <c r="CV146" s="234"/>
      <c r="CW146" s="234"/>
      <c r="CX146" s="234"/>
      <c r="CY146" s="234"/>
      <c r="CZ146" s="234"/>
      <c r="DA146" s="234"/>
      <c r="DB146" s="234"/>
      <c r="DC146" s="234"/>
      <c r="DD146" s="234"/>
      <c r="DE146" s="234"/>
      <c r="DF146" s="234"/>
      <c r="DG146" s="234"/>
      <c r="DH146" s="234"/>
      <c r="DI146" s="234"/>
      <c r="DJ146" s="234"/>
      <c r="DK146" s="234"/>
      <c r="DL146" s="234"/>
      <c r="DM146" s="234"/>
      <c r="DN146" s="234"/>
      <c r="DO146" s="234"/>
      <c r="DP146" s="234"/>
      <c r="DQ146" s="234"/>
      <c r="DR146" s="234"/>
      <c r="DS146" s="234"/>
      <c r="DT146" s="234"/>
    </row>
    <row r="147" spans="1:124" s="231" customFormat="1" ht="16.5" customHeight="1" x14ac:dyDescent="0.25">
      <c r="A147" s="232"/>
      <c r="B147" s="250"/>
      <c r="C147" s="232"/>
      <c r="D147" s="232"/>
      <c r="E147" s="251"/>
      <c r="F147" s="363" t="s">
        <v>1088</v>
      </c>
      <c r="G147" s="40" t="str">
        <f>IF(OR(AV19="Fel i indata",AV20="Fel i indata",AV21="Fel i indata",AV22="Fel i indata",AV23="Fel i indata",AV24="Fel i indata",AV25="Fel i indata",AV26="Fel i indata",AV27="Fel i indata",AV28="Fel i indata",AV29="Fel i indata",AV30="Fel i indata",AX19="Fel i indata",AX20="Fel i indata",AX21="Fel i indata",AX22="Fel i indata",AX23="Fel i indata",AX24="Fel i indata",AX25="Fel i indata",AX26="Fel i indata",AX27="Fel i indata",AX28="Fel i indata",AX29="Fel i indata",AX30="Fel i indata"),"Fel i indata","")</f>
        <v/>
      </c>
      <c r="H147" s="250"/>
      <c r="I147" s="235" t="str">
        <f>IF(G147="Fel i indata","OBS! Se över din indata, energi för uppvärmning blir negativ efter avdrag för egenproducerad/återvunnen energi","")</f>
        <v/>
      </c>
      <c r="L147" s="269"/>
      <c r="M147" s="269"/>
      <c r="O147" s="269"/>
      <c r="P147" s="269"/>
      <c r="R147" s="269"/>
      <c r="S147" s="269"/>
      <c r="U147" s="269"/>
      <c r="V147" s="269"/>
      <c r="X147" s="236" t="s">
        <v>1093</v>
      </c>
      <c r="Y147" s="56" t="str">
        <f>IF($J$155=Y150,$J$154,"")</f>
        <v/>
      </c>
      <c r="Z147" s="56" t="str">
        <f>IF($M$155=Y150,$M$154,"")</f>
        <v/>
      </c>
      <c r="AA147" s="56" t="str">
        <f>IF($P$155=Y150,$P$154,"")</f>
        <v/>
      </c>
      <c r="AB147" s="236"/>
      <c r="AC147" s="236" t="s">
        <v>1093</v>
      </c>
      <c r="AD147" s="56" t="str">
        <f>IF($J$155=$AD$150,$J$154,"")</f>
        <v>El</v>
      </c>
      <c r="AE147" s="56" t="str">
        <f>IF($M$155=$AD$150,$M$154,"")</f>
        <v>Fjärrvärme</v>
      </c>
      <c r="AF147" s="56" t="str">
        <f>IF($P$155=$AD$150,$P$154,"")</f>
        <v>Gas</v>
      </c>
      <c r="AG147" s="264"/>
      <c r="AH147" s="267"/>
      <c r="AI147" s="236" t="s">
        <v>1093</v>
      </c>
      <c r="AJ147" s="56" t="str">
        <f>AD147</f>
        <v>El</v>
      </c>
      <c r="AK147" s="56" t="str">
        <f>AE147</f>
        <v>Fjärrvärme</v>
      </c>
      <c r="AL147" s="56" t="str">
        <f>AF147</f>
        <v>Gas</v>
      </c>
      <c r="AM147" s="264"/>
      <c r="AN147" s="267"/>
      <c r="AO147" s="267"/>
      <c r="AP147" s="267"/>
      <c r="AQ147" s="267"/>
      <c r="AR147" s="267"/>
      <c r="AS147" s="267"/>
      <c r="AT147" s="267"/>
      <c r="AU147" s="267"/>
      <c r="AV147" s="267"/>
      <c r="AW147" s="267"/>
      <c r="AX147" s="267"/>
      <c r="AY147" s="31"/>
      <c r="AZ147" s="31"/>
      <c r="BA147" s="41" t="s">
        <v>1286</v>
      </c>
      <c r="BB147" s="47">
        <f>IF(OR(BB146="Fjärrvärme",BB146="Biobränsle",BB146="Gas",BB146="Olja"),1,IF(BB146="El",1.6,""))</f>
        <v>1.6</v>
      </c>
      <c r="BC147" s="47">
        <f>IF(OR(BC146="Fjärrvärme",BC146="Biobränsle",BC146="Gas",BC146="Olja"),1,IF(BC146="El",1.6,""))</f>
        <v>1</v>
      </c>
      <c r="BD147" s="47">
        <f>IF(OR(BD146="Fjärrvärme",BD146="Biobränsle",BD146="Gas",BD146="Olja"),1,IF(BD146="El",1.6,""))</f>
        <v>1</v>
      </c>
      <c r="BE147" s="234"/>
      <c r="BF147" s="234"/>
      <c r="BG147" s="234"/>
      <c r="BH147" s="234"/>
      <c r="BI147" s="234"/>
      <c r="BJ147" s="234"/>
      <c r="BK147" s="234"/>
      <c r="BL147" s="234"/>
      <c r="BM147" s="234"/>
      <c r="BN147" s="234"/>
      <c r="BO147" s="234"/>
      <c r="BP147" s="234"/>
      <c r="BQ147" s="234"/>
      <c r="BR147" s="234"/>
      <c r="BS147" s="234"/>
      <c r="BT147" s="234"/>
      <c r="BU147" s="234"/>
      <c r="BV147" s="234"/>
      <c r="BW147" s="234"/>
      <c r="BX147" s="234"/>
      <c r="BY147" s="234"/>
      <c r="BZ147" s="234"/>
      <c r="CA147" s="234"/>
      <c r="CB147" s="234"/>
      <c r="CC147" s="234"/>
      <c r="CD147" s="234"/>
      <c r="CE147" s="234"/>
      <c r="CF147" s="234"/>
      <c r="CG147" s="234"/>
      <c r="CH147" s="234"/>
      <c r="CI147" s="234"/>
      <c r="CJ147" s="234"/>
      <c r="CK147" s="234"/>
      <c r="CL147" s="234"/>
      <c r="CM147" s="234"/>
      <c r="CN147" s="234"/>
      <c r="CO147" s="234"/>
      <c r="CP147" s="234"/>
      <c r="CQ147" s="234"/>
      <c r="CR147" s="234"/>
      <c r="CS147" s="31"/>
      <c r="CT147" s="234"/>
      <c r="CU147" s="234"/>
      <c r="CV147" s="234"/>
      <c r="CW147" s="234"/>
      <c r="CX147" s="234"/>
      <c r="CY147" s="234"/>
      <c r="CZ147" s="234"/>
      <c r="DA147" s="234"/>
      <c r="DB147" s="234"/>
      <c r="DC147" s="234"/>
      <c r="DD147" s="234"/>
      <c r="DE147" s="234"/>
      <c r="DF147" s="234"/>
      <c r="DG147" s="234"/>
      <c r="DH147" s="234"/>
      <c r="DI147" s="234"/>
      <c r="DJ147" s="234"/>
      <c r="DK147" s="234"/>
      <c r="DL147" s="234"/>
      <c r="DM147" s="234"/>
      <c r="DN147" s="234"/>
      <c r="DO147" s="234"/>
      <c r="DP147" s="234"/>
      <c r="DQ147" s="234"/>
      <c r="DR147" s="234"/>
      <c r="DS147" s="234"/>
      <c r="DT147" s="234"/>
    </row>
    <row r="148" spans="1:124" s="231" customFormat="1" ht="16.5" customHeight="1" x14ac:dyDescent="0.25">
      <c r="A148" s="232"/>
      <c r="B148" s="250"/>
      <c r="C148" s="232"/>
      <c r="D148" s="232"/>
      <c r="E148" s="251"/>
      <c r="F148" s="363" t="s">
        <v>1371</v>
      </c>
      <c r="G148" s="40" t="str">
        <f>IF(OR(AV44="Fel i indata",AV45="Fel i indata",AV46="Fel i indata",AV47="Fel i indata",AV48="Fel i indata",AV49="Fel i indata",AV50="Fel i indata",AV51="Fel i indata",AV52="Fel i indata",AV53="Fel i indata",AV54="Fel i indata",AV55="Fel i indata",AX44="Fel i indata",AX45="Fel i indata",AX46="Fel i indata",AX47="Fel i indata",AX48="Fel i indata",AX49="Fel i indata",AX50="Fel i indata",AX51="Fel i indata",AX52="Fel i indata",AX53="Fel i indata",AX54="Fel i indata",AX55="Fel i indata"),"Fel i indata","")</f>
        <v/>
      </c>
      <c r="H148" s="250"/>
      <c r="I148" s="235" t="str">
        <f>IF(G148="Fel i indata","OBS! Se över din indata, energi för tappvarmvatten blir negativ efter avdrag för egenproducerad/återvunnen energi","")</f>
        <v/>
      </c>
      <c r="L148" s="269"/>
      <c r="M148" s="269"/>
      <c r="O148" s="269"/>
      <c r="P148" s="269"/>
      <c r="R148" s="269"/>
      <c r="S148" s="269"/>
      <c r="U148" s="269"/>
      <c r="V148" s="269"/>
      <c r="X148" s="236"/>
      <c r="Y148" s="236"/>
      <c r="Z148" s="236"/>
      <c r="AA148" s="236"/>
      <c r="AB148" s="236"/>
      <c r="AC148" s="233"/>
      <c r="AD148" s="233"/>
      <c r="AE148" s="233"/>
      <c r="AF148" s="233"/>
      <c r="AG148" s="264"/>
      <c r="AH148" s="245"/>
      <c r="AI148" s="233"/>
      <c r="AJ148" s="233"/>
      <c r="AK148" s="233"/>
      <c r="AL148" s="233"/>
      <c r="AM148" s="264"/>
      <c r="AN148" s="245"/>
      <c r="AO148" s="245"/>
      <c r="AP148" s="245"/>
      <c r="AQ148" s="245"/>
      <c r="AR148" s="245"/>
      <c r="AS148" s="245"/>
      <c r="AT148" s="245"/>
      <c r="AU148" s="245"/>
      <c r="AV148" s="245"/>
      <c r="AW148" s="245"/>
      <c r="AX148" s="245"/>
      <c r="AY148" s="31"/>
      <c r="AZ148" s="31"/>
      <c r="BA148" s="41" t="s">
        <v>1287</v>
      </c>
      <c r="BB148" s="52">
        <f>IF(OR(BB146="El",BB146="Gas",BB146="Olja"),1.8,IF(BB146="Fjärrvärme",0.7,IF(BB146="Biobränsle",0.6,"")))</f>
        <v>1.8</v>
      </c>
      <c r="BC148" s="52">
        <f>IF(OR(BC146="El",BC146="Gas",BC146="Olja"),1.8,IF(BC146="Fjärrvärme",0.7,IF(BC146="Biobränsle",0.6,"")))</f>
        <v>0.7</v>
      </c>
      <c r="BD148" s="52">
        <f>IF(OR(BD146="El",BD146="Gas",BD146="Olja"),1.8,IF(BD146="Fjärrvärme",0.7,IF(BD146="Biobränsle",0.6,"")))</f>
        <v>1.8</v>
      </c>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c r="BY148" s="234"/>
      <c r="BZ148" s="234"/>
      <c r="CA148" s="234"/>
      <c r="CB148" s="234"/>
      <c r="CC148" s="234"/>
      <c r="CD148" s="234"/>
      <c r="CE148" s="234"/>
      <c r="CF148" s="234"/>
      <c r="CG148" s="234"/>
      <c r="CH148" s="234"/>
      <c r="CI148" s="234"/>
      <c r="CJ148" s="234"/>
      <c r="CK148" s="234"/>
      <c r="CL148" s="234"/>
      <c r="CM148" s="234"/>
      <c r="CN148" s="234"/>
      <c r="CO148" s="234"/>
      <c r="CP148" s="234"/>
      <c r="CQ148" s="234"/>
      <c r="CR148" s="234"/>
      <c r="CS148" s="31"/>
      <c r="CT148" s="234"/>
      <c r="CU148" s="234"/>
      <c r="CV148" s="234"/>
      <c r="CW148" s="234"/>
      <c r="CX148" s="234"/>
      <c r="CY148" s="234"/>
      <c r="CZ148" s="234"/>
      <c r="DA148" s="234"/>
      <c r="DB148" s="234"/>
      <c r="DC148" s="234"/>
      <c r="DD148" s="234"/>
      <c r="DE148" s="234"/>
      <c r="DF148" s="234"/>
      <c r="DG148" s="234"/>
      <c r="DH148" s="234"/>
      <c r="DI148" s="234"/>
      <c r="DJ148" s="234"/>
      <c r="DK148" s="234"/>
      <c r="DL148" s="234"/>
      <c r="DM148" s="234"/>
      <c r="DN148" s="234"/>
      <c r="DO148" s="234"/>
      <c r="DP148" s="234"/>
      <c r="DQ148" s="234"/>
      <c r="DR148" s="234"/>
      <c r="DS148" s="234"/>
      <c r="DT148" s="234"/>
    </row>
    <row r="149" spans="1:124" s="231" customFormat="1" ht="16.5" customHeight="1" x14ac:dyDescent="0.25">
      <c r="A149" s="232"/>
      <c r="B149" s="250"/>
      <c r="C149" s="232"/>
      <c r="D149" s="232"/>
      <c r="E149" s="251"/>
      <c r="F149" s="363" t="s">
        <v>1372</v>
      </c>
      <c r="G149" s="40" t="str">
        <f>IF(OR(AG82="Fel i indata",AG83="Fel i indata",AG84="Fel i indata",AG85="Fel i indata",AG86="Fel i indata",AG87="Fel i indata",AG88="Fel i indata",AG89="Fel i indata",AG90="Fel i indata",AG91="Fel i indata",AG92="Fel i indata",AG93="Fel i indata"),"Fel i indata","")</f>
        <v/>
      </c>
      <c r="H149" s="250"/>
      <c r="I149" s="235" t="str">
        <f>IF(G149="Fel i indata","OBS! Se över din indata, energi för komfortkyla blir negativ efter avdrag för egenproducerad/återvunnen energi","")</f>
        <v/>
      </c>
      <c r="L149" s="269"/>
      <c r="M149" s="269"/>
      <c r="O149" s="269"/>
      <c r="P149" s="269"/>
      <c r="R149" s="269"/>
      <c r="S149" s="269"/>
      <c r="U149" s="269"/>
      <c r="V149" s="269"/>
      <c r="X149" s="236"/>
      <c r="Y149" s="244" t="s">
        <v>1383</v>
      </c>
      <c r="Z149" s="233"/>
      <c r="AA149" s="233"/>
      <c r="AB149" s="233"/>
      <c r="AC149" s="233"/>
      <c r="AD149" s="233"/>
      <c r="AE149" s="233"/>
      <c r="AF149" s="233"/>
      <c r="AG149" s="233"/>
      <c r="AH149" s="247"/>
      <c r="AI149" s="233"/>
      <c r="AJ149" s="244" t="s">
        <v>1382</v>
      </c>
      <c r="AK149" s="233"/>
      <c r="AL149" s="233"/>
      <c r="AM149" s="233"/>
      <c r="AN149" s="247"/>
      <c r="AO149" s="247"/>
      <c r="AP149" s="247"/>
      <c r="AQ149" s="247"/>
      <c r="AR149" s="247"/>
      <c r="AS149" s="247"/>
      <c r="AT149" s="247"/>
      <c r="AU149" s="247"/>
      <c r="AV149" s="247"/>
      <c r="AW149" s="247"/>
      <c r="AX149" s="247"/>
      <c r="AY149" s="31"/>
      <c r="AZ149" s="31"/>
      <c r="BA149" s="234"/>
      <c r="BB149" s="234"/>
      <c r="BC149" s="234"/>
      <c r="BD149" s="234"/>
      <c r="BE149" s="234"/>
      <c r="BF149" s="234"/>
      <c r="BG149" s="234"/>
      <c r="BH149" s="234"/>
      <c r="BI149" s="234"/>
      <c r="BJ149" s="234"/>
      <c r="BK149" s="234"/>
      <c r="BL149" s="234"/>
      <c r="BM149" s="234"/>
      <c r="BN149" s="234"/>
      <c r="BO149" s="234"/>
      <c r="BP149" s="234"/>
      <c r="BQ149" s="234"/>
      <c r="BR149" s="234"/>
      <c r="BS149" s="234"/>
      <c r="BT149" s="234"/>
      <c r="BU149" s="234"/>
      <c r="BV149" s="234"/>
      <c r="BW149" s="234"/>
      <c r="BX149" s="234"/>
      <c r="BY149" s="234"/>
      <c r="BZ149" s="234"/>
      <c r="CA149" s="234"/>
      <c r="CB149" s="234"/>
      <c r="CC149" s="234"/>
      <c r="CD149" s="234"/>
      <c r="CE149" s="234"/>
      <c r="CF149" s="234"/>
      <c r="CG149" s="234"/>
      <c r="CH149" s="234"/>
      <c r="CI149" s="234"/>
      <c r="CJ149" s="234"/>
      <c r="CK149" s="234"/>
      <c r="CL149" s="234"/>
      <c r="CM149" s="234"/>
      <c r="CN149" s="234"/>
      <c r="CO149" s="234"/>
      <c r="CP149" s="234"/>
      <c r="CQ149" s="234"/>
      <c r="CR149" s="234"/>
      <c r="CS149" s="31"/>
      <c r="CT149" s="234"/>
      <c r="CU149" s="234"/>
      <c r="CV149" s="234"/>
      <c r="CW149" s="234"/>
      <c r="CX149" s="234"/>
      <c r="CY149" s="234"/>
      <c r="CZ149" s="234"/>
      <c r="DA149" s="234"/>
      <c r="DB149" s="234"/>
      <c r="DC149" s="234"/>
      <c r="DD149" s="234"/>
      <c r="DE149" s="234"/>
      <c r="DF149" s="234"/>
      <c r="DG149" s="234"/>
      <c r="DH149" s="234"/>
      <c r="DI149" s="234"/>
      <c r="DJ149" s="234"/>
      <c r="DK149" s="234"/>
      <c r="DL149" s="234"/>
      <c r="DM149" s="234"/>
      <c r="DN149" s="234"/>
      <c r="DO149" s="234"/>
      <c r="DP149" s="234"/>
      <c r="DQ149" s="234"/>
      <c r="DR149" s="234"/>
      <c r="DS149" s="234"/>
      <c r="DT149" s="234"/>
    </row>
    <row r="150" spans="1:124" s="231" customFormat="1" ht="16.5" customHeight="1" x14ac:dyDescent="0.25">
      <c r="A150" s="232"/>
      <c r="B150" s="250"/>
      <c r="C150" s="232"/>
      <c r="D150" s="232"/>
      <c r="E150" s="251"/>
      <c r="F150" s="363" t="s">
        <v>1089</v>
      </c>
      <c r="G150" s="40" t="str">
        <f>IF(OR(AL105="Fel i indata",AL106="Fel i indata",AL107="Fel i indata",AL108="Fel i indata",AL109="Fel i indata",AL110="Fel i indata",AL111="Fel i indata",AL112="Fel i indata",AL113="Fel i indata",AL114="Fel i indata",AL115="Fel i indata",AL116="Fel i indata",AK117="Fel i indata"),"Fel i indata","")</f>
        <v/>
      </c>
      <c r="H150" s="250"/>
      <c r="I150" s="235" t="str">
        <f>IF(G150="Fel I indata","OBS! Se över din indata, energi för fastighetsenergi blir negativ efter avdrag för egenproducerad/återvunnen energi","")</f>
        <v/>
      </c>
      <c r="L150" s="269"/>
      <c r="M150" s="269"/>
      <c r="O150" s="269"/>
      <c r="P150" s="269"/>
      <c r="R150" s="269"/>
      <c r="S150" s="269"/>
      <c r="U150" s="269"/>
      <c r="V150" s="269"/>
      <c r="X150" s="233"/>
      <c r="Y150" s="233" t="s">
        <v>1283</v>
      </c>
      <c r="Z150" s="233"/>
      <c r="AA150" s="233"/>
      <c r="AB150" s="236"/>
      <c r="AC150" s="233"/>
      <c r="AD150" s="233" t="s">
        <v>1157</v>
      </c>
      <c r="AE150" s="233"/>
      <c r="AF150" s="233"/>
      <c r="AG150" s="236"/>
      <c r="AH150" s="265"/>
      <c r="AI150" s="233"/>
      <c r="AJ150" s="233" t="s">
        <v>1157</v>
      </c>
      <c r="AK150" s="233"/>
      <c r="AL150" s="233"/>
      <c r="AM150" s="236"/>
      <c r="AN150" s="265"/>
      <c r="AO150" s="265"/>
      <c r="AP150" s="265"/>
      <c r="AQ150" s="265"/>
      <c r="AR150" s="265"/>
      <c r="AS150" s="265"/>
      <c r="AT150" s="265"/>
      <c r="AU150" s="265"/>
      <c r="AV150" s="265"/>
      <c r="AW150" s="265"/>
      <c r="AX150" s="265"/>
      <c r="AY150" s="31"/>
      <c r="AZ150" s="31"/>
      <c r="BA150" s="58"/>
      <c r="BB150" s="58"/>
      <c r="BC150" s="58"/>
      <c r="BD150" s="58"/>
      <c r="BE150" s="58"/>
      <c r="BF150" s="234"/>
      <c r="BG150" s="234"/>
      <c r="BH150" s="234"/>
      <c r="BI150" s="234"/>
      <c r="BJ150" s="234"/>
      <c r="BK150" s="234"/>
      <c r="BL150" s="234"/>
      <c r="BM150" s="234"/>
      <c r="BN150" s="234"/>
      <c r="BO150" s="234"/>
      <c r="BP150" s="234"/>
      <c r="BQ150" s="234"/>
      <c r="BR150" s="234"/>
      <c r="BS150" s="234"/>
      <c r="BT150" s="234"/>
      <c r="BU150" s="234"/>
      <c r="BV150" s="234"/>
      <c r="BW150" s="234"/>
      <c r="BX150" s="234"/>
      <c r="BY150" s="234"/>
      <c r="BZ150" s="234"/>
      <c r="CA150" s="234"/>
      <c r="CB150" s="234"/>
      <c r="CC150" s="234"/>
      <c r="CD150" s="234"/>
      <c r="CE150" s="234"/>
      <c r="CF150" s="234"/>
      <c r="CG150" s="234"/>
      <c r="CH150" s="234"/>
      <c r="CI150" s="234"/>
      <c r="CJ150" s="234"/>
      <c r="CK150" s="234"/>
      <c r="CL150" s="234"/>
      <c r="CM150" s="234"/>
      <c r="CN150" s="234"/>
      <c r="CO150" s="234"/>
      <c r="CP150" s="234"/>
      <c r="CQ150" s="234"/>
      <c r="CR150" s="234"/>
      <c r="CS150" s="31"/>
      <c r="CT150" s="234"/>
      <c r="CU150" s="234"/>
      <c r="CV150" s="234"/>
      <c r="CW150" s="234"/>
      <c r="CX150" s="234"/>
      <c r="CY150" s="234"/>
      <c r="CZ150" s="234"/>
      <c r="DA150" s="234"/>
      <c r="DB150" s="234"/>
      <c r="DC150" s="234"/>
      <c r="DD150" s="234"/>
      <c r="DE150" s="234"/>
      <c r="DF150" s="234"/>
      <c r="DG150" s="234"/>
      <c r="DH150" s="234"/>
      <c r="DI150" s="234"/>
      <c r="DJ150" s="234"/>
      <c r="DK150" s="234"/>
      <c r="DL150" s="234"/>
      <c r="DM150" s="234"/>
      <c r="DN150" s="234"/>
      <c r="DO150" s="234"/>
      <c r="DP150" s="234"/>
      <c r="DQ150" s="234"/>
      <c r="DR150" s="234"/>
      <c r="DS150" s="234"/>
      <c r="DT150" s="234"/>
    </row>
    <row r="151" spans="1:124" s="231" customFormat="1" ht="16.5" customHeight="1" x14ac:dyDescent="0.25">
      <c r="A151" s="232"/>
      <c r="B151" s="382">
        <v>6</v>
      </c>
      <c r="C151" s="383" t="s">
        <v>1284</v>
      </c>
      <c r="D151" s="384"/>
      <c r="E151" s="385"/>
      <c r="F151" s="384"/>
      <c r="G151" s="384"/>
      <c r="H151" s="384"/>
      <c r="I151" s="384"/>
      <c r="J151" s="384"/>
      <c r="K151" s="384"/>
      <c r="L151" s="384"/>
      <c r="M151" s="385"/>
      <c r="N151" s="385"/>
      <c r="O151" s="385"/>
      <c r="P151" s="385"/>
      <c r="Q151" s="385"/>
      <c r="R151" s="385"/>
      <c r="S151" s="385"/>
      <c r="T151" s="385"/>
      <c r="U151" s="385"/>
      <c r="V151" s="385"/>
      <c r="W151" s="386"/>
      <c r="X151" s="236" t="s">
        <v>1093</v>
      </c>
      <c r="Y151" s="56" t="str">
        <f>Y147</f>
        <v/>
      </c>
      <c r="Z151" s="56" t="str">
        <f>IF(Z147&lt;&gt;Y147,Z147,"")</f>
        <v/>
      </c>
      <c r="AA151" s="56" t="str">
        <f>IF(AND(AA147&lt;&gt;Z147,AA147&lt;&gt;Y147),AA147,"")</f>
        <v/>
      </c>
      <c r="AB151" s="56" t="s">
        <v>1094</v>
      </c>
      <c r="AC151" s="233"/>
      <c r="AD151" s="56" t="str">
        <f>AD147</f>
        <v>El</v>
      </c>
      <c r="AE151" s="56" t="str">
        <f>IF(AE147&lt;&gt;AD147,AE147,"")</f>
        <v>Fjärrvärme</v>
      </c>
      <c r="AF151" s="56" t="str">
        <f>IF(AND(AF147&lt;&gt;AE147,AF147&lt;&gt;AD147),AF147,"")</f>
        <v>Gas</v>
      </c>
      <c r="AG151" s="56" t="s">
        <v>1094</v>
      </c>
      <c r="AH151" s="265"/>
      <c r="AI151" s="233"/>
      <c r="AJ151" s="56" t="str">
        <f>AJ147</f>
        <v>El</v>
      </c>
      <c r="AK151" s="56" t="str">
        <f>IF(AK147&lt;&gt;AJ147,AK147,"")</f>
        <v>Fjärrvärme</v>
      </c>
      <c r="AL151" s="56" t="str">
        <f>IF(AND(AL147&lt;&gt;AK147,AL147&lt;&gt;AJ147),AL147,"")</f>
        <v>Gas</v>
      </c>
      <c r="AM151" s="56" t="s">
        <v>1094</v>
      </c>
      <c r="AN151" s="265"/>
      <c r="AO151" s="265"/>
      <c r="AP151" s="265"/>
      <c r="AQ151" s="265"/>
      <c r="AR151" s="265"/>
      <c r="AS151" s="265"/>
      <c r="AT151" s="265"/>
      <c r="AU151" s="265"/>
      <c r="AV151" s="265"/>
      <c r="AW151" s="265"/>
      <c r="AX151" s="265"/>
      <c r="AY151" s="31"/>
      <c r="AZ151" s="31"/>
      <c r="BA151" s="234"/>
      <c r="BB151" s="39" t="str">
        <f t="shared" ref="BB151:BB163" si="274">AJ151</f>
        <v>El</v>
      </c>
      <c r="BC151" s="39" t="str">
        <f t="shared" ref="BC151:BC163" si="275">AK151</f>
        <v>Fjärrvärme</v>
      </c>
      <c r="BD151" s="39" t="str">
        <f t="shared" ref="BD151:BD163" si="276">AL151</f>
        <v>Gas</v>
      </c>
      <c r="BE151" s="58" t="s">
        <v>1159</v>
      </c>
      <c r="BF151" s="234"/>
      <c r="BG151" s="234"/>
      <c r="BH151" s="234"/>
      <c r="BI151" s="234"/>
      <c r="BJ151" s="234"/>
      <c r="BK151" s="234"/>
      <c r="BL151" s="234"/>
      <c r="BM151" s="234"/>
      <c r="BN151" s="234"/>
      <c r="BO151" s="234"/>
      <c r="BP151" s="234"/>
      <c r="BQ151" s="234"/>
      <c r="BR151" s="234"/>
      <c r="BS151" s="234"/>
      <c r="BT151" s="234"/>
      <c r="BU151" s="39"/>
      <c r="BV151" s="39"/>
      <c r="BW151" s="39"/>
      <c r="BX151" s="234"/>
      <c r="BY151" s="234"/>
      <c r="BZ151" s="234"/>
      <c r="CA151" s="234"/>
      <c r="CB151" s="234"/>
      <c r="CC151" s="234"/>
      <c r="CD151" s="234"/>
      <c r="CE151" s="234"/>
      <c r="CF151" s="234"/>
      <c r="CG151" s="234"/>
      <c r="CH151" s="234"/>
      <c r="CI151" s="234"/>
      <c r="CJ151" s="234"/>
      <c r="CK151" s="234"/>
      <c r="CL151" s="234"/>
      <c r="CM151" s="234"/>
      <c r="CN151" s="234"/>
      <c r="CO151" s="234"/>
      <c r="CP151" s="234"/>
      <c r="CQ151" s="234"/>
      <c r="CR151" s="234"/>
      <c r="CS151" s="31"/>
      <c r="CT151" s="234"/>
      <c r="CU151" s="234"/>
      <c r="CV151" s="234"/>
      <c r="CW151" s="234"/>
      <c r="CX151" s="234"/>
      <c r="CY151" s="234"/>
      <c r="CZ151" s="234"/>
      <c r="DA151" s="234"/>
      <c r="DB151" s="234"/>
      <c r="DC151" s="234"/>
      <c r="DD151" s="234"/>
      <c r="DE151" s="234"/>
      <c r="DF151" s="234"/>
      <c r="DG151" s="234"/>
      <c r="DH151" s="234"/>
      <c r="DI151" s="234"/>
      <c r="DJ151" s="234"/>
      <c r="DK151" s="234"/>
      <c r="DL151" s="234"/>
      <c r="DM151" s="234"/>
      <c r="DN151" s="234"/>
      <c r="DO151" s="234"/>
      <c r="DP151" s="234"/>
      <c r="DQ151" s="234"/>
      <c r="DR151" s="234"/>
      <c r="DS151" s="234"/>
      <c r="DT151" s="234"/>
    </row>
    <row r="152" spans="1:124" s="231" customFormat="1" ht="16.5" customHeight="1" x14ac:dyDescent="0.25">
      <c r="A152" s="232"/>
      <c r="C152" s="235" t="str">
        <f>IF(AB165&gt;50,"OBS! VERKSAMHETSEL ÄR STÖRRE ÄN 50 kWh/m2 Atemp PER LOKALAREA. I LOKALBYGGNADER FÅR INTERNT GENERERAT VÄRMEÖVERSKOTT PÅ HÖGST 50 kWh/m2 Atemp TILLGODORÄKNAS. ANVÄND DYNAMISK ENERGIBERÄKNING FÖR NORMALISERING AV MÄTVÄRDEN.","")</f>
        <v/>
      </c>
      <c r="X152" s="233"/>
      <c r="Y152" s="252">
        <f>IF('Indata byggnad och BBR krav'!$C$18=0,0,(IF(AND(J$155=$Y$150, $J$154=$Y$151),I159,0)+IF(AND($M$155=$Y$150, $M$154=$Y$151),L159,0)+IF(AND($P$155=$Y$150, $P$154=$Y$151),O159,0)))</f>
        <v>0</v>
      </c>
      <c r="Z152" s="261">
        <f>IF('Indata byggnad och BBR krav'!$C$18=0,0,(IF(AND(J$155=$Y$150, $J$154=$Z$151),I159,0)+IF(AND($M$155=$Y$150, $M$154=$Z$151),L159,0)+IF(AND($P$155=$Y$150, $P$154=$Z$151),O159,0)))</f>
        <v>0</v>
      </c>
      <c r="AA152" s="261">
        <f>IF('Indata byggnad och BBR krav'!$C$18=0,0,(IF(AND(J$155=$Y$150, $J$154=$AA$151),I159,0)+IF(AND($M$155=$Y$150, $M$154=$AA$151),L159,0)+IF(AND($P$155=$Y$150, $P$154=$AA$151),O159,0)))</f>
        <v>0</v>
      </c>
      <c r="AB152" s="252">
        <f>Y152+Z152+AA152</f>
        <v>0</v>
      </c>
      <c r="AC152" s="233"/>
      <c r="AD152" s="252">
        <f t="shared" ref="AD152:AD163" si="277">IF(AND(J$155=$AD$150, $J$154=$AD$151),I159,0)+IF(AND($M$155=$AD$150, $M$154=$AD$151),L159,0)+IF(AND($P$155=$AD$150, $P$154=$AD$151),O159,0)</f>
        <v>0</v>
      </c>
      <c r="AE152" s="252">
        <f t="shared" ref="AE152:AE163" si="278">IF(AND(J$155=$AD$150, $J$154=$AE$151),I159,0)+IF(AND($M$155=$AD$150, $M$154=$AE$151),L159,0)+IF(AND($P$155=$AD$150, $P$154=$AE$151),O159,0)</f>
        <v>0</v>
      </c>
      <c r="AF152" s="252">
        <f t="shared" ref="AF152:AF163" si="279">IF(AND(J$155=$AD$150, $J$154=$AF$151),I159,0)+IF(AND($M$155=$AD$150, $M$154=$AF$151),L159,0)+IF(AND($P$155=$AD$150, $P$154=$AF$151),O159,0)</f>
        <v>0</v>
      </c>
      <c r="AG152" s="252">
        <f t="shared" ref="AG152:AG163" si="280">AD152+AE152+AF152</f>
        <v>0</v>
      </c>
      <c r="AH152" s="265"/>
      <c r="AI152" s="233"/>
      <c r="AJ152" s="252">
        <f>IF('Indata byggnad och BBR krav'!$C$17=0,0,IF(AND($AJ$151="El",$D$107="Ingår i mätdata hushållsel"),AD152-AO105,AD152))</f>
        <v>0</v>
      </c>
      <c r="AK152" s="252">
        <f>IF('Indata byggnad och BBR krav'!$C$17=0,0,IF(AND($AK$151="El",$D$107="Ingår i mätdata hushållsel"),AE152-AO105,AE152))</f>
        <v>0</v>
      </c>
      <c r="AL152" s="252">
        <f>IF('Indata byggnad och BBR krav'!$C$17=0,0,IF(AND(AL151="El",$D$107="Ingår i mätdata hushållsel"),AF152-AO105,AF152))</f>
        <v>0</v>
      </c>
      <c r="AM152" s="252">
        <f t="shared" ref="AM152:AM163" si="281">AJ152+AK152+AL152</f>
        <v>0</v>
      </c>
      <c r="AN152" s="366" t="str">
        <f>IF(OR(AJ152&lt;0,AK152&lt;0,AL152&lt;0),"Fel i indata","")</f>
        <v/>
      </c>
      <c r="AO152" s="265"/>
      <c r="AP152" s="265"/>
      <c r="AQ152" s="265"/>
      <c r="AR152" s="265"/>
      <c r="AS152" s="265"/>
      <c r="AT152" s="265"/>
      <c r="AU152" s="265"/>
      <c r="AV152" s="265"/>
      <c r="AW152" s="265"/>
      <c r="AX152" s="265"/>
      <c r="AY152" s="31"/>
      <c r="AZ152" s="31"/>
      <c r="BA152" s="234"/>
      <c r="BB152" s="47">
        <f t="shared" si="274"/>
        <v>0</v>
      </c>
      <c r="BC152" s="47">
        <f t="shared" si="275"/>
        <v>0</v>
      </c>
      <c r="BD152" s="47">
        <f t="shared" si="276"/>
        <v>0</v>
      </c>
      <c r="BE152" s="47">
        <f t="shared" ref="BE152:BE163" si="282">BB152+BC152+BD152</f>
        <v>0</v>
      </c>
      <c r="BF152" s="234"/>
      <c r="BG152" s="234"/>
      <c r="BH152" s="234"/>
      <c r="BI152" s="234"/>
      <c r="BJ152" s="234"/>
      <c r="BK152" s="234"/>
      <c r="BL152" s="234"/>
      <c r="BM152" s="234"/>
      <c r="BN152" s="234"/>
      <c r="BO152" s="234"/>
      <c r="BP152" s="234"/>
      <c r="BQ152" s="234"/>
      <c r="BR152" s="234"/>
      <c r="BS152" s="234"/>
      <c r="BT152" s="234"/>
      <c r="BU152" s="39"/>
      <c r="BV152" s="39"/>
      <c r="BW152" s="39"/>
      <c r="BX152" s="234"/>
      <c r="BY152" s="234"/>
      <c r="BZ152" s="234"/>
      <c r="CA152" s="234"/>
      <c r="CB152" s="234"/>
      <c r="CC152" s="234"/>
      <c r="CD152" s="234"/>
      <c r="CE152" s="234"/>
      <c r="CF152" s="234"/>
      <c r="CG152" s="234"/>
      <c r="CH152" s="234"/>
      <c r="CI152" s="234"/>
      <c r="CJ152" s="234"/>
      <c r="CK152" s="234"/>
      <c r="CL152" s="234"/>
      <c r="CM152" s="234"/>
      <c r="CN152" s="234"/>
      <c r="CO152" s="234"/>
      <c r="CP152" s="234"/>
      <c r="CQ152" s="234"/>
      <c r="CR152" s="234"/>
      <c r="CS152" s="31"/>
      <c r="CT152" s="234"/>
      <c r="CU152" s="234"/>
      <c r="CV152" s="234"/>
      <c r="CW152" s="234"/>
      <c r="CX152" s="234"/>
      <c r="CY152" s="234"/>
      <c r="CZ152" s="234"/>
      <c r="DA152" s="234"/>
      <c r="DB152" s="234"/>
      <c r="DC152" s="234"/>
      <c r="DD152" s="234"/>
      <c r="DE152" s="234"/>
      <c r="DF152" s="234"/>
      <c r="DG152" s="234"/>
      <c r="DH152" s="234"/>
      <c r="DI152" s="234"/>
      <c r="DJ152" s="234"/>
      <c r="DK152" s="234"/>
      <c r="DL152" s="234"/>
      <c r="DM152" s="234"/>
      <c r="DN152" s="234"/>
      <c r="DO152" s="234"/>
      <c r="DP152" s="234"/>
      <c r="DQ152" s="234"/>
      <c r="DR152" s="234"/>
      <c r="DS152" s="234"/>
      <c r="DT152" s="234"/>
    </row>
    <row r="153" spans="1:124" s="231" customFormat="1" ht="16.5" customHeight="1" x14ac:dyDescent="0.25">
      <c r="A153" s="232"/>
      <c r="B153" s="232"/>
      <c r="C153" s="232"/>
      <c r="D153" s="232"/>
      <c r="E153" s="232"/>
      <c r="F153" s="505" t="s">
        <v>1138</v>
      </c>
      <c r="G153" s="505"/>
      <c r="H153" s="232"/>
      <c r="I153" s="238" t="s">
        <v>1047</v>
      </c>
      <c r="J153" s="232"/>
      <c r="K153" s="232"/>
      <c r="L153" s="238" t="s">
        <v>1048</v>
      </c>
      <c r="M153" s="232"/>
      <c r="N153" s="232"/>
      <c r="O153" s="238" t="s">
        <v>1049</v>
      </c>
      <c r="P153" s="232"/>
      <c r="Q153" s="232"/>
      <c r="R153" s="232"/>
      <c r="S153" s="232"/>
      <c r="T153" s="232"/>
      <c r="U153" s="232"/>
      <c r="V153" s="232"/>
      <c r="W153" s="232"/>
      <c r="X153" s="233"/>
      <c r="Y153" s="252">
        <f>IF('Indata byggnad och BBR krav'!$C$18=0,0,(IF(AND(J$155=$Y$150, $J$154=$Y$151),I160,0)+IF(AND($M$155=$Y$150, $M$154=$Y$151),L160,0)+IF(AND($P$155=$Y$150, $P$154=$Y$151),O160,0)))</f>
        <v>0</v>
      </c>
      <c r="Z153" s="261">
        <f>IF('Indata byggnad och BBR krav'!$C$18=0,0,(IF(AND(J$155=$Y$150, $J$154=$Z$151),I160,0)+IF(AND($M$155=$Y$150, $M$154=$Z$151),L160,0)+IF(AND($P$155=$Y$150, $P$154=$Z$151),O160,0)))</f>
        <v>0</v>
      </c>
      <c r="AA153" s="261">
        <f>IF('Indata byggnad och BBR krav'!$C$18=0,0,(IF(AND(J$155=$Y$150, $J$154=$AA$151),I160,0)+IF(AND($M$155=$Y$150, $M$154=$AA$151),L160,0)+IF(AND($P$155=$Y$150, $P$154=$AA$151),O160,0)))</f>
        <v>0</v>
      </c>
      <c r="AB153" s="252">
        <f t="shared" ref="AB153:AB163" si="283">Y153+Z153+AA153</f>
        <v>0</v>
      </c>
      <c r="AC153" s="233"/>
      <c r="AD153" s="252">
        <f t="shared" si="277"/>
        <v>0</v>
      </c>
      <c r="AE153" s="252">
        <f t="shared" si="278"/>
        <v>0</v>
      </c>
      <c r="AF153" s="252">
        <f t="shared" si="279"/>
        <v>0</v>
      </c>
      <c r="AG153" s="252">
        <f t="shared" si="280"/>
        <v>0</v>
      </c>
      <c r="AH153" s="265"/>
      <c r="AI153" s="233"/>
      <c r="AJ153" s="252">
        <f>IF('Indata byggnad och BBR krav'!$C$17=0,0,IF(AND($AJ$151="El",$D$107="Ingår i mätdata hushållsel"),AD153-AO106,AD153))</f>
        <v>0</v>
      </c>
      <c r="AK153" s="252">
        <f>IF('Indata byggnad och BBR krav'!$C$17=0,0,IF(AND($AK$151="El",$D$107="Ingår i mätdata hushållsel"),AE153-AO106,AE153))</f>
        <v>0</v>
      </c>
      <c r="AL153" s="252">
        <f>IF('Indata byggnad och BBR krav'!$C$17=0,0,IF(AND(AL152="El",$D$107="Ingår i mätdata hushållsel"),AF153-AO106,AF153))</f>
        <v>0</v>
      </c>
      <c r="AM153" s="252">
        <f t="shared" si="281"/>
        <v>0</v>
      </c>
      <c r="AN153" s="366" t="str">
        <f t="shared" ref="AN153:AN163" si="284">IF(OR(AJ153&lt;0,AK153&lt;0,AL153&lt;0),"Fel i indata","")</f>
        <v/>
      </c>
      <c r="AO153" s="265"/>
      <c r="AP153" s="265"/>
      <c r="AQ153" s="265"/>
      <c r="AR153" s="265"/>
      <c r="AS153" s="265"/>
      <c r="AT153" s="265"/>
      <c r="AU153" s="265"/>
      <c r="AV153" s="265"/>
      <c r="AW153" s="265"/>
      <c r="AX153" s="265"/>
      <c r="AY153" s="31"/>
      <c r="AZ153" s="31"/>
      <c r="BA153" s="234"/>
      <c r="BB153" s="47">
        <f t="shared" si="274"/>
        <v>0</v>
      </c>
      <c r="BC153" s="47">
        <f t="shared" si="275"/>
        <v>0</v>
      </c>
      <c r="BD153" s="47">
        <f t="shared" si="276"/>
        <v>0</v>
      </c>
      <c r="BE153" s="47">
        <f t="shared" si="282"/>
        <v>0</v>
      </c>
      <c r="BF153" s="234"/>
      <c r="BG153" s="234"/>
      <c r="BH153" s="234"/>
      <c r="BI153" s="234"/>
      <c r="BJ153" s="234"/>
      <c r="BK153" s="234"/>
      <c r="BL153" s="234"/>
      <c r="BM153" s="234"/>
      <c r="BN153" s="234"/>
      <c r="BO153" s="234"/>
      <c r="BP153" s="234"/>
      <c r="BQ153" s="234"/>
      <c r="BR153" s="234"/>
      <c r="BS153" s="234"/>
      <c r="BT153" s="234"/>
      <c r="BU153" s="39"/>
      <c r="BV153" s="39"/>
      <c r="BW153" s="39"/>
      <c r="BX153" s="234"/>
      <c r="BY153" s="234"/>
      <c r="BZ153" s="234"/>
      <c r="CA153" s="234"/>
      <c r="CB153" s="234"/>
      <c r="CC153" s="234"/>
      <c r="CD153" s="234"/>
      <c r="CE153" s="234"/>
      <c r="CF153" s="234"/>
      <c r="CG153" s="234"/>
      <c r="CH153" s="234"/>
      <c r="CI153" s="234"/>
      <c r="CJ153" s="234"/>
      <c r="CK153" s="234"/>
      <c r="CL153" s="234"/>
      <c r="CM153" s="234"/>
      <c r="CN153" s="234"/>
      <c r="CO153" s="234"/>
      <c r="CP153" s="234"/>
      <c r="CQ153" s="234"/>
      <c r="CR153" s="234"/>
      <c r="CS153" s="31"/>
      <c r="CT153" s="234"/>
      <c r="CU153" s="234"/>
      <c r="CV153" s="234"/>
      <c r="CW153" s="234"/>
      <c r="CX153" s="234"/>
      <c r="CY153" s="234"/>
      <c r="CZ153" s="234"/>
      <c r="DA153" s="234"/>
      <c r="DB153" s="234"/>
      <c r="DC153" s="234"/>
      <c r="DD153" s="234"/>
      <c r="DE153" s="234"/>
      <c r="DF153" s="234"/>
      <c r="DG153" s="234"/>
      <c r="DH153" s="234"/>
      <c r="DI153" s="234"/>
      <c r="DJ153" s="234"/>
      <c r="DK153" s="234"/>
      <c r="DL153" s="234"/>
      <c r="DM153" s="234"/>
      <c r="DN153" s="234"/>
      <c r="DO153" s="234"/>
      <c r="DP153" s="234"/>
      <c r="DQ153" s="234"/>
      <c r="DR153" s="234"/>
      <c r="DS153" s="234"/>
      <c r="DT153" s="234"/>
    </row>
    <row r="154" spans="1:124" s="231" customFormat="1" ht="16.5" customHeight="1" x14ac:dyDescent="0.25">
      <c r="A154" s="232"/>
      <c r="B154" s="232"/>
      <c r="C154" s="268" t="s">
        <v>1279</v>
      </c>
      <c r="D154" s="368" t="s">
        <v>1280</v>
      </c>
      <c r="E154" s="232"/>
      <c r="F154" s="54" t="s">
        <v>9</v>
      </c>
      <c r="G154" s="375">
        <f>$G$14</f>
        <v>2017</v>
      </c>
      <c r="H154" s="37"/>
      <c r="I154" s="55" t="s">
        <v>1209</v>
      </c>
      <c r="J154" s="368" t="s">
        <v>1085</v>
      </c>
      <c r="K154" s="37"/>
      <c r="L154" s="55" t="s">
        <v>1209</v>
      </c>
      <c r="M154" s="368" t="s">
        <v>14</v>
      </c>
      <c r="N154" s="37"/>
      <c r="O154" s="55" t="s">
        <v>1209</v>
      </c>
      <c r="P154" s="368" t="s">
        <v>1096</v>
      </c>
      <c r="Q154" s="37"/>
      <c r="R154" s="37"/>
      <c r="S154" s="37"/>
      <c r="T154" s="37"/>
      <c r="U154" s="37"/>
      <c r="V154" s="37"/>
      <c r="W154" s="232"/>
      <c r="X154" s="233"/>
      <c r="Y154" s="252">
        <f>IF('Indata byggnad och BBR krav'!$C$18=0,0,(IF(AND(J$155=$Y$150, $J$154=$Y$151),I161,0)+IF(AND($M$155=$Y$150, $M$154=$Y$151),L161,0)+IF(AND($P$155=$Y$150, $P$154=$Y$151),O161,0)))</f>
        <v>0</v>
      </c>
      <c r="Z154" s="261">
        <f>IF('Indata byggnad och BBR krav'!$C$18=0,0,(IF(AND(J$155=$Y$150, $J$154=$Z$151),I161,0)+IF(AND($M$155=$Y$150, $M$154=$Z$151),L161,0)+IF(AND($P$155=$Y$150, $P$154=$Z$151),O161,0)))</f>
        <v>0</v>
      </c>
      <c r="AA154" s="261">
        <f>IF('Indata byggnad och BBR krav'!$C$18=0,0,(IF(AND(J$155=$Y$150, $J$154=$AA$151),I161,0)+IF(AND($M$155=$Y$150, $M$154=$AA$151),L161,0)+IF(AND($P$155=$Y$150, $P$154=$AA$151),O161,0)))</f>
        <v>0</v>
      </c>
      <c r="AB154" s="252">
        <f t="shared" si="283"/>
        <v>0</v>
      </c>
      <c r="AC154" s="233"/>
      <c r="AD154" s="252">
        <f t="shared" si="277"/>
        <v>0</v>
      </c>
      <c r="AE154" s="252">
        <f t="shared" si="278"/>
        <v>0</v>
      </c>
      <c r="AF154" s="252">
        <f t="shared" si="279"/>
        <v>0</v>
      </c>
      <c r="AG154" s="252">
        <f t="shared" si="280"/>
        <v>0</v>
      </c>
      <c r="AH154" s="265"/>
      <c r="AI154" s="233"/>
      <c r="AJ154" s="252">
        <f>IF('Indata byggnad och BBR krav'!$C$17=0,0,IF(AND($AJ$151="El",$D$107="Ingår i mätdata hushållsel"),AD154-AO107,AD154))</f>
        <v>0</v>
      </c>
      <c r="AK154" s="252">
        <f>IF('Indata byggnad och BBR krav'!$C$17=0,0,IF(AND($AK$151="El",$D$107="Ingår i mätdata hushållsel"),AE154-AO107,AE154))</f>
        <v>0</v>
      </c>
      <c r="AL154" s="252">
        <f>IF('Indata byggnad och BBR krav'!$C$17=0,0,IF(AND(AL153="El",$D$107="Ingår i mätdata hushållsel"),AF154-AO107,AF154))</f>
        <v>0</v>
      </c>
      <c r="AM154" s="252">
        <f t="shared" si="281"/>
        <v>0</v>
      </c>
      <c r="AN154" s="366" t="str">
        <f t="shared" si="284"/>
        <v/>
      </c>
      <c r="AO154" s="265"/>
      <c r="AP154" s="265"/>
      <c r="AQ154" s="265"/>
      <c r="AR154" s="265"/>
      <c r="AS154" s="265"/>
      <c r="AT154" s="265"/>
      <c r="AU154" s="265"/>
      <c r="AV154" s="265"/>
      <c r="AW154" s="265"/>
      <c r="AX154" s="265"/>
      <c r="AY154" s="31"/>
      <c r="AZ154" s="31"/>
      <c r="BA154" s="234"/>
      <c r="BB154" s="47">
        <f t="shared" si="274"/>
        <v>0</v>
      </c>
      <c r="BC154" s="47">
        <f t="shared" si="275"/>
        <v>0</v>
      </c>
      <c r="BD154" s="47">
        <f t="shared" si="276"/>
        <v>0</v>
      </c>
      <c r="BE154" s="47">
        <f t="shared" si="282"/>
        <v>0</v>
      </c>
      <c r="BF154" s="234"/>
      <c r="BG154" s="234"/>
      <c r="BH154" s="234"/>
      <c r="BI154" s="234"/>
      <c r="BJ154" s="234"/>
      <c r="BK154" s="234"/>
      <c r="BL154" s="234"/>
      <c r="BM154" s="234"/>
      <c r="BN154" s="234"/>
      <c r="BO154" s="234"/>
      <c r="BP154" s="234"/>
      <c r="BQ154" s="234"/>
      <c r="BR154" s="234"/>
      <c r="BS154" s="234"/>
      <c r="BT154" s="234"/>
      <c r="BU154" s="39"/>
      <c r="BV154" s="39"/>
      <c r="BW154" s="39"/>
      <c r="BX154" s="234"/>
      <c r="BY154" s="234"/>
      <c r="BZ154" s="234"/>
      <c r="CA154" s="234"/>
      <c r="CB154" s="234"/>
      <c r="CC154" s="234"/>
      <c r="CD154" s="234"/>
      <c r="CE154" s="234"/>
      <c r="CF154" s="234"/>
      <c r="CG154" s="234"/>
      <c r="CH154" s="234"/>
      <c r="CI154" s="234"/>
      <c r="CJ154" s="234"/>
      <c r="CK154" s="234"/>
      <c r="CL154" s="234"/>
      <c r="CM154" s="234"/>
      <c r="CN154" s="234"/>
      <c r="CO154" s="234"/>
      <c r="CP154" s="234"/>
      <c r="CQ154" s="234"/>
      <c r="CR154" s="234"/>
      <c r="CS154" s="31"/>
      <c r="CT154" s="234"/>
      <c r="CU154" s="234"/>
      <c r="CV154" s="234"/>
      <c r="CW154" s="234"/>
      <c r="CX154" s="234"/>
      <c r="CY154" s="234"/>
      <c r="CZ154" s="234"/>
      <c r="DA154" s="234"/>
      <c r="DB154" s="234"/>
      <c r="DC154" s="234"/>
      <c r="DD154" s="234"/>
      <c r="DE154" s="234"/>
      <c r="DF154" s="234"/>
      <c r="DG154" s="234"/>
      <c r="DH154" s="234"/>
      <c r="DI154" s="234"/>
      <c r="DJ154" s="234"/>
      <c r="DK154" s="234"/>
      <c r="DL154" s="234"/>
      <c r="DM154" s="234"/>
      <c r="DN154" s="234"/>
      <c r="DO154" s="234"/>
      <c r="DP154" s="234"/>
      <c r="DQ154" s="234"/>
      <c r="DR154" s="234"/>
      <c r="DS154" s="234"/>
      <c r="DT154" s="234"/>
    </row>
    <row r="155" spans="1:124" s="231" customFormat="1" ht="16.5" customHeight="1" x14ac:dyDescent="0.25">
      <c r="A155" s="232"/>
      <c r="B155" s="232"/>
      <c r="C155" s="232"/>
      <c r="D155" s="232"/>
      <c r="E155" s="232"/>
      <c r="F155" s="54" t="s">
        <v>19</v>
      </c>
      <c r="G155" s="375" t="str">
        <f>$G$15</f>
        <v>jan</v>
      </c>
      <c r="H155" s="37"/>
      <c r="I155" s="55" t="s">
        <v>1139</v>
      </c>
      <c r="J155" s="368" t="s">
        <v>1157</v>
      </c>
      <c r="K155" s="37"/>
      <c r="L155" s="55" t="s">
        <v>1139</v>
      </c>
      <c r="M155" s="368" t="s">
        <v>1157</v>
      </c>
      <c r="N155" s="37"/>
      <c r="O155" s="55" t="s">
        <v>1139</v>
      </c>
      <c r="P155" s="368" t="s">
        <v>1157</v>
      </c>
      <c r="Q155" s="37"/>
      <c r="R155" s="37"/>
      <c r="S155" s="37"/>
      <c r="T155" s="37"/>
      <c r="U155" s="37"/>
      <c r="V155" s="37"/>
      <c r="W155" s="232"/>
      <c r="X155" s="233"/>
      <c r="Y155" s="252">
        <f>IF('Indata byggnad och BBR krav'!$C$18=0,0,(IF(AND(J$155=$Y$150, $J$154=$Y$151),I162,0)+IF(AND($M$155=$Y$150, $M$154=$Y$151),L162,0)+IF(AND($P$155=$Y$150, $P$154=$Y$151),O162,0)))</f>
        <v>0</v>
      </c>
      <c r="Z155" s="261">
        <f>IF('Indata byggnad och BBR krav'!$C$18=0,0,(IF(AND(J$155=$Y$150, $J$154=$Z$151),I162,0)+IF(AND($M$155=$Y$150, $M$154=$Z$151),L162,0)+IF(AND($P$155=$Y$150, $P$154=$Z$151),O162,0)))</f>
        <v>0</v>
      </c>
      <c r="AA155" s="261">
        <f>IF('Indata byggnad och BBR krav'!$C$18=0,0,(IF(AND(J$155=$Y$150, $J$154=$AA$151),I162,0)+IF(AND($M$155=$Y$150, $M$154=$AA$151),L162,0)+IF(AND($P$155=$Y$150, $P$154=$AA$151),O162,0)))</f>
        <v>0</v>
      </c>
      <c r="AB155" s="252">
        <f t="shared" si="283"/>
        <v>0</v>
      </c>
      <c r="AC155" s="233"/>
      <c r="AD155" s="252">
        <f t="shared" si="277"/>
        <v>0</v>
      </c>
      <c r="AE155" s="252">
        <f t="shared" si="278"/>
        <v>0</v>
      </c>
      <c r="AF155" s="252">
        <f t="shared" si="279"/>
        <v>0</v>
      </c>
      <c r="AG155" s="252">
        <f t="shared" si="280"/>
        <v>0</v>
      </c>
      <c r="AH155" s="265"/>
      <c r="AI155" s="233"/>
      <c r="AJ155" s="252">
        <f>IF('Indata byggnad och BBR krav'!$C$17=0,0,IF(AND($AJ$151="El",$D$107="Ingår i mätdata hushållsel"),AD155-AO108,AD155))</f>
        <v>0</v>
      </c>
      <c r="AK155" s="252">
        <f>IF('Indata byggnad och BBR krav'!$C$17=0,0,IF(AND($AK$151="El",$D$107="Ingår i mätdata hushållsel"),AE155-AO108,AE155))</f>
        <v>0</v>
      </c>
      <c r="AL155" s="252">
        <f>IF('Indata byggnad och BBR krav'!$C$17=0,0,IF(AND(AL154="El",$D$107="Ingår i mätdata hushållsel"),AF155-AO108,AF155))</f>
        <v>0</v>
      </c>
      <c r="AM155" s="252">
        <f t="shared" si="281"/>
        <v>0</v>
      </c>
      <c r="AN155" s="366" t="str">
        <f t="shared" si="284"/>
        <v/>
      </c>
      <c r="AO155" s="265"/>
      <c r="AP155" s="265"/>
      <c r="AQ155" s="265"/>
      <c r="AR155" s="265"/>
      <c r="AS155" s="265"/>
      <c r="AT155" s="265"/>
      <c r="AU155" s="265"/>
      <c r="AV155" s="265"/>
      <c r="AW155" s="265"/>
      <c r="AX155" s="265"/>
      <c r="AY155" s="31"/>
      <c r="AZ155" s="31"/>
      <c r="BA155" s="234"/>
      <c r="BB155" s="47">
        <f t="shared" si="274"/>
        <v>0</v>
      </c>
      <c r="BC155" s="47">
        <f t="shared" si="275"/>
        <v>0</v>
      </c>
      <c r="BD155" s="47">
        <f t="shared" si="276"/>
        <v>0</v>
      </c>
      <c r="BE155" s="47">
        <f t="shared" si="282"/>
        <v>0</v>
      </c>
      <c r="BF155" s="234"/>
      <c r="BG155" s="234"/>
      <c r="BH155" s="234"/>
      <c r="BI155" s="234"/>
      <c r="BJ155" s="234"/>
      <c r="BK155" s="234"/>
      <c r="BL155" s="234"/>
      <c r="BM155" s="234"/>
      <c r="BN155" s="234"/>
      <c r="BO155" s="234"/>
      <c r="BP155" s="234"/>
      <c r="BQ155" s="234"/>
      <c r="BR155" s="234"/>
      <c r="BS155" s="234"/>
      <c r="BT155" s="234"/>
      <c r="BU155" s="39"/>
      <c r="BV155" s="39"/>
      <c r="BW155" s="39"/>
      <c r="BX155" s="234"/>
      <c r="BY155" s="234"/>
      <c r="BZ155" s="234"/>
      <c r="CA155" s="234"/>
      <c r="CB155" s="234"/>
      <c r="CC155" s="234"/>
      <c r="CD155" s="234"/>
      <c r="CE155" s="234"/>
      <c r="CF155" s="234"/>
      <c r="CG155" s="234"/>
      <c r="CH155" s="234"/>
      <c r="CI155" s="234"/>
      <c r="CJ155" s="234"/>
      <c r="CK155" s="234"/>
      <c r="CL155" s="234"/>
      <c r="CM155" s="234"/>
      <c r="CN155" s="234"/>
      <c r="CO155" s="234"/>
      <c r="CP155" s="234"/>
      <c r="CQ155" s="234"/>
      <c r="CR155" s="234"/>
      <c r="CS155" s="31"/>
      <c r="CT155" s="234"/>
      <c r="CU155" s="234"/>
      <c r="CV155" s="234"/>
      <c r="CW155" s="234"/>
      <c r="CX155" s="234"/>
      <c r="CY155" s="234"/>
      <c r="CZ155" s="234"/>
      <c r="DA155" s="234"/>
      <c r="DB155" s="234"/>
      <c r="DC155" s="234"/>
      <c r="DD155" s="234"/>
      <c r="DE155" s="234"/>
      <c r="DF155" s="234"/>
      <c r="DG155" s="234"/>
      <c r="DH155" s="234"/>
      <c r="DI155" s="234"/>
      <c r="DJ155" s="234"/>
      <c r="DK155" s="234"/>
      <c r="DL155" s="234"/>
      <c r="DM155" s="234"/>
      <c r="DN155" s="234"/>
      <c r="DO155" s="234"/>
      <c r="DP155" s="234"/>
      <c r="DQ155" s="234"/>
      <c r="DR155" s="234"/>
      <c r="DS155" s="234"/>
      <c r="DT155" s="234"/>
    </row>
    <row r="156" spans="1:124" s="231" customFormat="1" ht="16.5" customHeight="1" x14ac:dyDescent="0.25">
      <c r="A156" s="232"/>
      <c r="B156" s="232"/>
      <c r="C156" s="53" t="s">
        <v>1050</v>
      </c>
      <c r="D156" s="368">
        <v>1</v>
      </c>
      <c r="E156" s="232"/>
      <c r="F156" s="93"/>
      <c r="G156" s="93"/>
      <c r="H156" s="37"/>
      <c r="I156" s="232"/>
      <c r="J156" s="232"/>
      <c r="K156" s="232"/>
      <c r="L156" s="232"/>
      <c r="M156" s="120"/>
      <c r="N156" s="232"/>
      <c r="O156" s="232"/>
      <c r="P156" s="232"/>
      <c r="Q156" s="232"/>
      <c r="R156" s="232"/>
      <c r="S156" s="232"/>
      <c r="T156" s="232"/>
      <c r="U156" s="232"/>
      <c r="V156" s="232"/>
      <c r="W156" s="232"/>
      <c r="X156" s="233"/>
      <c r="Y156" s="252">
        <f>IF('Indata byggnad och BBR krav'!$C$18=0,0,(IF(AND(J$155=$Y$150, $J$154=$Y$151),I163,0)+IF(AND($M$155=$Y$150, $M$154=$Y$151),L163,0)+IF(AND($P$155=$Y$150, $P$154=$Y$151),O163,0)))</f>
        <v>0</v>
      </c>
      <c r="Z156" s="261">
        <f>IF('Indata byggnad och BBR krav'!$C$18=0,0,(IF(AND(J$155=$Y$150, $J$154=$Z$151),I163,0)+IF(AND($M$155=$Y$150, $M$154=$Z$151),L163,0)+IF(AND($P$155=$Y$150, $P$154=$Z$151),O163,0)))</f>
        <v>0</v>
      </c>
      <c r="AA156" s="261">
        <f>IF('Indata byggnad och BBR krav'!$C$18=0,0,(IF(AND(J$155=$Y$150, $J$154=$AA$151),I163,0)+IF(AND($M$155=$Y$150, $M$154=$AA$151),L163,0)+IF(AND($P$155=$Y$150, $P$154=$AA$151),O163,0)))</f>
        <v>0</v>
      </c>
      <c r="AB156" s="252">
        <f t="shared" si="283"/>
        <v>0</v>
      </c>
      <c r="AC156" s="233"/>
      <c r="AD156" s="252">
        <f t="shared" si="277"/>
        <v>0</v>
      </c>
      <c r="AE156" s="252">
        <f t="shared" si="278"/>
        <v>0</v>
      </c>
      <c r="AF156" s="252">
        <f t="shared" si="279"/>
        <v>0</v>
      </c>
      <c r="AG156" s="252">
        <f t="shared" si="280"/>
        <v>0</v>
      </c>
      <c r="AH156" s="265"/>
      <c r="AI156" s="233"/>
      <c r="AJ156" s="252">
        <f>IF('Indata byggnad och BBR krav'!$C$17=0,0,IF(AND($AJ$151="El",$D$107="Ingår i mätdata hushållsel"),AD156-AO109,AD156))</f>
        <v>0</v>
      </c>
      <c r="AK156" s="252">
        <f>IF('Indata byggnad och BBR krav'!$C$17=0,0,IF(AND($AK$151="El",$D$107="Ingår i mätdata hushållsel"),AE156-AO109,AE156))</f>
        <v>0</v>
      </c>
      <c r="AL156" s="252">
        <f>IF('Indata byggnad och BBR krav'!$C$17=0,0,IF(AND(AL155="El",$D$107="Ingår i mätdata hushållsel"),AF156-AO109,AF156))</f>
        <v>0</v>
      </c>
      <c r="AM156" s="252">
        <f t="shared" si="281"/>
        <v>0</v>
      </c>
      <c r="AN156" s="366" t="str">
        <f t="shared" si="284"/>
        <v/>
      </c>
      <c r="AO156" s="265"/>
      <c r="AP156" s="265"/>
      <c r="AQ156" s="265"/>
      <c r="AR156" s="265"/>
      <c r="AS156" s="265"/>
      <c r="AT156" s="265"/>
      <c r="AU156" s="265"/>
      <c r="AV156" s="265"/>
      <c r="AW156" s="265"/>
      <c r="AX156" s="265"/>
      <c r="AY156" s="31"/>
      <c r="AZ156" s="31"/>
      <c r="BA156" s="234"/>
      <c r="BB156" s="47">
        <f t="shared" si="274"/>
        <v>0</v>
      </c>
      <c r="BC156" s="47">
        <f t="shared" si="275"/>
        <v>0</v>
      </c>
      <c r="BD156" s="47">
        <f t="shared" si="276"/>
        <v>0</v>
      </c>
      <c r="BE156" s="47">
        <f t="shared" si="282"/>
        <v>0</v>
      </c>
      <c r="BF156" s="234"/>
      <c r="BG156" s="234"/>
      <c r="BH156" s="234"/>
      <c r="BI156" s="234"/>
      <c r="BJ156" s="234"/>
      <c r="BK156" s="234"/>
      <c r="BL156" s="234"/>
      <c r="BM156" s="234"/>
      <c r="BN156" s="234"/>
      <c r="BO156" s="234"/>
      <c r="BP156" s="234"/>
      <c r="BQ156" s="234"/>
      <c r="BR156" s="234"/>
      <c r="BS156" s="234"/>
      <c r="BT156" s="234"/>
      <c r="BU156" s="39"/>
      <c r="BV156" s="39"/>
      <c r="BW156" s="39"/>
      <c r="BX156" s="234"/>
      <c r="BY156" s="234"/>
      <c r="BZ156" s="234"/>
      <c r="CA156" s="234"/>
      <c r="CB156" s="234"/>
      <c r="CC156" s="234"/>
      <c r="CD156" s="234"/>
      <c r="CE156" s="234"/>
      <c r="CF156" s="234"/>
      <c r="CG156" s="234"/>
      <c r="CH156" s="234"/>
      <c r="CI156" s="234"/>
      <c r="CJ156" s="234"/>
      <c r="CK156" s="234"/>
      <c r="CL156" s="234"/>
      <c r="CM156" s="234"/>
      <c r="CN156" s="234"/>
      <c r="CO156" s="234"/>
      <c r="CP156" s="234"/>
      <c r="CQ156" s="234"/>
      <c r="CR156" s="234"/>
      <c r="CS156" s="31"/>
      <c r="CT156" s="234"/>
      <c r="CU156" s="234"/>
      <c r="CV156" s="234"/>
      <c r="CW156" s="234"/>
      <c r="CX156" s="234"/>
      <c r="CY156" s="234"/>
      <c r="CZ156" s="234"/>
      <c r="DA156" s="234"/>
      <c r="DB156" s="234"/>
      <c r="DC156" s="234"/>
      <c r="DD156" s="234"/>
      <c r="DE156" s="234"/>
      <c r="DF156" s="234"/>
      <c r="DG156" s="234"/>
      <c r="DH156" s="234"/>
      <c r="DI156" s="234"/>
      <c r="DJ156" s="234"/>
      <c r="DK156" s="234"/>
      <c r="DL156" s="234"/>
      <c r="DM156" s="234"/>
      <c r="DN156" s="234"/>
      <c r="DO156" s="234"/>
      <c r="DP156" s="234"/>
      <c r="DQ156" s="234"/>
      <c r="DR156" s="234"/>
      <c r="DS156" s="234"/>
      <c r="DT156" s="234"/>
    </row>
    <row r="157" spans="1:124" s="231" customFormat="1" ht="16.5" customHeight="1" x14ac:dyDescent="0.25">
      <c r="A157" s="232"/>
      <c r="B157" s="232"/>
      <c r="C157" s="217" t="s">
        <v>1356</v>
      </c>
      <c r="D157" s="250"/>
      <c r="E157" s="232"/>
      <c r="F157" s="232"/>
      <c r="G157" s="37"/>
      <c r="H157" s="37"/>
      <c r="I157" s="97"/>
      <c r="J157" s="66" t="s">
        <v>1132</v>
      </c>
      <c r="K157" s="66"/>
      <c r="L157" s="97"/>
      <c r="M157" s="66" t="s">
        <v>1132</v>
      </c>
      <c r="N157" s="66"/>
      <c r="O157" s="97"/>
      <c r="P157" s="66" t="s">
        <v>1132</v>
      </c>
      <c r="Q157" s="66"/>
      <c r="R157" s="66"/>
      <c r="S157" s="66"/>
      <c r="T157" s="66"/>
      <c r="U157" s="66"/>
      <c r="V157" s="66"/>
      <c r="W157" s="232"/>
      <c r="X157" s="233"/>
      <c r="Y157" s="252">
        <f>IF('Indata byggnad och BBR krav'!$C$18=0,0,(IF(AND(J$155=$Y$150, $J$154=$Y$151),I164,0)+IF(AND($M$155=$Y$150, $M$154=$Y$151),L164,0)+IF(AND($P$155=$Y$150, $P$154=$Y$151),O164,0)))</f>
        <v>0</v>
      </c>
      <c r="Z157" s="261">
        <f>IF('Indata byggnad och BBR krav'!$C$18=0,0,(IF(AND(J$155=$Y$150, $J$154=$Z$151),I164,0)+IF(AND($M$155=$Y$150, $M$154=$Z$151),L164,0)+IF(AND($P$155=$Y$150, $P$154=$Z$151),O164,0)))</f>
        <v>0</v>
      </c>
      <c r="AA157" s="261">
        <f>IF('Indata byggnad och BBR krav'!$C$18=0,0,(IF(AND(J$155=$Y$150, $J$154=$AA$151),I164,0)+IF(AND($M$155=$Y$150, $M$154=$AA$151),L164,0)+IF(AND($P$155=$Y$150, $P$154=$AA$151),O164,0)))</f>
        <v>0</v>
      </c>
      <c r="AB157" s="252">
        <f t="shared" si="283"/>
        <v>0</v>
      </c>
      <c r="AC157" s="233"/>
      <c r="AD157" s="252">
        <f t="shared" si="277"/>
        <v>0</v>
      </c>
      <c r="AE157" s="252">
        <f t="shared" si="278"/>
        <v>0</v>
      </c>
      <c r="AF157" s="252">
        <f t="shared" si="279"/>
        <v>0</v>
      </c>
      <c r="AG157" s="252">
        <f t="shared" si="280"/>
        <v>0</v>
      </c>
      <c r="AH157" s="265"/>
      <c r="AI157" s="233"/>
      <c r="AJ157" s="252">
        <f>IF('Indata byggnad och BBR krav'!$C$17=0,0,IF(AND($AJ$151="El",$D$107="Ingår i mätdata hushållsel"),AD157-AO110,AD157))</f>
        <v>0</v>
      </c>
      <c r="AK157" s="252">
        <f>IF('Indata byggnad och BBR krav'!$C$17=0,0,IF(AND($AK$151="El",$D$107="Ingår i mätdata hushållsel"),AE157-AO110,AE157))</f>
        <v>0</v>
      </c>
      <c r="AL157" s="252">
        <f>IF('Indata byggnad och BBR krav'!$C$17=0,0,IF(AND(AL156="El",$D$107="Ingår i mätdata hushållsel"),AF157-AO110,AF157))</f>
        <v>0</v>
      </c>
      <c r="AM157" s="252">
        <f t="shared" si="281"/>
        <v>0</v>
      </c>
      <c r="AN157" s="366" t="str">
        <f t="shared" si="284"/>
        <v/>
      </c>
      <c r="AO157" s="265"/>
      <c r="AP157" s="265"/>
      <c r="AQ157" s="265"/>
      <c r="AR157" s="265"/>
      <c r="AS157" s="265"/>
      <c r="AT157" s="265"/>
      <c r="AU157" s="265"/>
      <c r="AV157" s="265"/>
      <c r="AW157" s="265"/>
      <c r="AX157" s="265"/>
      <c r="AY157" s="31"/>
      <c r="AZ157" s="31"/>
      <c r="BA157" s="234"/>
      <c r="BB157" s="47">
        <f t="shared" si="274"/>
        <v>0</v>
      </c>
      <c r="BC157" s="47">
        <f t="shared" si="275"/>
        <v>0</v>
      </c>
      <c r="BD157" s="47">
        <f t="shared" si="276"/>
        <v>0</v>
      </c>
      <c r="BE157" s="47">
        <f t="shared" si="282"/>
        <v>0</v>
      </c>
      <c r="BF157" s="234"/>
      <c r="BG157" s="234"/>
      <c r="BH157" s="234"/>
      <c r="BI157" s="234"/>
      <c r="BJ157" s="234"/>
      <c r="BK157" s="234"/>
      <c r="BL157" s="234"/>
      <c r="BM157" s="234"/>
      <c r="BN157" s="234"/>
      <c r="BO157" s="234"/>
      <c r="BP157" s="234"/>
      <c r="BQ157" s="234"/>
      <c r="BR157" s="234"/>
      <c r="BS157" s="234"/>
      <c r="BT157" s="234"/>
      <c r="BU157" s="39"/>
      <c r="BV157" s="39"/>
      <c r="BW157" s="39"/>
      <c r="BX157" s="234"/>
      <c r="BY157" s="234"/>
      <c r="BZ157" s="234"/>
      <c r="CA157" s="234"/>
      <c r="CB157" s="234"/>
      <c r="CC157" s="234"/>
      <c r="CD157" s="234"/>
      <c r="CE157" s="234"/>
      <c r="CF157" s="234"/>
      <c r="CG157" s="234"/>
      <c r="CH157" s="234"/>
      <c r="CI157" s="234"/>
      <c r="CJ157" s="234"/>
      <c r="CK157" s="234"/>
      <c r="CL157" s="234"/>
      <c r="CM157" s="234"/>
      <c r="CN157" s="234"/>
      <c r="CO157" s="234"/>
      <c r="CP157" s="234"/>
      <c r="CQ157" s="234"/>
      <c r="CR157" s="234"/>
      <c r="CS157" s="31"/>
      <c r="CT157" s="234"/>
      <c r="CU157" s="234"/>
      <c r="CV157" s="234"/>
      <c r="CW157" s="234"/>
      <c r="CX157" s="234"/>
      <c r="CY157" s="234"/>
      <c r="CZ157" s="234"/>
      <c r="DA157" s="234"/>
      <c r="DB157" s="234"/>
      <c r="DC157" s="234"/>
      <c r="DD157" s="234"/>
      <c r="DE157" s="234"/>
      <c r="DF157" s="234"/>
      <c r="DG157" s="234"/>
      <c r="DH157" s="234"/>
      <c r="DI157" s="234"/>
      <c r="DJ157" s="234"/>
      <c r="DK157" s="234"/>
      <c r="DL157" s="234"/>
      <c r="DM157" s="234"/>
      <c r="DN157" s="234"/>
      <c r="DO157" s="234"/>
      <c r="DP157" s="234"/>
      <c r="DQ157" s="234"/>
      <c r="DR157" s="234"/>
      <c r="DS157" s="234"/>
      <c r="DT157" s="234"/>
    </row>
    <row r="158" spans="1:124" s="231" customFormat="1" ht="16.5" customHeight="1" x14ac:dyDescent="0.25">
      <c r="A158" s="232"/>
      <c r="B158" s="232"/>
      <c r="C158" s="527"/>
      <c r="D158" s="528"/>
      <c r="E158" s="232"/>
      <c r="F158" s="391" t="s">
        <v>1044</v>
      </c>
      <c r="G158" s="391" t="s">
        <v>1045</v>
      </c>
      <c r="H158" s="70"/>
      <c r="I158" s="106" t="s">
        <v>1075</v>
      </c>
      <c r="J158" s="442" t="s">
        <v>1075</v>
      </c>
      <c r="K158" s="9"/>
      <c r="L158" s="444" t="s">
        <v>1075</v>
      </c>
      <c r="M158" s="442" t="s">
        <v>1075</v>
      </c>
      <c r="N158" s="9"/>
      <c r="O158" s="444" t="s">
        <v>1075</v>
      </c>
      <c r="P158" s="442" t="s">
        <v>1075</v>
      </c>
      <c r="Q158" s="70"/>
      <c r="R158" s="70"/>
      <c r="S158" s="70"/>
      <c r="T158" s="70"/>
      <c r="U158" s="70"/>
      <c r="V158" s="70"/>
      <c r="W158" s="232"/>
      <c r="X158" s="233"/>
      <c r="Y158" s="252">
        <f>IF('Indata byggnad och BBR krav'!$C$18=0,0,(IF(AND(J$155=$Y$150, $J$154=$Y$151),I165,0)+IF(AND($M$155=$Y$150, $M$154=$Y$151),L165,0)+IF(AND($P$155=$Y$150, $P$154=$Y$151),O165,0)))</f>
        <v>0</v>
      </c>
      <c r="Z158" s="261">
        <f>IF('Indata byggnad och BBR krav'!$C$18=0,0,(IF(AND(J$155=$Y$150, $J$154=$Z$151),I165,0)+IF(AND($M$155=$Y$150, $M$154=$Z$151),L165,0)+IF(AND($P$155=$Y$150, $P$154=$Z$151),O165,0)))</f>
        <v>0</v>
      </c>
      <c r="AA158" s="261">
        <f>IF('Indata byggnad och BBR krav'!$C$18=0,0,(IF(AND(J$155=$Y$150, $J$154=$AA$151),I165,0)+IF(AND($M$155=$Y$150, $M$154=$AA$151),L165,0)+IF(AND($P$155=$Y$150, $P$154=$AA$151),O165,0)))</f>
        <v>0</v>
      </c>
      <c r="AB158" s="252">
        <f t="shared" si="283"/>
        <v>0</v>
      </c>
      <c r="AC158" s="233"/>
      <c r="AD158" s="252">
        <f t="shared" si="277"/>
        <v>0</v>
      </c>
      <c r="AE158" s="252">
        <f t="shared" si="278"/>
        <v>0</v>
      </c>
      <c r="AF158" s="252">
        <f t="shared" si="279"/>
        <v>0</v>
      </c>
      <c r="AG158" s="252">
        <f t="shared" si="280"/>
        <v>0</v>
      </c>
      <c r="AH158" s="265"/>
      <c r="AI158" s="233"/>
      <c r="AJ158" s="252">
        <f>IF('Indata byggnad och BBR krav'!$C$17=0,0,IF(AND($AJ$151="El",$D$107="Ingår i mätdata hushållsel"),AD158-AO111,AD158))</f>
        <v>0</v>
      </c>
      <c r="AK158" s="252">
        <f>IF('Indata byggnad och BBR krav'!$C$17=0,0,IF(AND($AK$151="El",$D$107="Ingår i mätdata hushållsel"),AE158-AO111,AE158))</f>
        <v>0</v>
      </c>
      <c r="AL158" s="252">
        <f>IF('Indata byggnad och BBR krav'!$C$17=0,0,IF(AND(AL157="El",$D$107="Ingår i mätdata hushållsel"),AF158-AO111,AF158))</f>
        <v>0</v>
      </c>
      <c r="AM158" s="252">
        <f t="shared" si="281"/>
        <v>0</v>
      </c>
      <c r="AN158" s="366" t="str">
        <f t="shared" si="284"/>
        <v/>
      </c>
      <c r="AO158" s="265"/>
      <c r="AP158" s="265"/>
      <c r="AQ158" s="265"/>
      <c r="AR158" s="265"/>
      <c r="AS158" s="265"/>
      <c r="AT158" s="265"/>
      <c r="AU158" s="265"/>
      <c r="AV158" s="265"/>
      <c r="AW158" s="265"/>
      <c r="AX158" s="265"/>
      <c r="AY158" s="31"/>
      <c r="AZ158" s="31"/>
      <c r="BA158" s="234"/>
      <c r="BB158" s="47">
        <f t="shared" si="274"/>
        <v>0</v>
      </c>
      <c r="BC158" s="47">
        <f t="shared" si="275"/>
        <v>0</v>
      </c>
      <c r="BD158" s="47">
        <f t="shared" si="276"/>
        <v>0</v>
      </c>
      <c r="BE158" s="47">
        <f t="shared" si="282"/>
        <v>0</v>
      </c>
      <c r="BF158" s="234"/>
      <c r="BG158" s="234"/>
      <c r="BH158" s="234"/>
      <c r="BI158" s="234"/>
      <c r="BJ158" s="234"/>
      <c r="BK158" s="234"/>
      <c r="BL158" s="234"/>
      <c r="BM158" s="234"/>
      <c r="BN158" s="234"/>
      <c r="BO158" s="234"/>
      <c r="BP158" s="234"/>
      <c r="BQ158" s="234"/>
      <c r="BR158" s="234"/>
      <c r="BS158" s="234"/>
      <c r="BT158" s="234"/>
      <c r="BU158" s="39"/>
      <c r="BV158" s="39"/>
      <c r="BW158" s="39"/>
      <c r="BX158" s="234"/>
      <c r="BY158" s="234"/>
      <c r="BZ158" s="234"/>
      <c r="CA158" s="234"/>
      <c r="CB158" s="234"/>
      <c r="CC158" s="234"/>
      <c r="CD158" s="234"/>
      <c r="CE158" s="234"/>
      <c r="CF158" s="234"/>
      <c r="CG158" s="234"/>
      <c r="CH158" s="234"/>
      <c r="CI158" s="234"/>
      <c r="CJ158" s="234"/>
      <c r="CK158" s="234"/>
      <c r="CL158" s="234"/>
      <c r="CM158" s="234"/>
      <c r="CN158" s="234"/>
      <c r="CO158" s="234"/>
      <c r="CP158" s="234"/>
      <c r="CQ158" s="234"/>
      <c r="CR158" s="234"/>
      <c r="CS158" s="31"/>
      <c r="CT158" s="234"/>
      <c r="CU158" s="234"/>
      <c r="CV158" s="234"/>
      <c r="CW158" s="234"/>
      <c r="CX158" s="234"/>
      <c r="CY158" s="234"/>
      <c r="CZ158" s="234"/>
      <c r="DA158" s="234"/>
      <c r="DB158" s="234"/>
      <c r="DC158" s="234"/>
      <c r="DD158" s="234"/>
      <c r="DE158" s="234"/>
      <c r="DF158" s="234"/>
      <c r="DG158" s="234"/>
      <c r="DH158" s="234"/>
      <c r="DI158" s="234"/>
      <c r="DJ158" s="234"/>
      <c r="DK158" s="234"/>
      <c r="DL158" s="234"/>
      <c r="DM158" s="234"/>
      <c r="DN158" s="234"/>
      <c r="DO158" s="234"/>
      <c r="DP158" s="234"/>
      <c r="DQ158" s="234"/>
      <c r="DR158" s="234"/>
      <c r="DS158" s="234"/>
      <c r="DT158" s="234"/>
    </row>
    <row r="159" spans="1:124" s="231" customFormat="1" ht="16.5" customHeight="1" x14ac:dyDescent="0.25">
      <c r="A159" s="232"/>
      <c r="B159" s="250"/>
      <c r="C159" s="529"/>
      <c r="D159" s="530"/>
      <c r="E159" s="251"/>
      <c r="F159" s="387">
        <f>G154</f>
        <v>2017</v>
      </c>
      <c r="G159" s="387" t="str">
        <f t="shared" ref="G159:G170" ca="1" si="285">OFFSET($EI$2,$EI$43+ROW(F159)-ROW($F$159),0)</f>
        <v>jan</v>
      </c>
      <c r="H159" s="70"/>
      <c r="I159" s="109">
        <f t="shared" ref="I159:I170" si="286">IF(AND($D$156&gt;0,$D$154="Separat mätdata finns"),J159,0)</f>
        <v>0</v>
      </c>
      <c r="J159" s="394"/>
      <c r="K159" s="73"/>
      <c r="L159" s="109">
        <f t="shared" ref="L159:L170" si="287">IF(AND($D$156&gt;1,$D$154="Separat mätdata finns"),M159,0)</f>
        <v>0</v>
      </c>
      <c r="M159" s="394"/>
      <c r="N159" s="73"/>
      <c r="O159" s="109">
        <f t="shared" ref="O159:O170" si="288">IF(AND($D$156&gt;2,$D$154="Separat mätdata finns"),P159,0)</f>
        <v>0</v>
      </c>
      <c r="P159" s="394"/>
      <c r="Q159" s="73"/>
      <c r="R159" s="73"/>
      <c r="S159" s="73"/>
      <c r="T159" s="73"/>
      <c r="U159" s="73"/>
      <c r="V159" s="73"/>
      <c r="W159" s="232"/>
      <c r="X159" s="233"/>
      <c r="Y159" s="252">
        <f>IF('Indata byggnad och BBR krav'!$C$18=0,0,(IF(AND(J$155=$Y$150, $J$154=$Y$151),I166,0)+IF(AND($M$155=$Y$150, $M$154=$Y$151),L166,0)+IF(AND($P$155=$Y$150, $P$154=$Y$151),O166,0)))</f>
        <v>0</v>
      </c>
      <c r="Z159" s="261">
        <f>IF('Indata byggnad och BBR krav'!$C$18=0,0,(IF(AND(J$155=$Y$150, $J$154=$Z$151),I166,0)+IF(AND($M$155=$Y$150, $M$154=$Z$151),L166,0)+IF(AND($P$155=$Y$150, $P$154=$Z$151),O166,0)))</f>
        <v>0</v>
      </c>
      <c r="AA159" s="261">
        <f>IF('Indata byggnad och BBR krav'!$C$18=0,0,(IF(AND(J$155=$Y$150, $J$154=$AA$151),I166,0)+IF(AND($M$155=$Y$150, $M$154=$AA$151),L166,0)+IF(AND($P$155=$Y$150, $P$154=$AA$151),O166,0)))</f>
        <v>0</v>
      </c>
      <c r="AB159" s="252">
        <f t="shared" si="283"/>
        <v>0</v>
      </c>
      <c r="AC159" s="233"/>
      <c r="AD159" s="252">
        <f t="shared" si="277"/>
        <v>0</v>
      </c>
      <c r="AE159" s="252">
        <f t="shared" si="278"/>
        <v>0</v>
      </c>
      <c r="AF159" s="252">
        <f t="shared" si="279"/>
        <v>0</v>
      </c>
      <c r="AG159" s="252">
        <f t="shared" si="280"/>
        <v>0</v>
      </c>
      <c r="AH159" s="265"/>
      <c r="AI159" s="233"/>
      <c r="AJ159" s="252">
        <f>IF('Indata byggnad och BBR krav'!$C$17=0,0,IF(AND($AJ$151="El",$D$107="Ingår i mätdata hushållsel"),AD159-AO112,AD159))</f>
        <v>0</v>
      </c>
      <c r="AK159" s="252">
        <f>IF('Indata byggnad och BBR krav'!$C$17=0,0,IF(AND($AK$151="El",$D$107="Ingår i mätdata hushållsel"),AE159-AO112,AE159))</f>
        <v>0</v>
      </c>
      <c r="AL159" s="252">
        <f>IF('Indata byggnad och BBR krav'!$C$17=0,0,IF(AND(AL158="El",$D$107="Ingår i mätdata hushållsel"),AF159-AO112,AF159))</f>
        <v>0</v>
      </c>
      <c r="AM159" s="252">
        <f t="shared" si="281"/>
        <v>0</v>
      </c>
      <c r="AN159" s="366" t="str">
        <f t="shared" si="284"/>
        <v/>
      </c>
      <c r="AO159" s="265"/>
      <c r="AP159" s="265"/>
      <c r="AQ159" s="265"/>
      <c r="AR159" s="265"/>
      <c r="AS159" s="265"/>
      <c r="AT159" s="265"/>
      <c r="AU159" s="265"/>
      <c r="AV159" s="265"/>
      <c r="AW159" s="265"/>
      <c r="AX159" s="265"/>
      <c r="AY159" s="31"/>
      <c r="AZ159" s="31"/>
      <c r="BA159" s="234"/>
      <c r="BB159" s="47">
        <f t="shared" si="274"/>
        <v>0</v>
      </c>
      <c r="BC159" s="47">
        <f t="shared" si="275"/>
        <v>0</v>
      </c>
      <c r="BD159" s="47">
        <f t="shared" si="276"/>
        <v>0</v>
      </c>
      <c r="BE159" s="47">
        <f t="shared" si="282"/>
        <v>0</v>
      </c>
      <c r="BF159" s="234"/>
      <c r="BG159" s="234"/>
      <c r="BH159" s="234"/>
      <c r="BI159" s="234"/>
      <c r="BJ159" s="234"/>
      <c r="BK159" s="234"/>
      <c r="BL159" s="234"/>
      <c r="BM159" s="234"/>
      <c r="BN159" s="234"/>
      <c r="BO159" s="234"/>
      <c r="BP159" s="234"/>
      <c r="BQ159" s="234"/>
      <c r="BR159" s="234"/>
      <c r="BS159" s="234"/>
      <c r="BT159" s="234"/>
      <c r="BU159" s="39"/>
      <c r="BV159" s="39"/>
      <c r="BW159" s="39"/>
      <c r="BX159" s="234"/>
      <c r="BY159" s="234"/>
      <c r="BZ159" s="234"/>
      <c r="CA159" s="234"/>
      <c r="CB159" s="234"/>
      <c r="CC159" s="234"/>
      <c r="CD159" s="234"/>
      <c r="CE159" s="234"/>
      <c r="CF159" s="234"/>
      <c r="CG159" s="234"/>
      <c r="CH159" s="234"/>
      <c r="CI159" s="234"/>
      <c r="CJ159" s="234"/>
      <c r="CK159" s="234"/>
      <c r="CL159" s="234"/>
      <c r="CM159" s="234"/>
      <c r="CN159" s="234"/>
      <c r="CO159" s="234"/>
      <c r="CP159" s="234"/>
      <c r="CQ159" s="234"/>
      <c r="CR159" s="234"/>
      <c r="CS159" s="31"/>
      <c r="CT159" s="234"/>
      <c r="CU159" s="234"/>
      <c r="CV159" s="234"/>
      <c r="CW159" s="234"/>
      <c r="CX159" s="234"/>
      <c r="CY159" s="234"/>
      <c r="CZ159" s="234"/>
      <c r="DA159" s="234"/>
      <c r="DB159" s="234"/>
      <c r="DC159" s="234"/>
      <c r="DD159" s="234"/>
      <c r="DE159" s="234"/>
      <c r="DF159" s="234"/>
      <c r="DG159" s="234"/>
      <c r="DH159" s="234"/>
      <c r="DI159" s="234"/>
      <c r="DJ159" s="234"/>
      <c r="DK159" s="234"/>
      <c r="DL159" s="234"/>
      <c r="DM159" s="234"/>
      <c r="DN159" s="234"/>
      <c r="DO159" s="234"/>
      <c r="DP159" s="234"/>
      <c r="DQ159" s="234"/>
      <c r="DR159" s="234"/>
      <c r="DS159" s="234"/>
      <c r="DT159" s="234"/>
    </row>
    <row r="160" spans="1:124" s="231" customFormat="1" ht="16.5" customHeight="1" x14ac:dyDescent="0.25">
      <c r="A160" s="232"/>
      <c r="B160" s="250"/>
      <c r="C160" s="531"/>
      <c r="D160" s="532"/>
      <c r="E160" s="232"/>
      <c r="F160" s="387">
        <f ca="1">IF(G160="jan",F159+1,F159)</f>
        <v>2017</v>
      </c>
      <c r="G160" s="387" t="str">
        <f t="shared" ca="1" si="285"/>
        <v>feb</v>
      </c>
      <c r="H160" s="70"/>
      <c r="I160" s="109">
        <f t="shared" si="286"/>
        <v>0</v>
      </c>
      <c r="J160" s="394"/>
      <c r="K160" s="73"/>
      <c r="L160" s="109">
        <f t="shared" si="287"/>
        <v>0</v>
      </c>
      <c r="M160" s="394"/>
      <c r="N160" s="73"/>
      <c r="O160" s="109">
        <f t="shared" si="288"/>
        <v>0</v>
      </c>
      <c r="P160" s="394"/>
      <c r="Q160" s="73"/>
      <c r="R160" s="73"/>
      <c r="S160" s="73"/>
      <c r="T160" s="73"/>
      <c r="U160" s="73"/>
      <c r="V160" s="73"/>
      <c r="W160" s="232"/>
      <c r="X160" s="233"/>
      <c r="Y160" s="252">
        <f>IF('Indata byggnad och BBR krav'!$C$18=0,0,(IF(AND(J$155=$Y$150, $J$154=$Y$151),I167,0)+IF(AND($M$155=$Y$150, $M$154=$Y$151),L167,0)+IF(AND($P$155=$Y$150, $P$154=$Y$151),O167,0)))</f>
        <v>0</v>
      </c>
      <c r="Z160" s="261">
        <f>IF('Indata byggnad och BBR krav'!$C$18=0,0,(IF(AND(J$155=$Y$150, $J$154=$Z$151),I167,0)+IF(AND($M$155=$Y$150, $M$154=$Z$151),L167,0)+IF(AND($P$155=$Y$150, $P$154=$Z$151),O167,0)))</f>
        <v>0</v>
      </c>
      <c r="AA160" s="261">
        <f>IF('Indata byggnad och BBR krav'!$C$18=0,0,(IF(AND(J$155=$Y$150, $J$154=$AA$151),I167,0)+IF(AND($M$155=$Y$150, $M$154=$AA$151),L167,0)+IF(AND($P$155=$Y$150, $P$154=$AA$151),O167,0)))</f>
        <v>0</v>
      </c>
      <c r="AB160" s="252">
        <f t="shared" si="283"/>
        <v>0</v>
      </c>
      <c r="AC160" s="233"/>
      <c r="AD160" s="252">
        <f t="shared" si="277"/>
        <v>0</v>
      </c>
      <c r="AE160" s="252">
        <f t="shared" si="278"/>
        <v>0</v>
      </c>
      <c r="AF160" s="252">
        <f t="shared" si="279"/>
        <v>0</v>
      </c>
      <c r="AG160" s="252">
        <f t="shared" si="280"/>
        <v>0</v>
      </c>
      <c r="AH160" s="265"/>
      <c r="AI160" s="233"/>
      <c r="AJ160" s="252">
        <f>IF('Indata byggnad och BBR krav'!$C$17=0,0,IF(AND($AJ$151="El",$D$107="Ingår i mätdata hushållsel"),AD160-AO113,AD160))</f>
        <v>0</v>
      </c>
      <c r="AK160" s="252">
        <f>IF('Indata byggnad och BBR krav'!$C$17=0,0,IF(AND($AK$151="El",$D$107="Ingår i mätdata hushållsel"),AE160-AO113,AE160))</f>
        <v>0</v>
      </c>
      <c r="AL160" s="252">
        <f>IF('Indata byggnad och BBR krav'!$C$17=0,0,IF(AND(AL159="El",$D$107="Ingår i mätdata hushållsel"),AF160-AO113,AF160))</f>
        <v>0</v>
      </c>
      <c r="AM160" s="252">
        <f t="shared" si="281"/>
        <v>0</v>
      </c>
      <c r="AN160" s="366" t="str">
        <f t="shared" si="284"/>
        <v/>
      </c>
      <c r="AO160" s="265"/>
      <c r="AP160" s="265"/>
      <c r="AQ160" s="265"/>
      <c r="AR160" s="265"/>
      <c r="AS160" s="265"/>
      <c r="AT160" s="265"/>
      <c r="AU160" s="265"/>
      <c r="AV160" s="265"/>
      <c r="AW160" s="265"/>
      <c r="AX160" s="265"/>
      <c r="AY160" s="31"/>
      <c r="AZ160" s="31"/>
      <c r="BA160" s="234"/>
      <c r="BB160" s="47">
        <f t="shared" si="274"/>
        <v>0</v>
      </c>
      <c r="BC160" s="47">
        <f t="shared" si="275"/>
        <v>0</v>
      </c>
      <c r="BD160" s="47">
        <f t="shared" si="276"/>
        <v>0</v>
      </c>
      <c r="BE160" s="47">
        <f t="shared" si="282"/>
        <v>0</v>
      </c>
      <c r="BF160" s="234"/>
      <c r="BG160" s="234"/>
      <c r="BH160" s="234"/>
      <c r="BI160" s="234"/>
      <c r="BJ160" s="234"/>
      <c r="BK160" s="234"/>
      <c r="BL160" s="234"/>
      <c r="BM160" s="234"/>
      <c r="BN160" s="234"/>
      <c r="BO160" s="234"/>
      <c r="BP160" s="234"/>
      <c r="BQ160" s="234"/>
      <c r="BR160" s="234"/>
      <c r="BS160" s="234"/>
      <c r="BT160" s="234"/>
      <c r="BU160" s="39"/>
      <c r="BV160" s="39"/>
      <c r="BW160" s="39"/>
      <c r="BX160" s="234"/>
      <c r="BY160" s="234"/>
      <c r="BZ160" s="234"/>
      <c r="CA160" s="234"/>
      <c r="CB160" s="234"/>
      <c r="CC160" s="234"/>
      <c r="CD160" s="234"/>
      <c r="CE160" s="234"/>
      <c r="CF160" s="234"/>
      <c r="CG160" s="234"/>
      <c r="CH160" s="234"/>
      <c r="CI160" s="234"/>
      <c r="CJ160" s="234"/>
      <c r="CK160" s="234"/>
      <c r="CL160" s="234"/>
      <c r="CM160" s="234"/>
      <c r="CN160" s="234"/>
      <c r="CO160" s="234"/>
      <c r="CP160" s="234"/>
      <c r="CQ160" s="234"/>
      <c r="CR160" s="234"/>
      <c r="CS160" s="31"/>
      <c r="CT160" s="234"/>
      <c r="CU160" s="234"/>
      <c r="CV160" s="234"/>
      <c r="CW160" s="234"/>
      <c r="CX160" s="234"/>
      <c r="CY160" s="234"/>
      <c r="CZ160" s="234"/>
      <c r="DA160" s="234"/>
      <c r="DB160" s="234"/>
      <c r="DC160" s="234"/>
      <c r="DD160" s="234"/>
      <c r="DE160" s="234"/>
      <c r="DF160" s="234"/>
      <c r="DG160" s="234"/>
      <c r="DH160" s="234"/>
      <c r="DI160" s="234"/>
      <c r="DJ160" s="234"/>
      <c r="DK160" s="234"/>
      <c r="DL160" s="234"/>
      <c r="DM160" s="234"/>
      <c r="DN160" s="234"/>
      <c r="DO160" s="234"/>
      <c r="DP160" s="234"/>
      <c r="DQ160" s="234"/>
      <c r="DR160" s="234"/>
      <c r="DS160" s="234"/>
      <c r="DT160" s="234"/>
    </row>
    <row r="161" spans="1:124" s="231" customFormat="1" ht="16.5" customHeight="1" x14ac:dyDescent="0.25">
      <c r="A161" s="232"/>
      <c r="B161" s="250"/>
      <c r="C161" s="250"/>
      <c r="D161" s="250"/>
      <c r="E161" s="232"/>
      <c r="F161" s="387">
        <f t="shared" ref="F161:F170" ca="1" si="289">IF(G161="jan",F160+1,F160)</f>
        <v>2017</v>
      </c>
      <c r="G161" s="387" t="str">
        <f t="shared" ca="1" si="285"/>
        <v>mars</v>
      </c>
      <c r="H161" s="70"/>
      <c r="I161" s="109">
        <f t="shared" si="286"/>
        <v>0</v>
      </c>
      <c r="J161" s="394"/>
      <c r="K161" s="73"/>
      <c r="L161" s="109">
        <f t="shared" si="287"/>
        <v>0</v>
      </c>
      <c r="M161" s="394"/>
      <c r="N161" s="73"/>
      <c r="O161" s="109">
        <f t="shared" si="288"/>
        <v>0</v>
      </c>
      <c r="P161" s="394"/>
      <c r="Q161" s="73"/>
      <c r="R161" s="73"/>
      <c r="S161" s="73"/>
      <c r="T161" s="73"/>
      <c r="U161" s="73"/>
      <c r="V161" s="73"/>
      <c r="W161" s="232"/>
      <c r="X161" s="233"/>
      <c r="Y161" s="252">
        <f>IF('Indata byggnad och BBR krav'!$C$18=0,0,(IF(AND(J$155=$Y$150, $J$154=$Y$151),I168,0)+IF(AND($M$155=$Y$150, $M$154=$Y$151),L168,0)+IF(AND($P$155=$Y$150, $P$154=$Y$151),O168,0)))</f>
        <v>0</v>
      </c>
      <c r="Z161" s="261">
        <f>IF('Indata byggnad och BBR krav'!$C$18=0,0,(IF(AND(J$155=$Y$150, $J$154=$Z$151),I168,0)+IF(AND($M$155=$Y$150, $M$154=$Z$151),L168,0)+IF(AND($P$155=$Y$150, $P$154=$Z$151),O168,0)))</f>
        <v>0</v>
      </c>
      <c r="AA161" s="261">
        <f>IF('Indata byggnad och BBR krav'!$C$18=0,0,(IF(AND(J$155=$Y$150, $J$154=$AA$151),I168,0)+IF(AND($M$155=$Y$150, $M$154=$AA$151),L168,0)+IF(AND($P$155=$Y$150, $P$154=$AA$151),O168,0)))</f>
        <v>0</v>
      </c>
      <c r="AB161" s="252">
        <f t="shared" si="283"/>
        <v>0</v>
      </c>
      <c r="AC161" s="233"/>
      <c r="AD161" s="252">
        <f t="shared" si="277"/>
        <v>0</v>
      </c>
      <c r="AE161" s="252">
        <f t="shared" si="278"/>
        <v>0</v>
      </c>
      <c r="AF161" s="252">
        <f t="shared" si="279"/>
        <v>0</v>
      </c>
      <c r="AG161" s="252">
        <f t="shared" si="280"/>
        <v>0</v>
      </c>
      <c r="AH161" s="265"/>
      <c r="AI161" s="233"/>
      <c r="AJ161" s="252">
        <f>IF('Indata byggnad och BBR krav'!$C$17=0,0,IF(AND($AJ$151="El",$D$107="Ingår i mätdata hushållsel"),AD161-AO114,AD161))</f>
        <v>0</v>
      </c>
      <c r="AK161" s="252">
        <f>IF('Indata byggnad och BBR krav'!$C$17=0,0,IF(AND($AK$151="El",$D$107="Ingår i mätdata hushållsel"),AE161-AO114,AE161))</f>
        <v>0</v>
      </c>
      <c r="AL161" s="252">
        <f>IF('Indata byggnad och BBR krav'!$C$17=0,0,IF(AND(AL160="El",$D$107="Ingår i mätdata hushållsel"),AF161-AO114,AF161))</f>
        <v>0</v>
      </c>
      <c r="AM161" s="252">
        <f t="shared" si="281"/>
        <v>0</v>
      </c>
      <c r="AN161" s="366" t="str">
        <f t="shared" si="284"/>
        <v/>
      </c>
      <c r="AO161" s="265"/>
      <c r="AP161" s="265"/>
      <c r="AQ161" s="265"/>
      <c r="AR161" s="265"/>
      <c r="AS161" s="265"/>
      <c r="AT161" s="265"/>
      <c r="AU161" s="265"/>
      <c r="AV161" s="265"/>
      <c r="AW161" s="265"/>
      <c r="AX161" s="265"/>
      <c r="AY161" s="31"/>
      <c r="AZ161" s="31"/>
      <c r="BA161" s="234"/>
      <c r="BB161" s="47">
        <f t="shared" si="274"/>
        <v>0</v>
      </c>
      <c r="BC161" s="47">
        <f t="shared" si="275"/>
        <v>0</v>
      </c>
      <c r="BD161" s="47">
        <f t="shared" si="276"/>
        <v>0</v>
      </c>
      <c r="BE161" s="47">
        <f t="shared" si="282"/>
        <v>0</v>
      </c>
      <c r="BF161" s="234"/>
      <c r="BG161" s="234"/>
      <c r="BH161" s="234"/>
      <c r="BI161" s="234"/>
      <c r="BJ161" s="234"/>
      <c r="BK161" s="234"/>
      <c r="BL161" s="234"/>
      <c r="BM161" s="234"/>
      <c r="BN161" s="234"/>
      <c r="BO161" s="234"/>
      <c r="BP161" s="234"/>
      <c r="BQ161" s="234"/>
      <c r="BR161" s="234"/>
      <c r="BS161" s="234"/>
      <c r="BT161" s="234"/>
      <c r="BU161" s="39"/>
      <c r="BV161" s="39"/>
      <c r="BW161" s="39"/>
      <c r="BX161" s="234"/>
      <c r="BY161" s="234"/>
      <c r="BZ161" s="234"/>
      <c r="CA161" s="234"/>
      <c r="CB161" s="234"/>
      <c r="CC161" s="234"/>
      <c r="CD161" s="234"/>
      <c r="CE161" s="234"/>
      <c r="CF161" s="234"/>
      <c r="CG161" s="234"/>
      <c r="CH161" s="234"/>
      <c r="CI161" s="234"/>
      <c r="CJ161" s="234"/>
      <c r="CK161" s="234"/>
      <c r="CL161" s="234"/>
      <c r="CM161" s="234"/>
      <c r="CN161" s="234"/>
      <c r="CO161" s="234"/>
      <c r="CP161" s="234"/>
      <c r="CQ161" s="234"/>
      <c r="CR161" s="234"/>
      <c r="CS161" s="31"/>
      <c r="CT161" s="234"/>
      <c r="CU161" s="234"/>
      <c r="CV161" s="234"/>
      <c r="CW161" s="234"/>
      <c r="CX161" s="234"/>
      <c r="CY161" s="234"/>
      <c r="CZ161" s="234"/>
      <c r="DA161" s="234"/>
      <c r="DB161" s="234"/>
      <c r="DC161" s="234"/>
      <c r="DD161" s="234"/>
      <c r="DE161" s="234"/>
      <c r="DF161" s="234"/>
      <c r="DG161" s="234"/>
      <c r="DH161" s="234"/>
      <c r="DI161" s="234"/>
      <c r="DJ161" s="234"/>
      <c r="DK161" s="234"/>
      <c r="DL161" s="234"/>
      <c r="DM161" s="234"/>
      <c r="DN161" s="234"/>
      <c r="DO161" s="234"/>
      <c r="DP161" s="234"/>
      <c r="DQ161" s="234"/>
      <c r="DR161" s="234"/>
      <c r="DS161" s="234"/>
      <c r="DT161" s="234"/>
    </row>
    <row r="162" spans="1:124" s="231" customFormat="1" ht="16.5" customHeight="1" x14ac:dyDescent="0.25">
      <c r="A162" s="232"/>
      <c r="B162" s="250"/>
      <c r="C162" s="250"/>
      <c r="D162" s="250"/>
      <c r="E162" s="232"/>
      <c r="F162" s="387">
        <f t="shared" ca="1" si="289"/>
        <v>2017</v>
      </c>
      <c r="G162" s="387" t="str">
        <f t="shared" ca="1" si="285"/>
        <v>apr</v>
      </c>
      <c r="H162" s="70"/>
      <c r="I162" s="109">
        <f t="shared" si="286"/>
        <v>0</v>
      </c>
      <c r="J162" s="394"/>
      <c r="K162" s="73"/>
      <c r="L162" s="109">
        <f t="shared" si="287"/>
        <v>0</v>
      </c>
      <c r="M162" s="394"/>
      <c r="N162" s="73"/>
      <c r="O162" s="109">
        <f t="shared" si="288"/>
        <v>0</v>
      </c>
      <c r="P162" s="394"/>
      <c r="Q162" s="73"/>
      <c r="R162" s="73"/>
      <c r="S162" s="73"/>
      <c r="T162" s="73"/>
      <c r="U162" s="73"/>
      <c r="V162" s="73"/>
      <c r="W162" s="232"/>
      <c r="X162" s="233"/>
      <c r="Y162" s="252">
        <f>IF('Indata byggnad och BBR krav'!$C$18=0,0,(IF(AND(J$155=$Y$150, $J$154=$Y$151),I169,0)+IF(AND($M$155=$Y$150, $M$154=$Y$151),L169,0)+IF(AND($P$155=$Y$150, $P$154=$Y$151),O169,0)))</f>
        <v>0</v>
      </c>
      <c r="Z162" s="261">
        <f>IF('Indata byggnad och BBR krav'!$C$18=0,0,(IF(AND(J$155=$Y$150, $J$154=$Z$151),I169,0)+IF(AND($M$155=$Y$150, $M$154=$Z$151),L169,0)+IF(AND($P$155=$Y$150, $P$154=$Z$151),O169,0)))</f>
        <v>0</v>
      </c>
      <c r="AA162" s="261">
        <f>IF('Indata byggnad och BBR krav'!$C$18=0,0,(IF(AND(J$155=$Y$150, $J$154=$AA$151),I169,0)+IF(AND($M$155=$Y$150, $M$154=$AA$151),L169,0)+IF(AND($P$155=$Y$150, $P$154=$AA$151),O169,0)))</f>
        <v>0</v>
      </c>
      <c r="AB162" s="252">
        <f t="shared" si="283"/>
        <v>0</v>
      </c>
      <c r="AC162" s="233"/>
      <c r="AD162" s="252">
        <f t="shared" si="277"/>
        <v>0</v>
      </c>
      <c r="AE162" s="252">
        <f t="shared" si="278"/>
        <v>0</v>
      </c>
      <c r="AF162" s="252">
        <f t="shared" si="279"/>
        <v>0</v>
      </c>
      <c r="AG162" s="252">
        <f t="shared" si="280"/>
        <v>0</v>
      </c>
      <c r="AH162" s="265"/>
      <c r="AI162" s="233"/>
      <c r="AJ162" s="252">
        <f>IF('Indata byggnad och BBR krav'!$C$17=0,0,IF(AND($AJ$151="El",$D$107="Ingår i mätdata hushållsel"),AD162-AO115,AD162))</f>
        <v>0</v>
      </c>
      <c r="AK162" s="252">
        <f>IF('Indata byggnad och BBR krav'!$C$17=0,0,IF(AND($AK$151="El",$D$107="Ingår i mätdata hushållsel"),AE162-AO115,AE162))</f>
        <v>0</v>
      </c>
      <c r="AL162" s="252">
        <f>IF('Indata byggnad och BBR krav'!$C$17=0,0,IF(AND(AL161="El",$D$107="Ingår i mätdata hushållsel"),AF162-AO115,AF162))</f>
        <v>0</v>
      </c>
      <c r="AM162" s="252">
        <f t="shared" si="281"/>
        <v>0</v>
      </c>
      <c r="AN162" s="366" t="str">
        <f t="shared" si="284"/>
        <v/>
      </c>
      <c r="AO162" s="265"/>
      <c r="AP162" s="265"/>
      <c r="AQ162" s="265"/>
      <c r="AR162" s="265"/>
      <c r="AS162" s="265"/>
      <c r="AT162" s="265"/>
      <c r="AU162" s="265"/>
      <c r="AV162" s="265"/>
      <c r="AW162" s="265"/>
      <c r="AX162" s="265"/>
      <c r="AY162" s="31"/>
      <c r="AZ162" s="31"/>
      <c r="BA162" s="234"/>
      <c r="BB162" s="47">
        <f t="shared" si="274"/>
        <v>0</v>
      </c>
      <c r="BC162" s="47">
        <f t="shared" si="275"/>
        <v>0</v>
      </c>
      <c r="BD162" s="47">
        <f t="shared" si="276"/>
        <v>0</v>
      </c>
      <c r="BE162" s="47">
        <f t="shared" si="282"/>
        <v>0</v>
      </c>
      <c r="BF162" s="234"/>
      <c r="BG162" s="234"/>
      <c r="BH162" s="234"/>
      <c r="BI162" s="234"/>
      <c r="BJ162" s="234"/>
      <c r="BK162" s="234"/>
      <c r="BL162" s="234"/>
      <c r="BM162" s="234"/>
      <c r="BN162" s="234"/>
      <c r="BO162" s="234"/>
      <c r="BP162" s="234"/>
      <c r="BQ162" s="234"/>
      <c r="BR162" s="234"/>
      <c r="BS162" s="234"/>
      <c r="BT162" s="234"/>
      <c r="BU162" s="39"/>
      <c r="BV162" s="39"/>
      <c r="BW162" s="39"/>
      <c r="BX162" s="234"/>
      <c r="BY162" s="234"/>
      <c r="BZ162" s="234"/>
      <c r="CA162" s="234"/>
      <c r="CB162" s="234"/>
      <c r="CC162" s="234"/>
      <c r="CD162" s="234"/>
      <c r="CE162" s="234"/>
      <c r="CF162" s="234"/>
      <c r="CG162" s="234"/>
      <c r="CH162" s="234"/>
      <c r="CI162" s="234"/>
      <c r="CJ162" s="234"/>
      <c r="CK162" s="234"/>
      <c r="CL162" s="234"/>
      <c r="CM162" s="234"/>
      <c r="CN162" s="234"/>
      <c r="CO162" s="234"/>
      <c r="CP162" s="234"/>
      <c r="CQ162" s="234"/>
      <c r="CR162" s="234"/>
      <c r="CS162" s="31"/>
      <c r="CT162" s="234"/>
      <c r="CU162" s="234"/>
      <c r="CV162" s="234"/>
      <c r="CW162" s="234"/>
      <c r="CX162" s="234"/>
      <c r="CY162" s="234"/>
      <c r="CZ162" s="234"/>
      <c r="DA162" s="234"/>
      <c r="DB162" s="234"/>
      <c r="DC162" s="234"/>
      <c r="DD162" s="234"/>
      <c r="DE162" s="234"/>
      <c r="DF162" s="234"/>
      <c r="DG162" s="234"/>
      <c r="DH162" s="234"/>
      <c r="DI162" s="234"/>
      <c r="DJ162" s="234"/>
      <c r="DK162" s="234"/>
      <c r="DL162" s="234"/>
      <c r="DM162" s="234"/>
      <c r="DN162" s="234"/>
      <c r="DO162" s="234"/>
      <c r="DP162" s="234"/>
      <c r="DQ162" s="234"/>
      <c r="DR162" s="234"/>
      <c r="DS162" s="234"/>
      <c r="DT162" s="234"/>
    </row>
    <row r="163" spans="1:124" s="231" customFormat="1" ht="16.5" customHeight="1" thickBot="1" x14ac:dyDescent="0.3">
      <c r="A163" s="232"/>
      <c r="B163" s="250"/>
      <c r="C163" s="250"/>
      <c r="D163" s="250"/>
      <c r="E163" s="232"/>
      <c r="F163" s="387">
        <f t="shared" ca="1" si="289"/>
        <v>2017</v>
      </c>
      <c r="G163" s="387" t="str">
        <f t="shared" ca="1" si="285"/>
        <v>maj</v>
      </c>
      <c r="H163" s="70"/>
      <c r="I163" s="109">
        <f t="shared" si="286"/>
        <v>0</v>
      </c>
      <c r="J163" s="394"/>
      <c r="K163" s="73"/>
      <c r="L163" s="109">
        <f t="shared" si="287"/>
        <v>0</v>
      </c>
      <c r="M163" s="394"/>
      <c r="N163" s="73"/>
      <c r="O163" s="109">
        <f t="shared" si="288"/>
        <v>0</v>
      </c>
      <c r="P163" s="394"/>
      <c r="Q163" s="73"/>
      <c r="R163" s="73"/>
      <c r="S163" s="73"/>
      <c r="T163" s="73"/>
      <c r="U163" s="73"/>
      <c r="V163" s="73"/>
      <c r="W163" s="232"/>
      <c r="X163" s="233"/>
      <c r="Y163" s="252">
        <f>IF('Indata byggnad och BBR krav'!$C$18=0,0,(IF(AND(J$155=$Y$150, $J$154=$Y$151),I170,0)+IF(AND($M$155=$Y$150, $M$154=$Y$151),L170,0)+IF(AND($P$155=$Y$150, $P$154=$Y$151),O170,0)))</f>
        <v>0</v>
      </c>
      <c r="Z163" s="261">
        <f>IF('Indata byggnad och BBR krav'!$C$18=0,0,(IF(AND(J$155=$Y$150, $J$154=$Z$151),I170,0)+IF(AND($M$155=$Y$150, $M$154=$Z$151),L170,0)+IF(AND($P$155=$Y$150, $P$154=$Z$151),O170,0)))</f>
        <v>0</v>
      </c>
      <c r="AA163" s="261">
        <f>IF('Indata byggnad och BBR krav'!$C$18=0,0,(IF(AND(J$155=$Y$150, $J$154=$AA$151),I170,0)+IF(AND($M$155=$Y$150, $M$154=$AA$151),L170,0)+IF(AND($P$155=$Y$150, $P$154=$AA$151),O170,0)))</f>
        <v>0</v>
      </c>
      <c r="AB163" s="364">
        <f t="shared" si="283"/>
        <v>0</v>
      </c>
      <c r="AC163" s="233"/>
      <c r="AD163" s="254">
        <f t="shared" si="277"/>
        <v>0</v>
      </c>
      <c r="AE163" s="254">
        <f t="shared" si="278"/>
        <v>0</v>
      </c>
      <c r="AF163" s="254">
        <f t="shared" si="279"/>
        <v>0</v>
      </c>
      <c r="AG163" s="364">
        <f t="shared" si="280"/>
        <v>0</v>
      </c>
      <c r="AH163" s="265"/>
      <c r="AI163" s="233"/>
      <c r="AJ163" s="254">
        <f>IF('Indata byggnad och BBR krav'!$C$17=0,0,IF(AND($AJ$151="El",$D$107="Ingår i mätdata hushållsel"),AD163-AO116,AD163))</f>
        <v>0</v>
      </c>
      <c r="AK163" s="254">
        <f>IF('Indata byggnad och BBR krav'!$C$17=0,0,IF(AND($AK$151="El",$D$107="Ingår i mätdata hushållsel"),AE163-AO116,AE163))</f>
        <v>0</v>
      </c>
      <c r="AL163" s="254">
        <f>IF('Indata byggnad och BBR krav'!$C$17=0,0,IF(AND(AL162="El",$D$107="Ingår i mätdata hushållsel"),AF163-AO116,AF163))</f>
        <v>0</v>
      </c>
      <c r="AM163" s="364">
        <f t="shared" si="281"/>
        <v>0</v>
      </c>
      <c r="AN163" s="366" t="str">
        <f t="shared" si="284"/>
        <v/>
      </c>
      <c r="AO163" s="265"/>
      <c r="AP163" s="265"/>
      <c r="AQ163" s="265"/>
      <c r="AR163" s="265"/>
      <c r="AS163" s="265"/>
      <c r="AT163" s="265"/>
      <c r="AU163" s="265"/>
      <c r="AV163" s="265"/>
      <c r="AW163" s="265"/>
      <c r="AX163" s="265"/>
      <c r="AY163" s="31"/>
      <c r="AZ163" s="31"/>
      <c r="BA163" s="234"/>
      <c r="BB163" s="83">
        <f t="shared" si="274"/>
        <v>0</v>
      </c>
      <c r="BC163" s="83">
        <f t="shared" si="275"/>
        <v>0</v>
      </c>
      <c r="BD163" s="83">
        <f t="shared" si="276"/>
        <v>0</v>
      </c>
      <c r="BE163" s="83">
        <f t="shared" si="282"/>
        <v>0</v>
      </c>
      <c r="BF163" s="234"/>
      <c r="BG163" s="234"/>
      <c r="BH163" s="234"/>
      <c r="BI163" s="234"/>
      <c r="BJ163" s="234"/>
      <c r="BK163" s="234"/>
      <c r="BL163" s="234"/>
      <c r="BM163" s="234"/>
      <c r="BN163" s="234"/>
      <c r="BO163" s="234"/>
      <c r="BP163" s="234"/>
      <c r="BQ163" s="234"/>
      <c r="BR163" s="234"/>
      <c r="BS163" s="234"/>
      <c r="BT163" s="234"/>
      <c r="BU163" s="234"/>
      <c r="BV163" s="121"/>
      <c r="BW163" s="234"/>
      <c r="BX163" s="234"/>
      <c r="BY163" s="234"/>
      <c r="BZ163" s="234"/>
      <c r="CA163" s="234"/>
      <c r="CB163" s="234"/>
      <c r="CC163" s="234"/>
      <c r="CD163" s="234"/>
      <c r="CE163" s="234"/>
      <c r="CF163" s="234"/>
      <c r="CG163" s="234"/>
      <c r="CH163" s="234"/>
      <c r="CI163" s="234"/>
      <c r="CJ163" s="234"/>
      <c r="CK163" s="234"/>
      <c r="CL163" s="234"/>
      <c r="CM163" s="234"/>
      <c r="CN163" s="234"/>
      <c r="CO163" s="234"/>
      <c r="CP163" s="234"/>
      <c r="CQ163" s="234"/>
      <c r="CR163" s="234"/>
      <c r="CS163" s="31"/>
      <c r="CT163" s="234"/>
      <c r="CU163" s="234"/>
      <c r="CV163" s="234"/>
      <c r="CW163" s="234"/>
      <c r="CX163" s="234"/>
      <c r="CY163" s="234"/>
      <c r="CZ163" s="234"/>
      <c r="DA163" s="234"/>
      <c r="DB163" s="234"/>
      <c r="DC163" s="234"/>
      <c r="DD163" s="234"/>
      <c r="DE163" s="234"/>
      <c r="DF163" s="234"/>
      <c r="DG163" s="234"/>
      <c r="DH163" s="234"/>
      <c r="DI163" s="234"/>
      <c r="DJ163" s="234"/>
      <c r="DK163" s="234"/>
      <c r="DL163" s="234"/>
      <c r="DM163" s="234"/>
      <c r="DN163" s="234"/>
      <c r="DO163" s="234"/>
      <c r="DP163" s="234"/>
      <c r="DQ163" s="234"/>
      <c r="DR163" s="234"/>
      <c r="DS163" s="234"/>
      <c r="DT163" s="234"/>
    </row>
    <row r="164" spans="1:124" s="231" customFormat="1" ht="16.5" customHeight="1" thickTop="1" thickBot="1" x14ac:dyDescent="0.3">
      <c r="A164" s="232"/>
      <c r="B164" s="250"/>
      <c r="C164" s="250"/>
      <c r="D164" s="250"/>
      <c r="E164" s="232"/>
      <c r="F164" s="387">
        <f t="shared" ca="1" si="289"/>
        <v>2017</v>
      </c>
      <c r="G164" s="387" t="str">
        <f t="shared" ca="1" si="285"/>
        <v xml:space="preserve">jun </v>
      </c>
      <c r="H164" s="70"/>
      <c r="I164" s="109">
        <f t="shared" si="286"/>
        <v>0</v>
      </c>
      <c r="J164" s="394"/>
      <c r="K164" s="73"/>
      <c r="L164" s="109">
        <f t="shared" si="287"/>
        <v>0</v>
      </c>
      <c r="M164" s="394"/>
      <c r="N164" s="73"/>
      <c r="O164" s="109">
        <f t="shared" si="288"/>
        <v>0</v>
      </c>
      <c r="P164" s="394"/>
      <c r="Q164" s="73"/>
      <c r="R164" s="73"/>
      <c r="S164" s="73"/>
      <c r="T164" s="73"/>
      <c r="U164" s="73"/>
      <c r="V164" s="73"/>
      <c r="W164" s="232"/>
      <c r="X164" s="236" t="s">
        <v>1098</v>
      </c>
      <c r="Y164" s="256">
        <f>SUM(Y152:Y163)</f>
        <v>0</v>
      </c>
      <c r="Z164" s="116">
        <f>SUM(Z152:Z163)</f>
        <v>0</v>
      </c>
      <c r="AA164" s="118">
        <f>SUM(AA152:AA163)</f>
        <v>0</v>
      </c>
      <c r="AB164" s="260">
        <f>SUM(AB152:AB163)</f>
        <v>0</v>
      </c>
      <c r="AC164" s="233"/>
      <c r="AD164" s="256">
        <f>SUM(AD152:AD163)</f>
        <v>0</v>
      </c>
      <c r="AE164" s="256">
        <f>SUM(AE152:AE163)</f>
        <v>0</v>
      </c>
      <c r="AF164" s="118">
        <f>SUM(AF152:AF163)</f>
        <v>0</v>
      </c>
      <c r="AG164" s="105">
        <f>SUM(AG152:AG163)</f>
        <v>0</v>
      </c>
      <c r="AH164" s="265"/>
      <c r="AI164" s="233"/>
      <c r="AJ164" s="256">
        <f>SUM(AJ152:AJ163)</f>
        <v>0</v>
      </c>
      <c r="AK164" s="256">
        <f>SUM(AK152:AK163)</f>
        <v>0</v>
      </c>
      <c r="AL164" s="118">
        <f>SUM(AL152:AL163)</f>
        <v>0</v>
      </c>
      <c r="AM164" s="105">
        <f>SUM(AM152:AM163)</f>
        <v>0</v>
      </c>
      <c r="AN164" s="265"/>
      <c r="AO164" s="265"/>
      <c r="AP164" s="265"/>
      <c r="AQ164" s="265"/>
      <c r="AR164" s="265"/>
      <c r="AS164" s="265"/>
      <c r="AT164" s="265"/>
      <c r="AU164" s="265"/>
      <c r="AV164" s="265"/>
      <c r="AW164" s="265"/>
      <c r="AX164" s="265"/>
      <c r="AY164" s="31"/>
      <c r="AZ164" s="31"/>
      <c r="BA164" s="41" t="s">
        <v>1098</v>
      </c>
      <c r="BB164" s="85">
        <f>SUM(BB152:BB163)</f>
        <v>0</v>
      </c>
      <c r="BC164" s="113">
        <f>SUM(BC152:BC163)</f>
        <v>0</v>
      </c>
      <c r="BD164" s="113">
        <f>SUM(BD152:BD163)</f>
        <v>0</v>
      </c>
      <c r="BE164" s="85">
        <f>SUM(BE152:BE163)</f>
        <v>0</v>
      </c>
      <c r="BF164" s="234"/>
      <c r="BG164" s="234"/>
      <c r="BH164" s="234"/>
      <c r="BI164" s="234"/>
      <c r="BJ164" s="234"/>
      <c r="BK164" s="234"/>
      <c r="BL164" s="234"/>
      <c r="BM164" s="234"/>
      <c r="BN164" s="234"/>
      <c r="BO164" s="234"/>
      <c r="BP164" s="234"/>
      <c r="BQ164" s="234"/>
      <c r="BR164" s="234"/>
      <c r="BS164" s="234"/>
      <c r="BT164" s="234"/>
      <c r="BU164" s="234"/>
      <c r="BV164" s="234"/>
      <c r="BW164" s="234"/>
      <c r="BX164" s="234"/>
      <c r="BY164" s="234"/>
      <c r="BZ164" s="234"/>
      <c r="CA164" s="234"/>
      <c r="CB164" s="234"/>
      <c r="CC164" s="234"/>
      <c r="CD164" s="234"/>
      <c r="CE164" s="234"/>
      <c r="CF164" s="234"/>
      <c r="CG164" s="234"/>
      <c r="CH164" s="234"/>
      <c r="CI164" s="234"/>
      <c r="CJ164" s="234"/>
      <c r="CK164" s="234"/>
      <c r="CL164" s="234"/>
      <c r="CM164" s="234"/>
      <c r="CN164" s="234"/>
      <c r="CO164" s="234"/>
      <c r="CP164" s="234"/>
      <c r="CQ164" s="234"/>
      <c r="CR164" s="234"/>
      <c r="CS164" s="31"/>
      <c r="CT164" s="234"/>
      <c r="CU164" s="234"/>
      <c r="CV164" s="234"/>
      <c r="CW164" s="234"/>
      <c r="CX164" s="234"/>
      <c r="CY164" s="234"/>
      <c r="CZ164" s="234"/>
      <c r="DA164" s="234"/>
      <c r="DB164" s="234"/>
      <c r="DC164" s="234"/>
      <c r="DD164" s="234"/>
      <c r="DE164" s="234"/>
      <c r="DF164" s="234"/>
      <c r="DG164" s="234"/>
      <c r="DH164" s="234"/>
      <c r="DI164" s="234"/>
      <c r="DJ164" s="234"/>
      <c r="DK164" s="234"/>
      <c r="DL164" s="234"/>
      <c r="DM164" s="234"/>
      <c r="DN164" s="234"/>
      <c r="DO164" s="234"/>
      <c r="DP164" s="234"/>
      <c r="DQ164" s="234"/>
      <c r="DR164" s="234"/>
      <c r="DS164" s="234"/>
      <c r="DT164" s="234"/>
    </row>
    <row r="165" spans="1:124" s="231" customFormat="1" ht="16.5" customHeight="1" thickBot="1" x14ac:dyDescent="0.3">
      <c r="A165" s="232"/>
      <c r="B165" s="250"/>
      <c r="C165" s="250"/>
      <c r="D165" s="250"/>
      <c r="E165" s="232"/>
      <c r="F165" s="387">
        <f t="shared" ca="1" si="289"/>
        <v>2017</v>
      </c>
      <c r="G165" s="387" t="str">
        <f t="shared" ca="1" si="285"/>
        <v>jul</v>
      </c>
      <c r="H165" s="70"/>
      <c r="I165" s="109">
        <f t="shared" si="286"/>
        <v>0</v>
      </c>
      <c r="J165" s="394"/>
      <c r="K165" s="73"/>
      <c r="L165" s="109">
        <f t="shared" si="287"/>
        <v>0</v>
      </c>
      <c r="M165" s="394"/>
      <c r="N165" s="73"/>
      <c r="O165" s="109">
        <f t="shared" si="288"/>
        <v>0</v>
      </c>
      <c r="P165" s="394"/>
      <c r="Q165" s="73"/>
      <c r="R165" s="73"/>
      <c r="S165" s="73"/>
      <c r="T165" s="73"/>
      <c r="U165" s="73"/>
      <c r="V165" s="73"/>
      <c r="W165" s="232"/>
      <c r="X165" s="233"/>
      <c r="Y165" s="276"/>
      <c r="Z165" s="233"/>
      <c r="AA165" s="236" t="s">
        <v>1374</v>
      </c>
      <c r="AB165" s="306">
        <f>IF('Indata byggnad och BBR krav'!$C$18&gt;0,AB164*1000/('Indata byggnad och BBR krav'!$C$16*'Indata byggnad och BBR krav'!$C$18/100),0)</f>
        <v>0</v>
      </c>
      <c r="AC165" s="284" t="s">
        <v>1375</v>
      </c>
      <c r="AD165" s="266"/>
      <c r="AE165" s="266"/>
      <c r="AF165" s="266"/>
      <c r="AG165" s="265"/>
      <c r="AH165" s="265"/>
      <c r="AI165" s="265"/>
      <c r="AJ165" s="265"/>
      <c r="AK165" s="265"/>
      <c r="AL165" s="265"/>
      <c r="AM165" s="265"/>
      <c r="AN165" s="265"/>
      <c r="AO165" s="265"/>
      <c r="AP165" s="265"/>
      <c r="AQ165" s="265"/>
      <c r="AR165" s="265"/>
      <c r="AS165" s="265"/>
      <c r="AT165" s="265"/>
      <c r="AU165" s="265"/>
      <c r="AV165" s="265"/>
      <c r="AW165" s="265"/>
      <c r="AX165" s="265"/>
      <c r="AY165" s="31"/>
      <c r="AZ165" s="31"/>
      <c r="BA165" s="49"/>
      <c r="BB165" s="49"/>
      <c r="BC165" s="49"/>
      <c r="BD165" s="49"/>
      <c r="BE165" s="49"/>
      <c r="BF165" s="234"/>
      <c r="BG165" s="234"/>
      <c r="BH165" s="234"/>
      <c r="BI165" s="234"/>
      <c r="BJ165" s="234"/>
      <c r="BK165" s="234"/>
      <c r="BL165" s="234"/>
      <c r="BM165" s="234"/>
      <c r="BN165" s="234"/>
      <c r="BO165" s="234"/>
      <c r="BP165" s="234"/>
      <c r="BQ165" s="234"/>
      <c r="BR165" s="234"/>
      <c r="BS165" s="234"/>
      <c r="BT165" s="234"/>
      <c r="BU165" s="234"/>
      <c r="BV165" s="234"/>
      <c r="BW165" s="234"/>
      <c r="BX165" s="234"/>
      <c r="BY165" s="234"/>
      <c r="BZ165" s="234"/>
      <c r="CA165" s="234"/>
      <c r="CB165" s="234"/>
      <c r="CC165" s="234"/>
      <c r="CD165" s="234"/>
      <c r="CE165" s="234"/>
      <c r="CF165" s="234"/>
      <c r="CG165" s="234"/>
      <c r="CH165" s="234"/>
      <c r="CI165" s="234"/>
      <c r="CJ165" s="234"/>
      <c r="CK165" s="234"/>
      <c r="CL165" s="234"/>
      <c r="CM165" s="234"/>
      <c r="CN165" s="234"/>
      <c r="CO165" s="234"/>
      <c r="CP165" s="234"/>
      <c r="CQ165" s="234"/>
      <c r="CR165" s="234"/>
      <c r="CS165" s="31"/>
      <c r="CT165" s="234"/>
      <c r="CU165" s="234"/>
      <c r="CV165" s="234"/>
      <c r="CW165" s="234"/>
      <c r="CX165" s="234"/>
      <c r="CY165" s="234"/>
      <c r="CZ165" s="234"/>
      <c r="DA165" s="234"/>
      <c r="DB165" s="234"/>
      <c r="DC165" s="234"/>
      <c r="DD165" s="234"/>
      <c r="DE165" s="234"/>
      <c r="DF165" s="234"/>
      <c r="DG165" s="234"/>
      <c r="DH165" s="234"/>
      <c r="DI165" s="234"/>
      <c r="DJ165" s="234"/>
      <c r="DK165" s="234"/>
      <c r="DL165" s="234"/>
      <c r="DM165" s="234"/>
      <c r="DN165" s="234"/>
      <c r="DO165" s="234"/>
      <c r="DP165" s="234"/>
      <c r="DQ165" s="234"/>
      <c r="DR165" s="234"/>
      <c r="DS165" s="234"/>
      <c r="DT165" s="234"/>
    </row>
    <row r="166" spans="1:124" s="231" customFormat="1" ht="16.5" customHeight="1" thickBot="1" x14ac:dyDescent="0.3">
      <c r="A166" s="232"/>
      <c r="B166" s="250"/>
      <c r="C166" s="250"/>
      <c r="D166" s="250"/>
      <c r="E166" s="232"/>
      <c r="F166" s="387">
        <f t="shared" ca="1" si="289"/>
        <v>2017</v>
      </c>
      <c r="G166" s="387" t="str">
        <f t="shared" ca="1" si="285"/>
        <v>aug</v>
      </c>
      <c r="H166" s="70"/>
      <c r="I166" s="109">
        <f t="shared" si="286"/>
        <v>0</v>
      </c>
      <c r="J166" s="394"/>
      <c r="K166" s="73"/>
      <c r="L166" s="109">
        <f t="shared" si="287"/>
        <v>0</v>
      </c>
      <c r="M166" s="394"/>
      <c r="N166" s="73"/>
      <c r="O166" s="109">
        <f t="shared" si="288"/>
        <v>0</v>
      </c>
      <c r="P166" s="394"/>
      <c r="Q166" s="73"/>
      <c r="R166" s="73"/>
      <c r="S166" s="73"/>
      <c r="T166" s="73"/>
      <c r="U166" s="73"/>
      <c r="V166" s="73"/>
      <c r="W166" s="232"/>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31"/>
      <c r="AZ166" s="31"/>
      <c r="BA166" s="234"/>
      <c r="BB166" s="234"/>
      <c r="BC166" s="41" t="s">
        <v>1163</v>
      </c>
      <c r="BD166" s="260">
        <f>IF('Indata byggnad och BBR krav'!$C$17&gt;0,BE164*1000/('Indata byggnad och BBR krav'!$C$16*'Indata byggnad och BBR krav'!$C$17/100),0)</f>
        <v>0</v>
      </c>
      <c r="BE166" s="59" t="s">
        <v>1302</v>
      </c>
      <c r="BF166" s="234"/>
      <c r="BG166" s="234"/>
      <c r="BH166" s="234"/>
      <c r="BI166" s="234"/>
      <c r="BJ166" s="234"/>
      <c r="BK166" s="234"/>
      <c r="BL166" s="234"/>
      <c r="BM166" s="234"/>
      <c r="BN166" s="234"/>
      <c r="BO166" s="234"/>
      <c r="BP166" s="234"/>
      <c r="BQ166" s="234"/>
      <c r="BR166" s="234"/>
      <c r="BS166" s="234"/>
      <c r="BT166" s="234"/>
      <c r="BU166" s="234"/>
      <c r="BV166" s="234"/>
      <c r="BW166" s="234"/>
      <c r="BX166" s="234"/>
      <c r="BY166" s="234"/>
      <c r="BZ166" s="234"/>
      <c r="CA166" s="234"/>
      <c r="CB166" s="234"/>
      <c r="CC166" s="234"/>
      <c r="CD166" s="234"/>
      <c r="CE166" s="234"/>
      <c r="CF166" s="234"/>
      <c r="CG166" s="234"/>
      <c r="CH166" s="234"/>
      <c r="CI166" s="234"/>
      <c r="CJ166" s="234"/>
      <c r="CK166" s="234"/>
      <c r="CL166" s="234"/>
      <c r="CM166" s="234"/>
      <c r="CN166" s="234"/>
      <c r="CO166" s="234"/>
      <c r="CP166" s="234"/>
      <c r="CQ166" s="234"/>
      <c r="CR166" s="234"/>
      <c r="CS166" s="31"/>
      <c r="CT166" s="234"/>
      <c r="CU166" s="234"/>
      <c r="CV166" s="234"/>
      <c r="CW166" s="234"/>
      <c r="CX166" s="234"/>
      <c r="CY166" s="234"/>
      <c r="CZ166" s="234"/>
      <c r="DA166" s="234"/>
      <c r="DB166" s="234"/>
      <c r="DC166" s="234"/>
      <c r="DD166" s="234"/>
      <c r="DE166" s="234"/>
      <c r="DF166" s="234"/>
      <c r="DG166" s="234"/>
      <c r="DH166" s="234"/>
      <c r="DI166" s="234"/>
      <c r="DJ166" s="234"/>
      <c r="DK166" s="234"/>
      <c r="DL166" s="234"/>
      <c r="DM166" s="234"/>
      <c r="DN166" s="234"/>
      <c r="DO166" s="234"/>
      <c r="DP166" s="234"/>
      <c r="DQ166" s="234"/>
      <c r="DR166" s="234"/>
      <c r="DS166" s="234"/>
      <c r="DT166" s="234"/>
    </row>
    <row r="167" spans="1:124" s="231" customFormat="1" ht="16.5" customHeight="1" x14ac:dyDescent="0.25">
      <c r="A167" s="232"/>
      <c r="B167" s="250"/>
      <c r="C167" s="250"/>
      <c r="D167" s="250"/>
      <c r="E167" s="232"/>
      <c r="F167" s="387">
        <f t="shared" ca="1" si="289"/>
        <v>2017</v>
      </c>
      <c r="G167" s="387" t="str">
        <f t="shared" ca="1" si="285"/>
        <v>sept</v>
      </c>
      <c r="H167" s="70"/>
      <c r="I167" s="109">
        <f t="shared" si="286"/>
        <v>0</v>
      </c>
      <c r="J167" s="394"/>
      <c r="K167" s="73"/>
      <c r="L167" s="109">
        <f t="shared" si="287"/>
        <v>0</v>
      </c>
      <c r="M167" s="394"/>
      <c r="N167" s="73"/>
      <c r="O167" s="109">
        <f t="shared" si="288"/>
        <v>0</v>
      </c>
      <c r="P167" s="394"/>
      <c r="Q167" s="73"/>
      <c r="R167" s="73"/>
      <c r="S167" s="73"/>
      <c r="T167" s="73"/>
      <c r="U167" s="73"/>
      <c r="V167" s="73"/>
      <c r="W167" s="232"/>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31"/>
      <c r="AZ167" s="31"/>
      <c r="BA167" s="234"/>
      <c r="BB167" s="234"/>
      <c r="BC167" s="122" t="s">
        <v>1164</v>
      </c>
      <c r="BD167" s="85">
        <v>30</v>
      </c>
      <c r="BE167" s="49"/>
      <c r="BF167" s="234"/>
      <c r="BG167" s="234"/>
      <c r="BH167" s="234"/>
      <c r="BI167" s="234"/>
      <c r="BJ167" s="234"/>
      <c r="BK167" s="234"/>
      <c r="BL167" s="234"/>
      <c r="BM167" s="234"/>
      <c r="BN167" s="234"/>
      <c r="BO167" s="234"/>
      <c r="BP167" s="234"/>
      <c r="BQ167" s="234"/>
      <c r="BR167" s="234"/>
      <c r="BS167" s="234"/>
      <c r="BT167" s="234"/>
      <c r="BU167" s="234"/>
      <c r="BV167" s="234"/>
      <c r="BW167" s="234"/>
      <c r="BX167" s="234"/>
      <c r="BY167" s="234"/>
      <c r="BZ167" s="234"/>
      <c r="CA167" s="234"/>
      <c r="CB167" s="234"/>
      <c r="CC167" s="234"/>
      <c r="CD167" s="234"/>
      <c r="CE167" s="234"/>
      <c r="CF167" s="234"/>
      <c r="CG167" s="234"/>
      <c r="CH167" s="234"/>
      <c r="CI167" s="234"/>
      <c r="CJ167" s="234"/>
      <c r="CK167" s="234"/>
      <c r="CL167" s="234"/>
      <c r="CM167" s="234"/>
      <c r="CN167" s="234"/>
      <c r="CO167" s="234"/>
      <c r="CP167" s="234"/>
      <c r="CQ167" s="234"/>
      <c r="CR167" s="234"/>
      <c r="CS167" s="31"/>
      <c r="CT167" s="234"/>
      <c r="CU167" s="234"/>
      <c r="CV167" s="234"/>
      <c r="CW167" s="234"/>
      <c r="CX167" s="234"/>
      <c r="CY167" s="234"/>
      <c r="CZ167" s="234"/>
      <c r="DA167" s="234"/>
      <c r="DB167" s="234"/>
      <c r="DC167" s="234"/>
      <c r="DD167" s="234"/>
      <c r="DE167" s="234"/>
      <c r="DF167" s="234"/>
      <c r="DG167" s="234"/>
      <c r="DH167" s="234"/>
      <c r="DI167" s="234"/>
      <c r="DJ167" s="234"/>
      <c r="DK167" s="234"/>
      <c r="DL167" s="234"/>
      <c r="DM167" s="234"/>
      <c r="DN167" s="234"/>
      <c r="DO167" s="234"/>
      <c r="DP167" s="234"/>
      <c r="DQ167" s="234"/>
      <c r="DR167" s="234"/>
      <c r="DS167" s="234"/>
      <c r="DT167" s="234"/>
    </row>
    <row r="168" spans="1:124" s="231" customFormat="1" ht="16.5" customHeight="1" x14ac:dyDescent="0.25">
      <c r="A168" s="232"/>
      <c r="B168" s="250"/>
      <c r="C168" s="250"/>
      <c r="D168" s="250"/>
      <c r="E168" s="232"/>
      <c r="F168" s="387">
        <f t="shared" ca="1" si="289"/>
        <v>2017</v>
      </c>
      <c r="G168" s="387" t="str">
        <f t="shared" ca="1" si="285"/>
        <v>okt</v>
      </c>
      <c r="H168" s="70"/>
      <c r="I168" s="109">
        <f t="shared" si="286"/>
        <v>0</v>
      </c>
      <c r="J168" s="394"/>
      <c r="K168" s="73"/>
      <c r="L168" s="109">
        <f t="shared" si="287"/>
        <v>0</v>
      </c>
      <c r="M168" s="394"/>
      <c r="N168" s="73"/>
      <c r="O168" s="109">
        <f t="shared" si="288"/>
        <v>0</v>
      </c>
      <c r="P168" s="394"/>
      <c r="Q168" s="73"/>
      <c r="R168" s="73"/>
      <c r="S168" s="73"/>
      <c r="T168" s="73"/>
      <c r="U168" s="73"/>
      <c r="V168" s="73"/>
      <c r="W168" s="232"/>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31"/>
      <c r="AZ168" s="31"/>
      <c r="BA168" s="234"/>
      <c r="BB168" s="234"/>
      <c r="BC168" s="122" t="s">
        <v>1166</v>
      </c>
      <c r="BD168" s="47">
        <f>IF(BD166&gt;0,BD166-BD167,0)</f>
        <v>0</v>
      </c>
      <c r="BE168" s="49"/>
      <c r="BF168" s="234"/>
      <c r="BG168" s="234"/>
      <c r="BH168" s="234"/>
      <c r="BI168" s="234"/>
      <c r="BJ168" s="234"/>
      <c r="BK168" s="234"/>
      <c r="BL168" s="234"/>
      <c r="BM168" s="234"/>
      <c r="BN168" s="234"/>
      <c r="BO168" s="234"/>
      <c r="BP168" s="234"/>
      <c r="BQ168" s="234"/>
      <c r="BR168" s="234"/>
      <c r="BS168" s="234"/>
      <c r="BT168" s="234"/>
      <c r="BU168" s="31"/>
      <c r="BV168" s="31"/>
      <c r="BW168" s="31"/>
      <c r="BX168" s="31"/>
      <c r="BY168" s="234"/>
      <c r="BZ168" s="234"/>
      <c r="CA168" s="234"/>
      <c r="CB168" s="234"/>
      <c r="CC168" s="234"/>
      <c r="CD168" s="234"/>
      <c r="CE168" s="234"/>
      <c r="CF168" s="234"/>
      <c r="CG168" s="234"/>
      <c r="CH168" s="234"/>
      <c r="CI168" s="31"/>
      <c r="CJ168" s="31"/>
      <c r="CK168" s="31"/>
      <c r="CL168" s="31"/>
      <c r="CM168" s="31"/>
      <c r="CN168" s="31"/>
      <c r="CO168" s="31"/>
      <c r="CP168" s="31"/>
      <c r="CQ168" s="31"/>
      <c r="CR168" s="31"/>
      <c r="CS168" s="31"/>
      <c r="CT168" s="31"/>
      <c r="CU168" s="31"/>
      <c r="CV168" s="31"/>
      <c r="CW168" s="31"/>
      <c r="CX168" s="31"/>
      <c r="CY168" s="234"/>
      <c r="CZ168" s="234"/>
      <c r="DA168" s="234"/>
      <c r="DB168" s="234"/>
      <c r="DC168" s="234"/>
      <c r="DD168" s="234"/>
      <c r="DE168" s="234"/>
      <c r="DF168" s="234"/>
      <c r="DG168" s="234"/>
      <c r="DH168" s="234"/>
      <c r="DI168" s="234"/>
      <c r="DJ168" s="234"/>
      <c r="DK168" s="234"/>
      <c r="DL168" s="234"/>
      <c r="DM168" s="234"/>
      <c r="DN168" s="234"/>
      <c r="DO168" s="234"/>
      <c r="DP168" s="234"/>
      <c r="DQ168" s="234"/>
      <c r="DR168" s="234"/>
      <c r="DS168" s="234"/>
      <c r="DT168" s="234"/>
    </row>
    <row r="169" spans="1:124" s="231" customFormat="1" ht="16.5" customHeight="1" x14ac:dyDescent="0.25">
      <c r="A169" s="232"/>
      <c r="B169" s="250"/>
      <c r="C169" s="250"/>
      <c r="D169" s="250"/>
      <c r="E169" s="232"/>
      <c r="F169" s="387">
        <f t="shared" ca="1" si="289"/>
        <v>2017</v>
      </c>
      <c r="G169" s="387" t="str">
        <f t="shared" ca="1" si="285"/>
        <v>nov</v>
      </c>
      <c r="H169" s="70"/>
      <c r="I169" s="109">
        <f t="shared" si="286"/>
        <v>0</v>
      </c>
      <c r="J169" s="394"/>
      <c r="K169" s="73"/>
      <c r="L169" s="109">
        <f t="shared" si="287"/>
        <v>0</v>
      </c>
      <c r="M169" s="394"/>
      <c r="N169" s="73"/>
      <c r="O169" s="109">
        <f t="shared" si="288"/>
        <v>0</v>
      </c>
      <c r="P169" s="394"/>
      <c r="Q169" s="73"/>
      <c r="R169" s="73"/>
      <c r="S169" s="73"/>
      <c r="T169" s="73"/>
      <c r="U169" s="73"/>
      <c r="V169" s="73"/>
      <c r="W169" s="232"/>
      <c r="X169" s="266"/>
      <c r="Y169" s="242"/>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31"/>
      <c r="AZ169" s="31"/>
      <c r="BA169" s="31"/>
      <c r="BB169" s="31"/>
      <c r="BC169" s="122" t="s">
        <v>1165</v>
      </c>
      <c r="BD169" s="52" t="str">
        <f>IF(ABS(BD168)&gt;3,"Ja","Nej")</f>
        <v>Nej</v>
      </c>
      <c r="BE169" s="31"/>
      <c r="BF169" s="31"/>
      <c r="BG169" s="234"/>
      <c r="BH169" s="234"/>
      <c r="BI169" s="234"/>
      <c r="BJ169" s="234"/>
      <c r="BK169" s="234"/>
      <c r="BL169" s="31"/>
      <c r="BM169" s="31"/>
      <c r="BN169" s="31"/>
      <c r="BO169" s="31"/>
      <c r="BP169" s="31"/>
      <c r="BQ169" s="31"/>
      <c r="BR169" s="31"/>
      <c r="BS169" s="31"/>
      <c r="BT169" s="31"/>
      <c r="BU169" s="31"/>
      <c r="BV169" s="31"/>
      <c r="BW169" s="31"/>
      <c r="BX169" s="31"/>
      <c r="BY169" s="234"/>
      <c r="BZ169" s="234"/>
      <c r="CA169" s="234"/>
      <c r="CB169" s="234"/>
      <c r="CC169" s="234"/>
      <c r="CD169" s="234"/>
      <c r="CE169" s="234"/>
      <c r="CF169" s="234"/>
      <c r="CG169" s="234"/>
      <c r="CH169" s="234"/>
      <c r="CI169" s="31"/>
      <c r="CJ169" s="31"/>
      <c r="CK169" s="31"/>
      <c r="CL169" s="31"/>
      <c r="CM169" s="31"/>
      <c r="CN169" s="31"/>
      <c r="CO169" s="31"/>
      <c r="CP169" s="31"/>
      <c r="CQ169" s="31"/>
      <c r="CR169" s="31"/>
      <c r="CS169" s="31"/>
      <c r="CT169" s="31"/>
      <c r="CU169" s="31"/>
      <c r="CV169" s="31"/>
      <c r="CW169" s="31"/>
      <c r="CX169" s="31"/>
      <c r="CY169" s="234"/>
      <c r="CZ169" s="234"/>
      <c r="DA169" s="234"/>
      <c r="DB169" s="234"/>
      <c r="DC169" s="234"/>
      <c r="DD169" s="234"/>
      <c r="DE169" s="234"/>
      <c r="DF169" s="234"/>
      <c r="DG169" s="234"/>
      <c r="DH169" s="234"/>
      <c r="DI169" s="234"/>
      <c r="DJ169" s="234"/>
      <c r="DK169" s="234"/>
      <c r="DL169" s="234"/>
      <c r="DM169" s="234"/>
      <c r="DN169" s="234"/>
      <c r="DO169" s="234"/>
      <c r="DP169" s="234"/>
      <c r="DQ169" s="234"/>
      <c r="DR169" s="234"/>
      <c r="DS169" s="234"/>
      <c r="DT169" s="234"/>
    </row>
    <row r="170" spans="1:124" s="231" customFormat="1" ht="16.5" customHeight="1" x14ac:dyDescent="0.25">
      <c r="A170" s="232"/>
      <c r="B170" s="250"/>
      <c r="C170" s="250"/>
      <c r="D170" s="250"/>
      <c r="E170" s="232"/>
      <c r="F170" s="387">
        <f t="shared" ca="1" si="289"/>
        <v>2017</v>
      </c>
      <c r="G170" s="387" t="str">
        <f t="shared" ca="1" si="285"/>
        <v>dec</v>
      </c>
      <c r="H170" s="70"/>
      <c r="I170" s="109">
        <f t="shared" si="286"/>
        <v>0</v>
      </c>
      <c r="J170" s="394"/>
      <c r="K170" s="73"/>
      <c r="L170" s="109">
        <f t="shared" si="287"/>
        <v>0</v>
      </c>
      <c r="M170" s="394"/>
      <c r="N170" s="73"/>
      <c r="O170" s="109">
        <f t="shared" si="288"/>
        <v>0</v>
      </c>
      <c r="P170" s="394"/>
      <c r="Q170" s="73"/>
      <c r="R170" s="73"/>
      <c r="S170" s="73"/>
      <c r="T170" s="73"/>
      <c r="U170" s="73"/>
      <c r="V170" s="73"/>
      <c r="W170" s="232"/>
      <c r="X170" s="266"/>
      <c r="Y170" s="242"/>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31"/>
      <c r="AZ170" s="31"/>
      <c r="BA170" s="31"/>
      <c r="BB170" s="31"/>
      <c r="BC170" s="122" t="s">
        <v>1167</v>
      </c>
      <c r="BD170" s="46">
        <f ca="1">$BK$31</f>
        <v>2880</v>
      </c>
      <c r="BE170" s="123"/>
      <c r="BF170" s="124"/>
      <c r="BG170" s="234"/>
      <c r="BH170" s="234"/>
      <c r="BI170" s="234"/>
      <c r="BJ170" s="234"/>
      <c r="BK170" s="234"/>
      <c r="BL170" s="31"/>
      <c r="BM170" s="31"/>
      <c r="BN170" s="31"/>
      <c r="BO170" s="31"/>
      <c r="BP170" s="31"/>
      <c r="BQ170" s="31"/>
      <c r="BR170" s="31"/>
      <c r="BS170" s="31"/>
      <c r="BT170" s="31"/>
      <c r="BU170" s="31"/>
      <c r="BV170" s="31"/>
      <c r="BW170" s="31"/>
      <c r="BX170" s="31"/>
      <c r="BY170" s="234"/>
      <c r="BZ170" s="234"/>
      <c r="CA170" s="234"/>
      <c r="CB170" s="234"/>
      <c r="CC170" s="234"/>
      <c r="CD170" s="234"/>
      <c r="CE170" s="234"/>
      <c r="CF170" s="234"/>
      <c r="CG170" s="234"/>
      <c r="CH170" s="234"/>
      <c r="CI170" s="31"/>
      <c r="CJ170" s="31"/>
      <c r="CK170" s="31"/>
      <c r="CL170" s="31"/>
      <c r="CM170" s="31"/>
      <c r="CN170" s="31"/>
      <c r="CO170" s="31"/>
      <c r="CP170" s="31"/>
      <c r="CQ170" s="31"/>
      <c r="CR170" s="31"/>
      <c r="CS170" s="31"/>
      <c r="CT170" s="31"/>
      <c r="CU170" s="31"/>
      <c r="CV170" s="31"/>
      <c r="CW170" s="31"/>
      <c r="CX170" s="31"/>
      <c r="CY170" s="234"/>
      <c r="CZ170" s="234"/>
      <c r="DA170" s="234"/>
      <c r="DB170" s="234"/>
      <c r="DC170" s="234"/>
      <c r="DD170" s="234"/>
      <c r="DE170" s="234"/>
      <c r="DF170" s="234"/>
      <c r="DG170" s="234"/>
      <c r="DH170" s="234"/>
      <c r="DI170" s="234"/>
      <c r="DJ170" s="234"/>
      <c r="DK170" s="234"/>
      <c r="DL170" s="234"/>
      <c r="DM170" s="234"/>
      <c r="DN170" s="234"/>
      <c r="DO170" s="234"/>
      <c r="DP170" s="234"/>
      <c r="DQ170" s="234"/>
      <c r="DR170" s="234"/>
      <c r="DS170" s="234"/>
      <c r="DT170" s="234"/>
    </row>
    <row r="171" spans="1:124" s="231" customFormat="1" ht="16.5" customHeight="1" x14ac:dyDescent="0.25">
      <c r="A171" s="232"/>
      <c r="B171" s="250"/>
      <c r="C171" s="232"/>
      <c r="D171" s="232"/>
      <c r="E171" s="251"/>
      <c r="I171" s="269">
        <f>SUM(I159:I170)</f>
        <v>0</v>
      </c>
      <c r="J171" s="269">
        <f>SUM(J159:J170)</f>
        <v>0</v>
      </c>
      <c r="K171" s="60"/>
      <c r="L171" s="269">
        <f>SUM(L159:L170)</f>
        <v>0</v>
      </c>
      <c r="M171" s="269">
        <f>SUM(M159:M170)</f>
        <v>0</v>
      </c>
      <c r="N171" s="60"/>
      <c r="O171" s="269">
        <f>SUM(O159:O170)</f>
        <v>0</v>
      </c>
      <c r="P171" s="269">
        <f>SUM(P159:P170)</f>
        <v>0</v>
      </c>
      <c r="Q171" s="250"/>
      <c r="R171" s="250"/>
      <c r="S171" s="250"/>
      <c r="T171" s="250"/>
      <c r="U171" s="250"/>
      <c r="V171" s="250"/>
      <c r="W171" s="232"/>
      <c r="X171" s="266"/>
      <c r="Y171" s="266"/>
      <c r="Z171" s="266"/>
      <c r="AA171" s="266"/>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31"/>
      <c r="AZ171" s="31"/>
      <c r="BA171" s="31"/>
      <c r="BB171" s="31"/>
      <c r="BC171" s="41" t="s">
        <v>1203</v>
      </c>
      <c r="BD171" s="46">
        <f>IF(BD169="Ja",BD168*0.7*'Indata byggnad och BBR krav'!$C$16*('Indata byggnad och BBR krav'!$C$17/100)*(BD170/8760),0)</f>
        <v>0</v>
      </c>
      <c r="BE171" s="31"/>
      <c r="BF171" s="124"/>
      <c r="BG171" s="234"/>
      <c r="BH171" s="234"/>
      <c r="BI171" s="234"/>
      <c r="BJ171" s="234"/>
      <c r="BK171" s="234"/>
      <c r="BL171" s="31"/>
      <c r="BM171" s="31"/>
      <c r="BN171" s="31"/>
      <c r="BO171" s="31"/>
      <c r="BP171" s="31"/>
      <c r="BQ171" s="31"/>
      <c r="BR171" s="31"/>
      <c r="BS171" s="31"/>
      <c r="BT171" s="31"/>
      <c r="BU171" s="31"/>
      <c r="BV171" s="31"/>
      <c r="BW171" s="31"/>
      <c r="BX171" s="31"/>
      <c r="BY171" s="234"/>
      <c r="BZ171" s="234"/>
      <c r="CA171" s="234"/>
      <c r="CB171" s="234"/>
      <c r="CC171" s="234"/>
      <c r="CD171" s="234"/>
      <c r="CE171" s="234"/>
      <c r="CF171" s="234"/>
      <c r="CG171" s="234"/>
      <c r="CH171" s="234"/>
      <c r="CI171" s="31"/>
      <c r="CJ171" s="31"/>
      <c r="CK171" s="31"/>
      <c r="CL171" s="31"/>
      <c r="CM171" s="31"/>
      <c r="CN171" s="31"/>
      <c r="CO171" s="31"/>
      <c r="CP171" s="31"/>
      <c r="CQ171" s="31"/>
      <c r="CR171" s="31"/>
      <c r="CS171" s="31"/>
      <c r="CT171" s="31"/>
      <c r="CU171" s="31"/>
      <c r="CV171" s="31"/>
      <c r="CW171" s="31"/>
      <c r="CX171" s="31"/>
      <c r="CY171" s="234"/>
      <c r="CZ171" s="234"/>
      <c r="DA171" s="234"/>
      <c r="DB171" s="234"/>
      <c r="DC171" s="234"/>
      <c r="DD171" s="234"/>
      <c r="DE171" s="234"/>
      <c r="DF171" s="234"/>
      <c r="DG171" s="234"/>
      <c r="DH171" s="234"/>
      <c r="DI171" s="234"/>
      <c r="DJ171" s="234"/>
      <c r="DK171" s="234"/>
      <c r="DL171" s="234"/>
      <c r="DM171" s="234"/>
      <c r="DN171" s="234"/>
      <c r="DO171" s="234"/>
      <c r="DP171" s="234"/>
      <c r="DQ171" s="234"/>
      <c r="DR171" s="234"/>
      <c r="DS171" s="234"/>
      <c r="DT171" s="234"/>
    </row>
    <row r="172" spans="1:124" s="231" customFormat="1" ht="16.5" customHeight="1" x14ac:dyDescent="0.25">
      <c r="A172" s="232"/>
      <c r="B172" s="250"/>
      <c r="C172" s="232"/>
      <c r="D172" s="232"/>
      <c r="E172" s="251"/>
      <c r="G172" s="367" t="str">
        <f>IF(OR(AN153="Fel i indata",AN154="Fel i indata",AN155="Fel i indata",AN156="Fel i indata",AN157="Fel i indata",AN158="Fel i indata",AN159="Fel i indata",AN160="Fel i indata",AN161="Fel i indata",AN162="Fel i indata",AN163="Fel i indata",AN152="Fel i indata"),"Fel i indata","")</f>
        <v/>
      </c>
      <c r="I172" s="221" t="str">
        <f>IF(G172="Fel i indata","OBS! Se över din indata, energi för hushållssenergi blir negativ efter avdrag för elgolvvärme om mätvärdena ingår i uppmätt hushållsenergi!","")</f>
        <v/>
      </c>
      <c r="J172" s="221"/>
      <c r="M172" s="250"/>
      <c r="N172" s="250"/>
      <c r="O172" s="250"/>
      <c r="P172" s="250"/>
      <c r="Q172" s="250"/>
      <c r="R172" s="250"/>
      <c r="S172" s="250"/>
      <c r="T172" s="250"/>
      <c r="U172" s="250"/>
      <c r="V172" s="250"/>
      <c r="W172" s="232"/>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31"/>
      <c r="AZ172" s="31"/>
      <c r="BA172" s="31"/>
      <c r="BB172" s="31"/>
      <c r="BC172" s="31"/>
      <c r="BD172" s="31"/>
      <c r="BE172" s="31"/>
      <c r="BF172" s="31"/>
      <c r="BG172" s="234"/>
      <c r="BH172" s="234"/>
      <c r="BI172" s="234"/>
      <c r="BJ172" s="234"/>
      <c r="BK172" s="234"/>
      <c r="BL172" s="31"/>
      <c r="BM172" s="31"/>
      <c r="BN172" s="31"/>
      <c r="BO172" s="31"/>
      <c r="BP172" s="234"/>
      <c r="BQ172" s="234"/>
      <c r="BR172" s="234"/>
      <c r="BS172" s="234"/>
      <c r="BT172" s="234"/>
      <c r="BU172" s="234"/>
      <c r="BV172" s="234"/>
      <c r="BW172" s="234"/>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234"/>
      <c r="CZ172" s="234"/>
      <c r="DA172" s="234"/>
      <c r="DB172" s="234"/>
      <c r="DC172" s="234"/>
      <c r="DD172" s="234"/>
      <c r="DE172" s="234"/>
      <c r="DF172" s="234"/>
      <c r="DG172" s="234"/>
      <c r="DH172" s="234"/>
      <c r="DI172" s="234"/>
      <c r="DJ172" s="234"/>
      <c r="DK172" s="234"/>
      <c r="DL172" s="234"/>
      <c r="DM172" s="234"/>
      <c r="DN172" s="234"/>
      <c r="DO172" s="234"/>
      <c r="DP172" s="234"/>
      <c r="DQ172" s="234"/>
      <c r="DR172" s="234"/>
      <c r="DS172" s="234"/>
      <c r="DT172" s="234"/>
    </row>
    <row r="173" spans="1:124" s="231" customFormat="1" ht="16.5" customHeight="1" x14ac:dyDescent="0.25">
      <c r="A173" s="232"/>
      <c r="B173" s="250"/>
      <c r="C173" s="232"/>
      <c r="D173" s="232"/>
      <c r="E173" s="251"/>
      <c r="I173" s="250"/>
      <c r="J173" s="250"/>
      <c r="K173" s="250"/>
      <c r="L173" s="250"/>
      <c r="M173" s="250"/>
      <c r="N173" s="250"/>
      <c r="O173" s="250"/>
      <c r="P173" s="250"/>
      <c r="Q173" s="250"/>
      <c r="R173" s="250"/>
      <c r="S173" s="250"/>
      <c r="T173" s="250"/>
      <c r="U173" s="250"/>
      <c r="V173" s="250"/>
      <c r="W173" s="232"/>
      <c r="X173" s="266"/>
      <c r="Y173" s="266"/>
      <c r="Z173" s="266"/>
      <c r="AA173" s="266"/>
      <c r="AB173" s="266"/>
      <c r="AC173" s="266"/>
      <c r="AD173" s="266"/>
      <c r="AE173" s="266"/>
      <c r="AF173" s="266"/>
      <c r="AG173" s="266"/>
      <c r="AH173" s="266"/>
      <c r="AI173" s="266"/>
      <c r="AJ173" s="233"/>
      <c r="AK173" s="233"/>
      <c r="AL173" s="233"/>
      <c r="AM173" s="266"/>
      <c r="AN173" s="266"/>
      <c r="AO173" s="266"/>
      <c r="AP173" s="266"/>
      <c r="AQ173" s="266"/>
      <c r="AR173" s="266"/>
      <c r="AS173" s="266"/>
      <c r="AT173" s="266"/>
      <c r="AU173" s="266"/>
      <c r="AV173" s="266"/>
      <c r="AW173" s="266"/>
      <c r="AX173" s="266"/>
      <c r="AY173" s="234"/>
      <c r="AZ173" s="234"/>
      <c r="BA173" s="234"/>
      <c r="BB173" s="234"/>
      <c r="BC173" s="234"/>
      <c r="BD173" s="234"/>
      <c r="BE173" s="234"/>
      <c r="BF173" s="234"/>
      <c r="BG173" s="234"/>
      <c r="BH173" s="234"/>
      <c r="BI173" s="234"/>
      <c r="BJ173" s="234"/>
      <c r="BK173" s="234"/>
      <c r="BL173" s="31"/>
      <c r="BM173" s="31"/>
      <c r="BN173" s="31"/>
      <c r="BO173" s="31"/>
      <c r="BP173" s="234"/>
      <c r="BQ173" s="234"/>
      <c r="BR173" s="234"/>
      <c r="BS173" s="234"/>
      <c r="BT173" s="234"/>
      <c r="BU173" s="234"/>
      <c r="BV173" s="234"/>
      <c r="BW173" s="234"/>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234"/>
      <c r="CZ173" s="234"/>
      <c r="DA173" s="234"/>
      <c r="DB173" s="234"/>
      <c r="DC173" s="234"/>
      <c r="DD173" s="234"/>
      <c r="DE173" s="234"/>
      <c r="DF173" s="234"/>
      <c r="DG173" s="234"/>
      <c r="DH173" s="234"/>
      <c r="DI173" s="234"/>
      <c r="DJ173" s="234"/>
      <c r="DK173" s="234"/>
      <c r="DL173" s="234"/>
      <c r="DM173" s="234"/>
      <c r="DN173" s="234"/>
      <c r="DO173" s="234"/>
      <c r="DP173" s="234"/>
      <c r="DQ173" s="234"/>
      <c r="DR173" s="234"/>
      <c r="DS173" s="234"/>
      <c r="DT173" s="234"/>
    </row>
    <row r="174" spans="1:124" s="231" customFormat="1" ht="16.5" customHeight="1" x14ac:dyDescent="0.25">
      <c r="A174" s="232"/>
      <c r="B174" s="382">
        <v>7</v>
      </c>
      <c r="C174" s="383" t="s">
        <v>1350</v>
      </c>
      <c r="D174" s="384"/>
      <c r="E174" s="385"/>
      <c r="F174" s="384"/>
      <c r="G174" s="384"/>
      <c r="H174" s="384"/>
      <c r="I174" s="384"/>
      <c r="J174" s="384"/>
      <c r="K174" s="384"/>
      <c r="L174" s="384"/>
      <c r="M174" s="385"/>
      <c r="N174" s="385"/>
      <c r="O174" s="385"/>
      <c r="P174" s="385"/>
      <c r="Q174" s="385"/>
      <c r="R174" s="385"/>
      <c r="S174" s="385"/>
      <c r="T174" s="385"/>
      <c r="U174" s="385"/>
      <c r="V174" s="385"/>
      <c r="W174" s="386"/>
      <c r="X174" s="266"/>
      <c r="Y174" s="266"/>
      <c r="Z174" s="266"/>
      <c r="AA174" s="266"/>
      <c r="AB174" s="266"/>
      <c r="AC174" s="266"/>
      <c r="AD174" s="266"/>
      <c r="AE174" s="266"/>
      <c r="AF174" s="266"/>
      <c r="AG174" s="266"/>
      <c r="AH174" s="266"/>
      <c r="AI174" s="266"/>
      <c r="AJ174" s="233"/>
      <c r="AK174" s="233"/>
      <c r="AL174" s="233"/>
      <c r="AM174" s="266"/>
      <c r="AN174" s="266"/>
      <c r="AO174" s="266"/>
      <c r="AP174" s="266"/>
      <c r="AQ174" s="266"/>
      <c r="AR174" s="266"/>
      <c r="AS174" s="266"/>
      <c r="AT174" s="266"/>
      <c r="AU174" s="266"/>
      <c r="AV174" s="266"/>
      <c r="AW174" s="266"/>
      <c r="AX174" s="266"/>
      <c r="AY174" s="31"/>
      <c r="AZ174" s="31"/>
      <c r="BA174" s="31"/>
      <c r="BB174" s="31"/>
      <c r="BC174" s="31"/>
      <c r="BD174" s="31"/>
      <c r="BE174" s="31"/>
      <c r="BF174" s="31"/>
      <c r="BG174" s="31"/>
      <c r="BH174" s="31"/>
      <c r="BI174" s="31"/>
      <c r="BJ174" s="31"/>
      <c r="BK174" s="31"/>
      <c r="BL174" s="31"/>
      <c r="BM174" s="31"/>
      <c r="BN174" s="31"/>
      <c r="BO174" s="31"/>
      <c r="BP174" s="234"/>
      <c r="BQ174" s="234"/>
      <c r="BR174" s="234"/>
      <c r="BS174" s="234"/>
      <c r="BT174" s="234"/>
      <c r="BU174" s="234"/>
      <c r="BV174" s="234"/>
      <c r="BW174" s="234"/>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234"/>
      <c r="CZ174" s="234"/>
      <c r="DA174" s="234"/>
      <c r="DB174" s="234"/>
      <c r="DC174" s="234"/>
      <c r="DD174" s="234"/>
      <c r="DE174" s="234"/>
      <c r="DF174" s="234"/>
      <c r="DG174" s="234"/>
      <c r="DH174" s="234"/>
      <c r="DI174" s="234"/>
      <c r="DJ174" s="234"/>
      <c r="DK174" s="234"/>
      <c r="DL174" s="234"/>
      <c r="DM174" s="234"/>
      <c r="DN174" s="234"/>
      <c r="DO174" s="234"/>
      <c r="DP174" s="234"/>
      <c r="DQ174" s="234"/>
      <c r="DR174" s="234"/>
      <c r="DS174" s="234"/>
      <c r="DT174" s="234"/>
    </row>
    <row r="175" spans="1:124" s="231" customFormat="1" ht="16.5" hidden="1" customHeight="1" x14ac:dyDescent="0.25">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66"/>
      <c r="Y175" s="266"/>
      <c r="Z175" s="266"/>
      <c r="AA175" s="266"/>
      <c r="AB175" s="266"/>
      <c r="AC175" s="266"/>
      <c r="AD175" s="266"/>
      <c r="AE175" s="266"/>
      <c r="AF175" s="266"/>
      <c r="AG175" s="266"/>
      <c r="AH175" s="266"/>
      <c r="AI175" s="266"/>
      <c r="AJ175" s="233"/>
      <c r="AK175" s="233"/>
      <c r="AL175" s="233"/>
      <c r="AM175" s="266"/>
      <c r="AN175" s="266"/>
      <c r="AO175" s="266"/>
      <c r="AP175" s="266"/>
      <c r="AQ175" s="266"/>
      <c r="AR175" s="266"/>
      <c r="AS175" s="266"/>
      <c r="AT175" s="266"/>
      <c r="AU175" s="266"/>
      <c r="AV175" s="266"/>
      <c r="AW175" s="266"/>
      <c r="AX175" s="266"/>
      <c r="AY175" s="31"/>
      <c r="AZ175" s="31"/>
      <c r="BA175" s="31"/>
      <c r="BB175" s="31"/>
      <c r="BC175" s="31"/>
      <c r="BD175" s="31"/>
      <c r="BE175" s="31"/>
      <c r="BF175" s="31"/>
      <c r="BG175" s="31"/>
      <c r="BH175" s="31"/>
      <c r="BI175" s="31"/>
      <c r="BJ175" s="31"/>
      <c r="BK175" s="31"/>
      <c r="BL175" s="31"/>
      <c r="BM175" s="31"/>
      <c r="BN175" s="31"/>
      <c r="BO175" s="31"/>
      <c r="BP175" s="234"/>
      <c r="BQ175" s="234"/>
      <c r="BR175" s="234"/>
      <c r="BS175" s="234"/>
      <c r="BT175" s="234"/>
      <c r="BU175" s="234"/>
      <c r="BV175" s="234"/>
      <c r="BW175" s="234"/>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234"/>
      <c r="CZ175" s="234"/>
      <c r="DA175" s="234"/>
      <c r="DB175" s="234"/>
      <c r="DC175" s="234"/>
      <c r="DD175" s="234"/>
      <c r="DE175" s="234"/>
      <c r="DF175" s="234"/>
      <c r="DG175" s="234"/>
      <c r="DH175" s="234"/>
      <c r="DI175" s="234"/>
      <c r="DJ175" s="234"/>
      <c r="DK175" s="234"/>
      <c r="DL175" s="234"/>
      <c r="DM175" s="234"/>
      <c r="DN175" s="234"/>
      <c r="DO175" s="234"/>
      <c r="DP175" s="234"/>
      <c r="DQ175" s="234"/>
      <c r="DR175" s="234"/>
      <c r="DS175" s="234"/>
      <c r="DT175" s="234"/>
    </row>
    <row r="176" spans="1:124" s="231" customFormat="1" ht="21.75" customHeight="1" x14ac:dyDescent="0.25">
      <c r="A176" s="232"/>
      <c r="B176" s="232"/>
      <c r="C176" s="93"/>
      <c r="D176" s="60"/>
      <c r="E176" s="60"/>
      <c r="F176" s="217" t="s">
        <v>1356</v>
      </c>
      <c r="G176" s="250"/>
      <c r="H176" s="250"/>
      <c r="I176" s="232"/>
      <c r="J176" s="232"/>
      <c r="K176" s="232"/>
      <c r="L176" s="232"/>
      <c r="M176" s="232"/>
      <c r="N176" s="232"/>
      <c r="O176" s="232"/>
      <c r="P176" s="232"/>
      <c r="Q176" s="232"/>
      <c r="R176" s="232"/>
      <c r="S176" s="232"/>
      <c r="T176" s="232"/>
      <c r="U176" s="232"/>
      <c r="V176" s="232"/>
      <c r="W176" s="232"/>
      <c r="X176" s="266"/>
      <c r="Y176" s="266"/>
      <c r="Z176" s="266"/>
      <c r="AA176" s="266"/>
      <c r="AB176" s="266"/>
      <c r="AC176" s="266"/>
      <c r="AD176" s="266"/>
      <c r="AE176" s="266"/>
      <c r="AF176" s="266"/>
      <c r="AG176" s="266"/>
      <c r="AH176" s="266"/>
      <c r="AI176" s="266"/>
      <c r="AJ176" s="233"/>
      <c r="AK176" s="233"/>
      <c r="AL176" s="233"/>
      <c r="AM176" s="266"/>
      <c r="AN176" s="266"/>
      <c r="AO176" s="266"/>
      <c r="AP176" s="266"/>
      <c r="AQ176" s="266"/>
      <c r="AR176" s="266"/>
      <c r="AS176" s="266"/>
      <c r="AT176" s="266"/>
      <c r="AU176" s="266"/>
      <c r="AV176" s="266"/>
      <c r="AW176" s="266"/>
      <c r="AX176" s="266"/>
      <c r="AY176" s="31"/>
      <c r="AZ176" s="31"/>
      <c r="BA176" s="31"/>
      <c r="BB176" s="31"/>
      <c r="BC176" s="31"/>
      <c r="BD176" s="31"/>
      <c r="BE176" s="31"/>
      <c r="BF176" s="31"/>
      <c r="BG176" s="31"/>
      <c r="BH176" s="31"/>
      <c r="BI176" s="31"/>
      <c r="BJ176" s="31"/>
      <c r="BK176" s="31"/>
      <c r="BL176" s="31"/>
      <c r="BM176" s="31"/>
      <c r="BN176" s="31"/>
      <c r="BO176" s="31"/>
      <c r="BP176" s="234"/>
      <c r="BQ176" s="234"/>
      <c r="BR176" s="234"/>
      <c r="BS176" s="234"/>
      <c r="BT176" s="234"/>
      <c r="BU176" s="234"/>
      <c r="BV176" s="234"/>
      <c r="BW176" s="234"/>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234"/>
      <c r="CZ176" s="234"/>
      <c r="DA176" s="234"/>
      <c r="DB176" s="234"/>
      <c r="DC176" s="234"/>
      <c r="DD176" s="234"/>
      <c r="DE176" s="234"/>
      <c r="DF176" s="234"/>
      <c r="DG176" s="234"/>
      <c r="DH176" s="234"/>
      <c r="DI176" s="234"/>
      <c r="DJ176" s="234"/>
      <c r="DK176" s="234"/>
      <c r="DL176" s="234"/>
      <c r="DM176" s="234"/>
      <c r="DN176" s="234"/>
      <c r="DO176" s="234"/>
      <c r="DP176" s="234"/>
      <c r="DQ176" s="234"/>
      <c r="DR176" s="234"/>
      <c r="DS176" s="234"/>
      <c r="DT176" s="234"/>
    </row>
    <row r="177" spans="1:124" s="231" customFormat="1" ht="17.25" customHeight="1" x14ac:dyDescent="0.25">
      <c r="A177" s="232"/>
      <c r="B177" s="232"/>
      <c r="C177" s="268" t="s">
        <v>1279</v>
      </c>
      <c r="D177" s="368" t="s">
        <v>1280</v>
      </c>
      <c r="E177" s="232"/>
      <c r="F177" s="518"/>
      <c r="G177" s="519"/>
      <c r="H177" s="519"/>
      <c r="I177" s="519"/>
      <c r="J177" s="519"/>
      <c r="K177" s="519"/>
      <c r="L177" s="520"/>
      <c r="M177" s="232"/>
      <c r="N177" s="232"/>
      <c r="O177" s="232"/>
      <c r="P177" s="232"/>
      <c r="Q177" s="232"/>
      <c r="R177" s="232"/>
      <c r="S177" s="232"/>
      <c r="T177" s="232"/>
      <c r="U177" s="232"/>
      <c r="V177" s="232"/>
      <c r="W177" s="232"/>
      <c r="X177" s="266"/>
      <c r="Y177" s="266"/>
      <c r="Z177" s="266"/>
      <c r="AA177" s="266"/>
      <c r="AB177" s="266"/>
      <c r="AC177" s="266"/>
      <c r="AD177" s="266"/>
      <c r="AE177" s="266"/>
      <c r="AF177" s="266"/>
      <c r="AG177" s="266"/>
      <c r="AH177" s="266"/>
      <c r="AI177" s="266"/>
      <c r="AJ177" s="233"/>
      <c r="AK177" s="233"/>
      <c r="AL177" s="233"/>
      <c r="AM177" s="266"/>
      <c r="AN177" s="266"/>
      <c r="AO177" s="266"/>
      <c r="AP177" s="266"/>
      <c r="AQ177" s="266"/>
      <c r="AR177" s="266"/>
      <c r="AS177" s="266"/>
      <c r="AT177" s="266"/>
      <c r="AU177" s="266"/>
      <c r="AV177" s="266"/>
      <c r="AW177" s="266"/>
      <c r="AX177" s="266"/>
      <c r="AY177" s="31"/>
      <c r="AZ177" s="31"/>
      <c r="BA177" s="31"/>
      <c r="BB177" s="31"/>
      <c r="BC177" s="31"/>
      <c r="BD177" s="31"/>
      <c r="BE177" s="31"/>
      <c r="BF177" s="31"/>
      <c r="BG177" s="31"/>
      <c r="BH177" s="31"/>
      <c r="BI177" s="31"/>
      <c r="BJ177" s="31"/>
      <c r="BK177" s="31"/>
      <c r="BL177" s="31"/>
      <c r="BM177" s="31"/>
      <c r="BN177" s="31"/>
      <c r="BO177" s="31"/>
      <c r="BP177" s="234"/>
      <c r="BQ177" s="234"/>
      <c r="BR177" s="234"/>
      <c r="BS177" s="234"/>
      <c r="BT177" s="234"/>
      <c r="BU177" s="234"/>
      <c r="BV177" s="234"/>
      <c r="BW177" s="234"/>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row>
    <row r="178" spans="1:124" s="231" customFormat="1" ht="17.25" customHeight="1" x14ac:dyDescent="0.25">
      <c r="A178" s="232"/>
      <c r="B178" s="232"/>
      <c r="C178" s="232"/>
      <c r="D178" s="232"/>
      <c r="E178" s="232"/>
      <c r="F178" s="521"/>
      <c r="G178" s="522"/>
      <c r="H178" s="522"/>
      <c r="I178" s="522"/>
      <c r="J178" s="522"/>
      <c r="K178" s="522"/>
      <c r="L178" s="523"/>
      <c r="M178" s="232"/>
      <c r="N178" s="232"/>
      <c r="O178" s="232"/>
      <c r="P178" s="232"/>
      <c r="Q178" s="232"/>
      <c r="R178" s="232"/>
      <c r="S178" s="232"/>
      <c r="T178" s="232"/>
      <c r="U178" s="232"/>
      <c r="V178" s="232"/>
      <c r="W178" s="232"/>
      <c r="X178" s="266"/>
      <c r="Y178" s="266"/>
      <c r="Z178" s="266"/>
      <c r="AA178" s="266"/>
      <c r="AB178" s="266"/>
      <c r="AC178" s="266"/>
      <c r="AD178" s="266"/>
      <c r="AE178" s="266"/>
      <c r="AF178" s="266"/>
      <c r="AG178" s="266"/>
      <c r="AH178" s="266"/>
      <c r="AI178" s="266"/>
      <c r="AJ178" s="233"/>
      <c r="AK178" s="233"/>
      <c r="AL178" s="233"/>
      <c r="AM178" s="266"/>
      <c r="AN178" s="266"/>
      <c r="AO178" s="266"/>
      <c r="AP178" s="266"/>
      <c r="AQ178" s="266"/>
      <c r="AR178" s="266"/>
      <c r="AS178" s="266"/>
      <c r="AT178" s="266"/>
      <c r="AU178" s="266"/>
      <c r="AV178" s="266"/>
      <c r="AW178" s="266"/>
      <c r="AX178" s="266"/>
      <c r="AY178" s="31"/>
      <c r="AZ178" s="31"/>
      <c r="BA178" s="31"/>
      <c r="BB178" s="31"/>
      <c r="BC178" s="31"/>
      <c r="BD178" s="31"/>
      <c r="BE178" s="31"/>
      <c r="BF178" s="31"/>
      <c r="BG178" s="31"/>
      <c r="BH178" s="31"/>
      <c r="BI178" s="31"/>
      <c r="BJ178" s="31"/>
      <c r="BK178" s="31"/>
      <c r="BL178" s="31"/>
      <c r="BM178" s="31"/>
      <c r="BN178" s="31"/>
      <c r="BO178" s="31"/>
      <c r="BP178" s="234"/>
      <c r="BQ178" s="234"/>
      <c r="BR178" s="234"/>
      <c r="BS178" s="234"/>
      <c r="BT178" s="234"/>
      <c r="BU178" s="234"/>
      <c r="BV178" s="234"/>
      <c r="BW178" s="234"/>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234"/>
      <c r="CZ178" s="234"/>
      <c r="DA178" s="234"/>
      <c r="DB178" s="234"/>
      <c r="DC178" s="234"/>
      <c r="DD178" s="234"/>
      <c r="DE178" s="234"/>
      <c r="DF178" s="234"/>
      <c r="DG178" s="234"/>
      <c r="DH178" s="234"/>
      <c r="DI178" s="234"/>
      <c r="DJ178" s="234"/>
      <c r="DK178" s="234"/>
      <c r="DL178" s="234"/>
      <c r="DM178" s="234"/>
      <c r="DN178" s="234"/>
      <c r="DO178" s="234"/>
      <c r="DP178" s="234"/>
      <c r="DQ178" s="234"/>
      <c r="DR178" s="234"/>
      <c r="DS178" s="234"/>
      <c r="DT178" s="234"/>
    </row>
    <row r="179" spans="1:124" s="231" customFormat="1" ht="17.25" customHeight="1" x14ac:dyDescent="0.25">
      <c r="A179" s="232"/>
      <c r="B179" s="232"/>
      <c r="C179" s="268" t="s">
        <v>1171</v>
      </c>
      <c r="D179" s="368" t="s">
        <v>1071</v>
      </c>
      <c r="E179" s="232"/>
      <c r="F179" s="521"/>
      <c r="G179" s="522"/>
      <c r="H179" s="522"/>
      <c r="I179" s="522"/>
      <c r="J179" s="522"/>
      <c r="K179" s="522"/>
      <c r="L179" s="523"/>
      <c r="M179" s="232"/>
      <c r="N179" s="232"/>
      <c r="O179" s="232"/>
      <c r="P179" s="232"/>
      <c r="Q179" s="232"/>
      <c r="R179" s="232"/>
      <c r="S179" s="232"/>
      <c r="T179" s="232"/>
      <c r="U179" s="232"/>
      <c r="V179" s="232"/>
      <c r="W179" s="232"/>
      <c r="X179" s="266"/>
      <c r="Y179" s="266"/>
      <c r="Z179" s="266"/>
      <c r="AA179" s="266"/>
      <c r="AB179" s="266"/>
      <c r="AC179" s="266"/>
      <c r="AD179" s="266"/>
      <c r="AE179" s="266"/>
      <c r="AF179" s="266"/>
      <c r="AG179" s="266"/>
      <c r="AH179" s="266"/>
      <c r="AI179" s="266"/>
      <c r="AJ179" s="233"/>
      <c r="AK179" s="233"/>
      <c r="AL179" s="233"/>
      <c r="AM179" s="266"/>
      <c r="AN179" s="266"/>
      <c r="AO179" s="266"/>
      <c r="AP179" s="266"/>
      <c r="AQ179" s="266"/>
      <c r="AR179" s="266"/>
      <c r="AS179" s="266"/>
      <c r="AT179" s="266"/>
      <c r="AU179" s="266"/>
      <c r="AV179" s="266"/>
      <c r="AW179" s="266"/>
      <c r="AX179" s="266"/>
      <c r="AY179" s="31"/>
      <c r="AZ179" s="31"/>
      <c r="BA179" s="31"/>
      <c r="BB179" s="31"/>
      <c r="BC179" s="31"/>
      <c r="BD179" s="31"/>
      <c r="BE179" s="31"/>
      <c r="BF179" s="31"/>
      <c r="BG179" s="31"/>
      <c r="BH179" s="31"/>
      <c r="BI179" s="31"/>
      <c r="BJ179" s="31"/>
      <c r="BK179" s="31"/>
      <c r="BL179" s="31"/>
      <c r="BM179" s="31"/>
      <c r="BN179" s="31"/>
      <c r="BO179" s="31"/>
      <c r="BP179" s="234"/>
      <c r="BQ179" s="234"/>
      <c r="BR179" s="234"/>
      <c r="BS179" s="234"/>
      <c r="BT179" s="234"/>
      <c r="BU179" s="234"/>
      <c r="BV179" s="234"/>
      <c r="BW179" s="234"/>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234"/>
      <c r="CZ179" s="234"/>
      <c r="DA179" s="234"/>
      <c r="DB179" s="234"/>
      <c r="DC179" s="234"/>
      <c r="DD179" s="234"/>
      <c r="DE179" s="234"/>
      <c r="DF179" s="234"/>
      <c r="DG179" s="234"/>
      <c r="DH179" s="234"/>
      <c r="DI179" s="234"/>
      <c r="DJ179" s="234"/>
      <c r="DK179" s="234"/>
      <c r="DL179" s="234"/>
      <c r="DM179" s="234"/>
      <c r="DN179" s="234"/>
      <c r="DO179" s="234"/>
      <c r="DP179" s="234"/>
      <c r="DQ179" s="234"/>
      <c r="DR179" s="234"/>
      <c r="DS179" s="234"/>
      <c r="DT179" s="234"/>
    </row>
    <row r="180" spans="1:124" s="231" customFormat="1" ht="17.25" customHeight="1" x14ac:dyDescent="0.25">
      <c r="A180" s="232"/>
      <c r="B180" s="232"/>
      <c r="C180" s="268" t="s">
        <v>1172</v>
      </c>
      <c r="D180" s="368" t="s">
        <v>1062</v>
      </c>
      <c r="E180" s="232"/>
      <c r="F180" s="521"/>
      <c r="G180" s="522"/>
      <c r="H180" s="522"/>
      <c r="I180" s="522"/>
      <c r="J180" s="522"/>
      <c r="K180" s="522"/>
      <c r="L180" s="523"/>
      <c r="M180" s="232"/>
      <c r="N180" s="232"/>
      <c r="O180" s="232"/>
      <c r="P180" s="232"/>
      <c r="Q180" s="232"/>
      <c r="R180" s="232"/>
      <c r="S180" s="232"/>
      <c r="T180" s="232"/>
      <c r="U180" s="232"/>
      <c r="V180" s="232"/>
      <c r="W180" s="232"/>
      <c r="X180" s="266"/>
      <c r="Y180" s="266"/>
      <c r="Z180" s="266"/>
      <c r="AA180" s="266"/>
      <c r="AB180" s="266"/>
      <c r="AC180" s="266"/>
      <c r="AD180" s="266"/>
      <c r="AE180" s="266"/>
      <c r="AF180" s="266"/>
      <c r="AG180" s="266"/>
      <c r="AH180" s="266"/>
      <c r="AI180" s="266"/>
      <c r="AJ180" s="233"/>
      <c r="AK180" s="233"/>
      <c r="AL180" s="233"/>
      <c r="AM180" s="266"/>
      <c r="AN180" s="266"/>
      <c r="AO180" s="266"/>
      <c r="AP180" s="266"/>
      <c r="AQ180" s="266"/>
      <c r="AR180" s="266"/>
      <c r="AS180" s="266"/>
      <c r="AT180" s="266"/>
      <c r="AU180" s="266"/>
      <c r="AV180" s="266"/>
      <c r="AW180" s="266"/>
      <c r="AX180" s="266"/>
      <c r="AY180" s="31"/>
      <c r="AZ180" s="31"/>
      <c r="BA180" s="31"/>
      <c r="BB180" s="31"/>
      <c r="BC180" s="31"/>
      <c r="BD180" s="31"/>
      <c r="BE180" s="31"/>
      <c r="BF180" s="31"/>
      <c r="BG180" s="31"/>
      <c r="BH180" s="31"/>
      <c r="BI180" s="31"/>
      <c r="BJ180" s="31"/>
      <c r="BK180" s="31"/>
      <c r="BL180" s="31"/>
      <c r="BM180" s="31"/>
      <c r="BN180" s="31"/>
      <c r="BO180" s="31"/>
      <c r="BP180" s="234"/>
      <c r="BQ180" s="234"/>
      <c r="BR180" s="234"/>
      <c r="BS180" s="234"/>
      <c r="BT180" s="234"/>
      <c r="BU180" s="234"/>
      <c r="BV180" s="234"/>
      <c r="BW180" s="234"/>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234"/>
      <c r="CZ180" s="234"/>
      <c r="DA180" s="234"/>
      <c r="DB180" s="234"/>
      <c r="DC180" s="234"/>
      <c r="DD180" s="234"/>
      <c r="DE180" s="234"/>
      <c r="DF180" s="234"/>
      <c r="DG180" s="234"/>
      <c r="DH180" s="234"/>
      <c r="DI180" s="234"/>
      <c r="DJ180" s="234"/>
      <c r="DK180" s="234"/>
      <c r="DL180" s="234"/>
      <c r="DM180" s="234"/>
      <c r="DN180" s="234"/>
      <c r="DO180" s="234"/>
      <c r="DP180" s="234"/>
      <c r="DQ180" s="234"/>
      <c r="DR180" s="234"/>
      <c r="DS180" s="234"/>
      <c r="DT180" s="234"/>
    </row>
    <row r="181" spans="1:124" s="231" customFormat="1" ht="17.25" customHeight="1" x14ac:dyDescent="0.25">
      <c r="A181" s="232"/>
      <c r="B181" s="232"/>
      <c r="C181" s="232"/>
      <c r="D181" s="232"/>
      <c r="E181" s="232"/>
      <c r="F181" s="524"/>
      <c r="G181" s="525"/>
      <c r="H181" s="525"/>
      <c r="I181" s="525"/>
      <c r="J181" s="525"/>
      <c r="K181" s="525"/>
      <c r="L181" s="526"/>
      <c r="M181" s="232"/>
      <c r="N181" s="232"/>
      <c r="O181" s="232"/>
      <c r="P181" s="232"/>
      <c r="Q181" s="232"/>
      <c r="R181" s="232"/>
      <c r="S181" s="232"/>
      <c r="T181" s="232"/>
      <c r="U181" s="232"/>
      <c r="V181" s="232"/>
      <c r="W181" s="232"/>
      <c r="X181" s="266"/>
      <c r="Y181" s="266"/>
      <c r="Z181" s="266"/>
      <c r="AA181" s="266"/>
      <c r="AB181" s="266"/>
      <c r="AC181" s="266"/>
      <c r="AD181" s="266"/>
      <c r="AE181" s="266"/>
      <c r="AF181" s="266"/>
      <c r="AG181" s="266"/>
      <c r="AH181" s="266"/>
      <c r="AI181" s="266"/>
      <c r="AJ181" s="233"/>
      <c r="AK181" s="233"/>
      <c r="AL181" s="233"/>
      <c r="AM181" s="266"/>
      <c r="AN181" s="266"/>
      <c r="AO181" s="266"/>
      <c r="AP181" s="266"/>
      <c r="AQ181" s="266"/>
      <c r="AR181" s="266"/>
      <c r="AS181" s="266"/>
      <c r="AT181" s="266"/>
      <c r="AU181" s="266"/>
      <c r="AV181" s="266"/>
      <c r="AW181" s="266"/>
      <c r="AX181" s="266"/>
      <c r="AY181" s="31"/>
      <c r="AZ181" s="31"/>
      <c r="BA181" s="31"/>
      <c r="BB181" s="31"/>
      <c r="BC181" s="31"/>
      <c r="BD181" s="31"/>
      <c r="BE181" s="31"/>
      <c r="BF181" s="31"/>
      <c r="BG181" s="31"/>
      <c r="BH181" s="31"/>
      <c r="BI181" s="31"/>
      <c r="BJ181" s="31"/>
      <c r="BK181" s="31"/>
      <c r="BL181" s="31"/>
      <c r="BM181" s="31"/>
      <c r="BN181" s="31"/>
      <c r="BO181" s="31"/>
      <c r="BP181" s="234"/>
      <c r="BQ181" s="234"/>
      <c r="BR181" s="234"/>
      <c r="BS181" s="234"/>
      <c r="BT181" s="234"/>
      <c r="BU181" s="234"/>
      <c r="BV181" s="234"/>
      <c r="BW181" s="234"/>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234"/>
      <c r="CZ181" s="234"/>
      <c r="DA181" s="234"/>
      <c r="DB181" s="234"/>
      <c r="DC181" s="234"/>
      <c r="DD181" s="234"/>
      <c r="DE181" s="234"/>
      <c r="DF181" s="234"/>
      <c r="DG181" s="234"/>
      <c r="DH181" s="234"/>
      <c r="DI181" s="234"/>
      <c r="DJ181" s="234"/>
      <c r="DK181" s="234"/>
      <c r="DL181" s="234"/>
      <c r="DM181" s="234"/>
      <c r="DN181" s="234"/>
      <c r="DO181" s="234"/>
      <c r="DP181" s="234"/>
      <c r="DQ181" s="234"/>
      <c r="DR181" s="234"/>
      <c r="DS181" s="234"/>
      <c r="DT181" s="234"/>
    </row>
    <row r="182" spans="1:124" s="231" customFormat="1" ht="17.25" customHeight="1" x14ac:dyDescent="0.25">
      <c r="A182" s="232"/>
      <c r="B182" s="232"/>
      <c r="C182" s="268" t="s">
        <v>1092</v>
      </c>
      <c r="D182" s="395"/>
      <c r="E182" s="232"/>
      <c r="M182" s="232"/>
      <c r="N182" s="232"/>
      <c r="O182" s="232"/>
      <c r="P182" s="232"/>
      <c r="Q182" s="232"/>
      <c r="R182" s="232"/>
      <c r="S182" s="232"/>
      <c r="T182" s="232"/>
      <c r="U182" s="232"/>
      <c r="V182" s="232"/>
      <c r="W182" s="232"/>
      <c r="X182" s="266"/>
      <c r="Y182" s="266"/>
      <c r="Z182" s="266"/>
      <c r="AA182" s="266"/>
      <c r="AB182" s="266"/>
      <c r="AC182" s="266"/>
      <c r="AD182" s="266"/>
      <c r="AE182" s="266"/>
      <c r="AF182" s="266"/>
      <c r="AG182" s="266"/>
      <c r="AH182" s="266"/>
      <c r="AI182" s="266"/>
      <c r="AJ182" s="233"/>
      <c r="AK182" s="233"/>
      <c r="AL182" s="233"/>
      <c r="AM182" s="266"/>
      <c r="AN182" s="266"/>
      <c r="AO182" s="266"/>
      <c r="AP182" s="266"/>
      <c r="AQ182" s="266"/>
      <c r="AR182" s="266"/>
      <c r="AS182" s="266"/>
      <c r="AT182" s="266"/>
      <c r="AU182" s="266"/>
      <c r="AV182" s="266"/>
      <c r="AW182" s="266"/>
      <c r="AX182" s="266"/>
      <c r="AY182" s="31"/>
      <c r="AZ182" s="31"/>
      <c r="BA182" s="31"/>
      <c r="BB182" s="31"/>
      <c r="BC182" s="31"/>
      <c r="BD182" s="31"/>
      <c r="BE182" s="31"/>
      <c r="BF182" s="31"/>
      <c r="BG182" s="31"/>
      <c r="BH182" s="31"/>
      <c r="BI182" s="31"/>
      <c r="BJ182" s="31"/>
      <c r="BK182" s="31"/>
      <c r="BL182" s="31"/>
      <c r="BM182" s="31"/>
      <c r="BN182" s="31"/>
      <c r="BO182" s="31"/>
      <c r="BP182" s="234"/>
      <c r="BQ182" s="234"/>
      <c r="BR182" s="234"/>
      <c r="BS182" s="234"/>
      <c r="BT182" s="234"/>
      <c r="BU182" s="234"/>
      <c r="BV182" s="234"/>
      <c r="BW182" s="234"/>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234"/>
      <c r="CZ182" s="234"/>
      <c r="DA182" s="234"/>
      <c r="DB182" s="234"/>
      <c r="DC182" s="234"/>
      <c r="DD182" s="234"/>
      <c r="DE182" s="234"/>
      <c r="DF182" s="234"/>
      <c r="DG182" s="234"/>
      <c r="DH182" s="234"/>
      <c r="DI182" s="234"/>
      <c r="DJ182" s="234"/>
      <c r="DK182" s="234"/>
      <c r="DL182" s="234"/>
      <c r="DM182" s="234"/>
      <c r="DN182" s="234"/>
      <c r="DO182" s="234"/>
      <c r="DP182" s="234"/>
      <c r="DQ182" s="234"/>
      <c r="DR182" s="234"/>
      <c r="DS182" s="234"/>
      <c r="DT182" s="234"/>
    </row>
    <row r="183" spans="1:124" s="231" customFormat="1" ht="17.25" customHeight="1" x14ac:dyDescent="0.35">
      <c r="A183" s="232"/>
      <c r="B183" s="232"/>
      <c r="C183" s="268" t="s">
        <v>1351</v>
      </c>
      <c r="D183" s="372"/>
      <c r="E183" s="232"/>
      <c r="M183" s="232"/>
      <c r="N183" s="232"/>
      <c r="O183" s="232"/>
      <c r="P183" s="232"/>
      <c r="Q183" s="232"/>
      <c r="R183" s="232"/>
      <c r="S183" s="232"/>
      <c r="T183" s="232"/>
      <c r="U183" s="232"/>
      <c r="V183" s="232"/>
      <c r="W183" s="232"/>
      <c r="X183" s="266"/>
      <c r="Y183" s="266"/>
      <c r="Z183" s="266"/>
      <c r="AA183" s="266"/>
      <c r="AB183" s="266"/>
      <c r="AC183" s="266"/>
      <c r="AD183" s="266"/>
      <c r="AE183" s="266"/>
      <c r="AF183" s="266"/>
      <c r="AG183" s="266"/>
      <c r="AH183" s="266"/>
      <c r="AI183" s="266"/>
      <c r="AJ183" s="233"/>
      <c r="AK183" s="233"/>
      <c r="AL183" s="233"/>
      <c r="AM183" s="266"/>
      <c r="AN183" s="266"/>
      <c r="AO183" s="266"/>
      <c r="AP183" s="266"/>
      <c r="AQ183" s="266"/>
      <c r="AR183" s="266"/>
      <c r="AS183" s="266"/>
      <c r="AT183" s="266"/>
      <c r="AU183" s="266"/>
      <c r="AV183" s="266"/>
      <c r="AW183" s="266"/>
      <c r="AX183" s="266"/>
      <c r="AY183" s="31"/>
      <c r="AZ183" s="31"/>
      <c r="BA183" s="31"/>
      <c r="BB183" s="31"/>
      <c r="BC183" s="31"/>
      <c r="BD183" s="31"/>
      <c r="BE183" s="31"/>
      <c r="BF183" s="31"/>
      <c r="BG183" s="31"/>
      <c r="BH183" s="31"/>
      <c r="BI183" s="31"/>
      <c r="BJ183" s="31"/>
      <c r="BK183" s="31"/>
      <c r="BL183" s="31"/>
      <c r="BM183" s="31"/>
      <c r="BN183" s="31"/>
      <c r="BO183" s="31"/>
      <c r="BP183" s="234"/>
      <c r="BQ183" s="234"/>
      <c r="BR183" s="234"/>
      <c r="BS183" s="234"/>
      <c r="BT183" s="234"/>
      <c r="BU183" s="234"/>
      <c r="BV183" s="234"/>
      <c r="BW183" s="234"/>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234"/>
      <c r="CZ183" s="234"/>
      <c r="DA183" s="234"/>
      <c r="DB183" s="234"/>
      <c r="DC183" s="234"/>
      <c r="DD183" s="234"/>
      <c r="DE183" s="234"/>
      <c r="DF183" s="234"/>
      <c r="DG183" s="234"/>
      <c r="DH183" s="234"/>
      <c r="DI183" s="234"/>
      <c r="DJ183" s="234"/>
      <c r="DK183" s="234"/>
      <c r="DL183" s="234"/>
      <c r="DM183" s="234"/>
      <c r="DN183" s="234"/>
      <c r="DO183" s="234"/>
      <c r="DP183" s="234"/>
      <c r="DQ183" s="234"/>
      <c r="DR183" s="234"/>
      <c r="DS183" s="234"/>
      <c r="DT183" s="234"/>
    </row>
    <row r="184" spans="1:124" s="231" customFormat="1" ht="17.25" customHeight="1" x14ac:dyDescent="0.25">
      <c r="A184" s="232"/>
      <c r="B184" s="232"/>
      <c r="C184" s="134" t="s">
        <v>1352</v>
      </c>
      <c r="D184" s="368"/>
      <c r="E184" s="232"/>
      <c r="F184" s="250"/>
      <c r="G184" s="37"/>
      <c r="H184" s="37"/>
      <c r="I184" s="37"/>
      <c r="J184" s="37"/>
      <c r="K184" s="37"/>
      <c r="L184" s="37"/>
      <c r="M184" s="232"/>
      <c r="N184" s="232"/>
      <c r="O184" s="232"/>
      <c r="P184" s="232"/>
      <c r="Q184" s="232"/>
      <c r="R184" s="232"/>
      <c r="S184" s="232"/>
      <c r="T184" s="232"/>
      <c r="U184" s="232"/>
      <c r="V184" s="232"/>
      <c r="W184" s="232"/>
      <c r="X184" s="266"/>
      <c r="Y184" s="266"/>
      <c r="Z184" s="266"/>
      <c r="AA184" s="266"/>
      <c r="AB184" s="266"/>
      <c r="AC184" s="266"/>
      <c r="AD184" s="266"/>
      <c r="AE184" s="266"/>
      <c r="AF184" s="266"/>
      <c r="AG184" s="266"/>
      <c r="AH184" s="266"/>
      <c r="AI184" s="266"/>
      <c r="AJ184" s="233"/>
      <c r="AK184" s="233"/>
      <c r="AL184" s="233"/>
      <c r="AM184" s="266"/>
      <c r="AN184" s="266"/>
      <c r="AO184" s="266"/>
      <c r="AP184" s="266"/>
      <c r="AQ184" s="266"/>
      <c r="AR184" s="266"/>
      <c r="AS184" s="266"/>
      <c r="AT184" s="266"/>
      <c r="AU184" s="266"/>
      <c r="AV184" s="266"/>
      <c r="AW184" s="266"/>
      <c r="AX184" s="266"/>
      <c r="AY184" s="31"/>
      <c r="AZ184" s="31"/>
      <c r="BA184" s="31"/>
      <c r="BB184" s="31"/>
      <c r="BC184" s="31"/>
      <c r="BD184" s="31"/>
      <c r="BE184" s="31"/>
      <c r="BF184" s="31"/>
      <c r="BG184" s="31"/>
      <c r="BH184" s="31"/>
      <c r="BI184" s="31"/>
      <c r="BJ184" s="31"/>
      <c r="BK184" s="31"/>
      <c r="BL184" s="31"/>
      <c r="BM184" s="31"/>
      <c r="BN184" s="31"/>
      <c r="BO184" s="31"/>
      <c r="BP184" s="234"/>
      <c r="BQ184" s="234"/>
      <c r="BR184" s="234"/>
      <c r="BS184" s="234"/>
      <c r="BT184" s="234"/>
      <c r="BU184" s="234"/>
      <c r="BV184" s="234"/>
      <c r="BW184" s="234"/>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234"/>
      <c r="CZ184" s="234"/>
      <c r="DA184" s="234"/>
      <c r="DB184" s="234"/>
      <c r="DC184" s="234"/>
      <c r="DD184" s="234"/>
      <c r="DE184" s="234"/>
      <c r="DF184" s="234"/>
      <c r="DG184" s="234"/>
      <c r="DH184" s="234"/>
      <c r="DI184" s="234"/>
      <c r="DJ184" s="234"/>
      <c r="DK184" s="234"/>
      <c r="DL184" s="234"/>
      <c r="DM184" s="234"/>
      <c r="DN184" s="234"/>
      <c r="DO184" s="234"/>
      <c r="DP184" s="234"/>
      <c r="DQ184" s="234"/>
      <c r="DR184" s="234"/>
      <c r="DS184" s="234"/>
      <c r="DT184" s="234"/>
    </row>
    <row r="185" spans="1:124" s="231" customFormat="1" ht="17.25" customHeight="1" x14ac:dyDescent="0.25">
      <c r="A185" s="232"/>
      <c r="B185" s="232"/>
      <c r="C185" s="232"/>
      <c r="D185" s="37"/>
      <c r="E185" s="232"/>
      <c r="F185" s="232"/>
      <c r="G185" s="232"/>
      <c r="H185" s="232"/>
      <c r="I185" s="232"/>
      <c r="J185" s="232"/>
      <c r="K185" s="232"/>
      <c r="L185" s="232"/>
      <c r="M185" s="232"/>
      <c r="N185" s="232"/>
      <c r="O185" s="232"/>
      <c r="P185" s="232"/>
      <c r="Q185" s="232"/>
      <c r="R185" s="232"/>
      <c r="S185" s="232"/>
      <c r="T185" s="232"/>
      <c r="U185" s="232"/>
      <c r="V185" s="232"/>
      <c r="W185" s="232"/>
      <c r="X185" s="266"/>
      <c r="Y185" s="266"/>
      <c r="Z185" s="266"/>
      <c r="AA185" s="266"/>
      <c r="AB185" s="266"/>
      <c r="AC185" s="266"/>
      <c r="AD185" s="266"/>
      <c r="AE185" s="266"/>
      <c r="AF185" s="266"/>
      <c r="AG185" s="266"/>
      <c r="AH185" s="266"/>
      <c r="AI185" s="266"/>
      <c r="AJ185" s="233"/>
      <c r="AK185" s="233"/>
      <c r="AL185" s="233"/>
      <c r="AM185" s="266"/>
      <c r="AN185" s="266"/>
      <c r="AO185" s="266"/>
      <c r="AP185" s="266"/>
      <c r="AQ185" s="266"/>
      <c r="AR185" s="266"/>
      <c r="AS185" s="266"/>
      <c r="AT185" s="266"/>
      <c r="AU185" s="266"/>
      <c r="AV185" s="266"/>
      <c r="AW185" s="266"/>
      <c r="AX185" s="266"/>
      <c r="AY185" s="31"/>
      <c r="AZ185" s="31"/>
      <c r="BA185" s="31"/>
      <c r="BB185" s="31"/>
      <c r="BC185" s="31"/>
      <c r="BD185" s="31"/>
      <c r="BE185" s="31"/>
      <c r="BF185" s="31"/>
      <c r="BG185" s="31"/>
      <c r="BH185" s="31"/>
      <c r="BI185" s="31"/>
      <c r="BJ185" s="31"/>
      <c r="BK185" s="31"/>
      <c r="BL185" s="31"/>
      <c r="BM185" s="31"/>
      <c r="BN185" s="31"/>
      <c r="BO185" s="31"/>
      <c r="BP185" s="234"/>
      <c r="BQ185" s="234"/>
      <c r="BR185" s="234"/>
      <c r="BS185" s="234"/>
      <c r="BT185" s="234"/>
      <c r="BU185" s="234"/>
      <c r="BV185" s="234"/>
      <c r="BW185" s="234"/>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234"/>
      <c r="CZ185" s="234"/>
      <c r="DA185" s="234"/>
      <c r="DB185" s="234"/>
      <c r="DC185" s="234"/>
      <c r="DD185" s="234"/>
      <c r="DE185" s="234"/>
      <c r="DF185" s="234"/>
      <c r="DG185" s="234"/>
      <c r="DH185" s="234"/>
      <c r="DI185" s="234"/>
      <c r="DJ185" s="234"/>
      <c r="DK185" s="234"/>
      <c r="DL185" s="234"/>
      <c r="DM185" s="234"/>
      <c r="DN185" s="234"/>
      <c r="DO185" s="234"/>
      <c r="DP185" s="234"/>
      <c r="DQ185" s="234"/>
      <c r="DR185" s="234"/>
      <c r="DS185" s="234"/>
      <c r="DT185" s="234"/>
    </row>
    <row r="186" spans="1:124" s="231" customFormat="1" ht="17.25" customHeight="1" x14ac:dyDescent="0.25">
      <c r="A186" s="232"/>
      <c r="B186" s="232"/>
      <c r="C186" s="268" t="s">
        <v>1092</v>
      </c>
      <c r="D186" s="395"/>
      <c r="E186" s="232"/>
      <c r="F186" s="232"/>
      <c r="G186" s="232"/>
      <c r="H186" s="232"/>
      <c r="I186" s="232"/>
      <c r="J186" s="232"/>
      <c r="K186" s="232"/>
      <c r="L186" s="232"/>
      <c r="M186" s="232"/>
      <c r="N186" s="232"/>
      <c r="O186" s="232"/>
      <c r="P186" s="232"/>
      <c r="Q186" s="232"/>
      <c r="R186" s="232"/>
      <c r="S186" s="232"/>
      <c r="T186" s="232"/>
      <c r="U186" s="232"/>
      <c r="V186" s="232"/>
      <c r="W186" s="232"/>
      <c r="X186" s="266"/>
      <c r="Y186" s="266"/>
      <c r="Z186" s="266"/>
      <c r="AA186" s="266"/>
      <c r="AB186" s="266"/>
      <c r="AC186" s="266"/>
      <c r="AD186" s="266"/>
      <c r="AE186" s="266"/>
      <c r="AF186" s="266"/>
      <c r="AG186" s="266"/>
      <c r="AH186" s="266"/>
      <c r="AI186" s="266"/>
      <c r="AJ186" s="233"/>
      <c r="AK186" s="233"/>
      <c r="AL186" s="233"/>
      <c r="AM186" s="266"/>
      <c r="AN186" s="266"/>
      <c r="AO186" s="266"/>
      <c r="AP186" s="266"/>
      <c r="AQ186" s="266"/>
      <c r="AR186" s="266"/>
      <c r="AS186" s="266"/>
      <c r="AT186" s="266"/>
      <c r="AU186" s="266"/>
      <c r="AV186" s="266"/>
      <c r="AW186" s="266"/>
      <c r="AX186" s="266"/>
      <c r="AY186" s="31"/>
      <c r="AZ186" s="31"/>
      <c r="BA186" s="31"/>
      <c r="BB186" s="31"/>
      <c r="BC186" s="31"/>
      <c r="BD186" s="31"/>
      <c r="BE186" s="31"/>
      <c r="BF186" s="31"/>
      <c r="BG186" s="31"/>
      <c r="BH186" s="31"/>
      <c r="BI186" s="31"/>
      <c r="BJ186" s="31"/>
      <c r="BK186" s="31"/>
      <c r="BL186" s="31"/>
      <c r="BM186" s="31"/>
      <c r="BN186" s="31"/>
      <c r="BO186" s="31"/>
      <c r="BP186" s="234"/>
      <c r="BQ186" s="234"/>
      <c r="BR186" s="234"/>
      <c r="BS186" s="234"/>
      <c r="BT186" s="234"/>
      <c r="BU186" s="234"/>
      <c r="BV186" s="234"/>
      <c r="BW186" s="234"/>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234"/>
      <c r="CZ186" s="234"/>
      <c r="DA186" s="234"/>
      <c r="DB186" s="234"/>
      <c r="DC186" s="234"/>
      <c r="DD186" s="234"/>
      <c r="DE186" s="234"/>
      <c r="DF186" s="234"/>
      <c r="DG186" s="234"/>
      <c r="DH186" s="234"/>
      <c r="DI186" s="234"/>
      <c r="DJ186" s="234"/>
      <c r="DK186" s="234"/>
      <c r="DL186" s="234"/>
      <c r="DM186" s="234"/>
      <c r="DN186" s="234"/>
      <c r="DO186" s="234"/>
      <c r="DP186" s="234"/>
      <c r="DQ186" s="234"/>
      <c r="DR186" s="234"/>
      <c r="DS186" s="234"/>
      <c r="DT186" s="234"/>
    </row>
    <row r="187" spans="1:124" s="231" customFormat="1" ht="17.25" customHeight="1" x14ac:dyDescent="0.35">
      <c r="A187" s="232"/>
      <c r="B187" s="232"/>
      <c r="C187" s="268" t="s">
        <v>1351</v>
      </c>
      <c r="D187" s="372"/>
      <c r="E187" s="232"/>
      <c r="F187" s="120"/>
      <c r="G187" s="232"/>
      <c r="H187" s="232"/>
      <c r="I187" s="232"/>
      <c r="J187" s="232"/>
      <c r="K187" s="232"/>
      <c r="L187" s="232"/>
      <c r="M187" s="232"/>
      <c r="N187" s="232"/>
      <c r="O187" s="232"/>
      <c r="P187" s="232"/>
      <c r="Q187" s="232"/>
      <c r="R187" s="232"/>
      <c r="S187" s="232"/>
      <c r="T187" s="232"/>
      <c r="U187" s="232"/>
      <c r="V187" s="232"/>
      <c r="W187" s="232"/>
      <c r="X187" s="266"/>
      <c r="Y187" s="266"/>
      <c r="Z187" s="266"/>
      <c r="AA187" s="266"/>
      <c r="AB187" s="266"/>
      <c r="AC187" s="266"/>
      <c r="AD187" s="266"/>
      <c r="AE187" s="266"/>
      <c r="AF187" s="266"/>
      <c r="AG187" s="266"/>
      <c r="AH187" s="266"/>
      <c r="AI187" s="266"/>
      <c r="AJ187" s="233"/>
      <c r="AK187" s="233"/>
      <c r="AL187" s="233"/>
      <c r="AM187" s="266"/>
      <c r="AN187" s="266"/>
      <c r="AO187" s="266"/>
      <c r="AP187" s="266"/>
      <c r="AQ187" s="266"/>
      <c r="AR187" s="266"/>
      <c r="AS187" s="266"/>
      <c r="AT187" s="266"/>
      <c r="AU187" s="266"/>
      <c r="AV187" s="266"/>
      <c r="AW187" s="266"/>
      <c r="AX187" s="266"/>
      <c r="AY187" s="31"/>
      <c r="AZ187" s="31"/>
      <c r="BA187" s="31"/>
      <c r="BB187" s="31"/>
      <c r="BC187" s="31"/>
      <c r="BD187" s="31"/>
      <c r="BE187" s="31"/>
      <c r="BF187" s="31"/>
      <c r="BG187" s="31"/>
      <c r="BH187" s="31"/>
      <c r="BI187" s="31"/>
      <c r="BJ187" s="31"/>
      <c r="BK187" s="31"/>
      <c r="BL187" s="31"/>
      <c r="BM187" s="31"/>
      <c r="BN187" s="31"/>
      <c r="BO187" s="31"/>
      <c r="BP187" s="234"/>
      <c r="BQ187" s="234"/>
      <c r="BR187" s="234"/>
      <c r="BS187" s="234"/>
      <c r="BT187" s="234"/>
      <c r="BU187" s="234"/>
      <c r="BV187" s="234"/>
      <c r="BW187" s="234"/>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234"/>
      <c r="CZ187" s="234"/>
      <c r="DA187" s="234"/>
      <c r="DB187" s="234"/>
      <c r="DC187" s="234"/>
      <c r="DD187" s="234"/>
      <c r="DE187" s="234"/>
      <c r="DF187" s="234"/>
      <c r="DG187" s="234"/>
      <c r="DH187" s="234"/>
      <c r="DI187" s="234"/>
      <c r="DJ187" s="234"/>
      <c r="DK187" s="234"/>
      <c r="DL187" s="234"/>
      <c r="DM187" s="234"/>
      <c r="DN187" s="234"/>
      <c r="DO187" s="234"/>
      <c r="DP187" s="234"/>
      <c r="DQ187" s="234"/>
      <c r="DR187" s="234"/>
      <c r="DS187" s="234"/>
      <c r="DT187" s="234"/>
    </row>
    <row r="188" spans="1:124" s="231" customFormat="1" ht="17.25" customHeight="1" x14ac:dyDescent="0.25">
      <c r="A188" s="232"/>
      <c r="B188" s="232"/>
      <c r="C188" s="134" t="s">
        <v>1352</v>
      </c>
      <c r="D188" s="368"/>
      <c r="E188" s="232"/>
      <c r="F188" s="232"/>
      <c r="G188" s="232"/>
      <c r="H188" s="232"/>
      <c r="I188" s="232"/>
      <c r="J188" s="232"/>
      <c r="K188" s="232"/>
      <c r="L188" s="232"/>
      <c r="M188" s="232"/>
      <c r="N188" s="232"/>
      <c r="O188" s="232"/>
      <c r="P188" s="232"/>
      <c r="Q188" s="232"/>
      <c r="R188" s="232"/>
      <c r="S188" s="232"/>
      <c r="T188" s="232"/>
      <c r="U188" s="232"/>
      <c r="V188" s="232"/>
      <c r="W188" s="232"/>
      <c r="X188" s="266"/>
      <c r="Y188" s="266"/>
      <c r="Z188" s="266"/>
      <c r="AA188" s="266"/>
      <c r="AB188" s="266"/>
      <c r="AC188" s="266"/>
      <c r="AD188" s="266"/>
      <c r="AE188" s="266"/>
      <c r="AF188" s="266"/>
      <c r="AG188" s="266"/>
      <c r="AH188" s="266"/>
      <c r="AI188" s="266"/>
      <c r="AJ188" s="233"/>
      <c r="AK188" s="233"/>
      <c r="AL188" s="233"/>
      <c r="AM188" s="266"/>
      <c r="AN188" s="266"/>
      <c r="AO188" s="266"/>
      <c r="AP188" s="266"/>
      <c r="AQ188" s="266"/>
      <c r="AR188" s="266"/>
      <c r="AS188" s="266"/>
      <c r="AT188" s="266"/>
      <c r="AU188" s="266"/>
      <c r="AV188" s="266"/>
      <c r="AW188" s="266"/>
      <c r="AX188" s="266"/>
      <c r="AY188" s="31"/>
      <c r="AZ188" s="31"/>
      <c r="BA188" s="31"/>
      <c r="BB188" s="31"/>
      <c r="BC188" s="31"/>
      <c r="BD188" s="31"/>
      <c r="BE188" s="31"/>
      <c r="BF188" s="31"/>
      <c r="BG188" s="31"/>
      <c r="BH188" s="31"/>
      <c r="BI188" s="31"/>
      <c r="BJ188" s="31"/>
      <c r="BK188" s="31"/>
      <c r="BL188" s="31"/>
      <c r="BM188" s="31"/>
      <c r="BN188" s="31"/>
      <c r="BO188" s="31"/>
      <c r="BP188" s="135"/>
      <c r="BQ188" s="136"/>
      <c r="BR188" s="31"/>
      <c r="BS188" s="31"/>
      <c r="BT188" s="31"/>
      <c r="BU188" s="135"/>
      <c r="BV188" s="136"/>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234"/>
      <c r="CZ188" s="234"/>
      <c r="DA188" s="234"/>
      <c r="DB188" s="234"/>
      <c r="DC188" s="234"/>
      <c r="DD188" s="234"/>
      <c r="DE188" s="234"/>
      <c r="DF188" s="234"/>
      <c r="DG188" s="234"/>
      <c r="DH188" s="234"/>
      <c r="DI188" s="234"/>
      <c r="DJ188" s="234"/>
      <c r="DK188" s="234"/>
      <c r="DL188" s="234"/>
      <c r="DM188" s="234"/>
      <c r="DN188" s="234"/>
      <c r="DO188" s="234"/>
      <c r="DP188" s="234"/>
      <c r="DQ188" s="234"/>
      <c r="DR188" s="234"/>
      <c r="DS188" s="234"/>
      <c r="DT188" s="234"/>
    </row>
    <row r="189" spans="1:124" s="231" customFormat="1" ht="17.25" customHeight="1" x14ac:dyDescent="0.25">
      <c r="A189" s="232"/>
      <c r="B189" s="232"/>
      <c r="C189" s="232"/>
      <c r="D189" s="37"/>
      <c r="E189" s="232"/>
      <c r="F189" s="232"/>
      <c r="G189" s="232"/>
      <c r="H189" s="232"/>
      <c r="I189" s="232"/>
      <c r="J189" s="232"/>
      <c r="K189" s="232"/>
      <c r="L189" s="232"/>
      <c r="M189" s="232"/>
      <c r="N189" s="232"/>
      <c r="O189" s="232"/>
      <c r="P189" s="232"/>
      <c r="Q189" s="232"/>
      <c r="R189" s="232"/>
      <c r="S189" s="232"/>
      <c r="T189" s="232"/>
      <c r="U189" s="232"/>
      <c r="V189" s="232"/>
      <c r="W189" s="232"/>
      <c r="X189" s="266"/>
      <c r="Y189" s="266"/>
      <c r="Z189" s="266"/>
      <c r="AA189" s="266"/>
      <c r="AB189" s="266"/>
      <c r="AC189" s="266"/>
      <c r="AD189" s="266"/>
      <c r="AE189" s="266"/>
      <c r="AF189" s="266"/>
      <c r="AG189" s="266"/>
      <c r="AH189" s="266"/>
      <c r="AI189" s="266"/>
      <c r="AJ189" s="233"/>
      <c r="AK189" s="233"/>
      <c r="AL189" s="233"/>
      <c r="AM189" s="266"/>
      <c r="AN189" s="266"/>
      <c r="AO189" s="266"/>
      <c r="AP189" s="266"/>
      <c r="AQ189" s="266"/>
      <c r="AR189" s="266"/>
      <c r="AS189" s="266"/>
      <c r="AT189" s="266"/>
      <c r="AU189" s="266"/>
      <c r="AV189" s="266"/>
      <c r="AW189" s="266"/>
      <c r="AX189" s="266"/>
      <c r="AY189" s="31"/>
      <c r="AZ189" s="31"/>
      <c r="BA189" s="31"/>
      <c r="BB189" s="31"/>
      <c r="BC189" s="31"/>
      <c r="BD189" s="31"/>
      <c r="BE189" s="31"/>
      <c r="BF189" s="31"/>
      <c r="BG189" s="31"/>
      <c r="BH189" s="31"/>
      <c r="BI189" s="31"/>
      <c r="BJ189" s="31"/>
      <c r="BK189" s="31"/>
      <c r="BL189" s="31"/>
      <c r="BM189" s="31"/>
      <c r="BN189" s="31"/>
      <c r="BO189" s="31"/>
      <c r="BP189" s="135"/>
      <c r="BQ189" s="136"/>
      <c r="BR189" s="31"/>
      <c r="BS189" s="31"/>
      <c r="BT189" s="31"/>
      <c r="BU189" s="31"/>
      <c r="BV189" s="31"/>
      <c r="BW189" s="31"/>
      <c r="BX189" s="31"/>
      <c r="BY189" s="31"/>
      <c r="BZ189" s="31"/>
      <c r="CA189" s="135"/>
      <c r="CB189" s="136"/>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234"/>
      <c r="DF189" s="234"/>
      <c r="DG189" s="234"/>
      <c r="DH189" s="234"/>
      <c r="DI189" s="234"/>
      <c r="DJ189" s="234"/>
      <c r="DK189" s="234"/>
      <c r="DL189" s="31"/>
      <c r="DM189" s="31"/>
      <c r="DN189" s="234"/>
      <c r="DO189" s="234"/>
      <c r="DP189" s="234"/>
      <c r="DQ189" s="234"/>
      <c r="DR189" s="234"/>
      <c r="DS189" s="234"/>
      <c r="DT189" s="234"/>
    </row>
    <row r="190" spans="1:124" s="231" customFormat="1" ht="17.25" customHeight="1" x14ac:dyDescent="0.25">
      <c r="A190" s="232"/>
      <c r="B190" s="232"/>
      <c r="C190" s="268" t="s">
        <v>1092</v>
      </c>
      <c r="D190" s="395"/>
      <c r="E190" s="232"/>
      <c r="F190" s="232"/>
      <c r="G190" s="232"/>
      <c r="H190" s="232"/>
      <c r="I190" s="232"/>
      <c r="J190" s="232"/>
      <c r="K190" s="232"/>
      <c r="L190" s="232"/>
      <c r="M190" s="232"/>
      <c r="N190" s="232"/>
      <c r="O190" s="232"/>
      <c r="P190" s="232"/>
      <c r="Q190" s="232"/>
      <c r="R190" s="232"/>
      <c r="S190" s="232"/>
      <c r="T190" s="232"/>
      <c r="U190" s="232"/>
      <c r="V190" s="232"/>
      <c r="W190" s="232"/>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31"/>
      <c r="AZ190" s="31"/>
      <c r="BA190" s="31"/>
      <c r="BB190" s="31"/>
      <c r="BC190" s="31"/>
      <c r="BD190" s="31"/>
      <c r="BE190" s="31"/>
      <c r="BF190" s="31"/>
      <c r="BG190" s="31"/>
      <c r="BH190" s="31"/>
      <c r="BI190" s="31"/>
      <c r="BJ190" s="31"/>
      <c r="BK190" s="31"/>
      <c r="BL190" s="31"/>
      <c r="BM190" s="31"/>
      <c r="BN190" s="31"/>
      <c r="BO190" s="31"/>
      <c r="BP190" s="135"/>
      <c r="BQ190" s="136"/>
      <c r="BR190" s="31"/>
      <c r="BS190" s="31"/>
      <c r="BT190" s="31"/>
      <c r="BU190" s="31"/>
      <c r="BV190" s="31"/>
      <c r="BW190" s="31"/>
      <c r="BX190" s="31"/>
      <c r="BY190" s="31"/>
      <c r="BZ190" s="31"/>
      <c r="CA190" s="135"/>
      <c r="CB190" s="136"/>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234"/>
      <c r="DF190" s="234"/>
      <c r="DG190" s="234"/>
      <c r="DH190" s="234"/>
      <c r="DI190" s="234"/>
      <c r="DJ190" s="234"/>
      <c r="DK190" s="234"/>
      <c r="DL190" s="31"/>
      <c r="DM190" s="31"/>
      <c r="DN190" s="234"/>
      <c r="DO190" s="234"/>
      <c r="DP190" s="234"/>
      <c r="DQ190" s="234"/>
      <c r="DR190" s="234"/>
      <c r="DS190" s="234"/>
      <c r="DT190" s="234"/>
    </row>
    <row r="191" spans="1:124" s="231" customFormat="1" ht="17.25" customHeight="1" x14ac:dyDescent="0.35">
      <c r="A191" s="232"/>
      <c r="B191" s="232"/>
      <c r="C191" s="268" t="s">
        <v>1351</v>
      </c>
      <c r="D191" s="372"/>
      <c r="E191" s="232"/>
      <c r="F191" s="232"/>
      <c r="G191" s="232"/>
      <c r="H191" s="232"/>
      <c r="I191" s="232"/>
      <c r="J191" s="232"/>
      <c r="K191" s="232"/>
      <c r="L191" s="232"/>
      <c r="M191" s="232"/>
      <c r="N191" s="232"/>
      <c r="O191" s="232"/>
      <c r="P191" s="232"/>
      <c r="Q191" s="232"/>
      <c r="R191" s="232"/>
      <c r="S191" s="232"/>
      <c r="T191" s="232"/>
      <c r="U191" s="232"/>
      <c r="V191" s="232"/>
      <c r="W191" s="232"/>
      <c r="X191" s="233"/>
      <c r="Y191" s="233"/>
      <c r="Z191" s="233"/>
      <c r="AA191" s="233"/>
      <c r="AB191" s="233"/>
      <c r="AC191" s="233"/>
      <c r="AD191" s="233"/>
      <c r="AE191" s="233"/>
      <c r="AF191" s="233"/>
      <c r="AG191" s="233"/>
      <c r="AH191" s="266"/>
      <c r="AI191" s="266"/>
      <c r="AJ191" s="266"/>
      <c r="AK191" s="266"/>
      <c r="AL191" s="266"/>
      <c r="AM191" s="266"/>
      <c r="AN191" s="266"/>
      <c r="AO191" s="266"/>
      <c r="AP191" s="266"/>
      <c r="AQ191" s="266"/>
      <c r="AR191" s="266"/>
      <c r="AS191" s="266"/>
      <c r="AT191" s="266"/>
      <c r="AU191" s="266"/>
      <c r="AV191" s="266"/>
      <c r="AW191" s="266"/>
      <c r="AX191" s="266"/>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234"/>
      <c r="DE191" s="234"/>
      <c r="DF191" s="234"/>
      <c r="DG191" s="234"/>
      <c r="DH191" s="234"/>
      <c r="DI191" s="234"/>
      <c r="DJ191" s="234"/>
      <c r="DK191" s="234"/>
      <c r="DL191" s="31"/>
      <c r="DM191" s="234"/>
      <c r="DN191" s="234"/>
      <c r="DO191" s="234"/>
      <c r="DP191" s="234"/>
      <c r="DQ191" s="234"/>
      <c r="DR191" s="234"/>
      <c r="DS191" s="234"/>
      <c r="DT191" s="234"/>
    </row>
    <row r="192" spans="1:124" s="231" customFormat="1" ht="17.25" customHeight="1" x14ac:dyDescent="0.25">
      <c r="A192" s="232"/>
      <c r="B192" s="232"/>
      <c r="C192" s="134" t="s">
        <v>1352</v>
      </c>
      <c r="D192" s="368"/>
      <c r="E192" s="232"/>
      <c r="F192" s="232"/>
      <c r="G192" s="232"/>
      <c r="H192" s="232"/>
      <c r="I192" s="232"/>
      <c r="J192" s="232"/>
      <c r="K192" s="232"/>
      <c r="L192" s="232"/>
      <c r="M192" s="232"/>
      <c r="N192" s="232"/>
      <c r="O192" s="232"/>
      <c r="P192" s="232"/>
      <c r="Q192" s="232"/>
      <c r="R192" s="232"/>
      <c r="S192" s="232"/>
      <c r="T192" s="232"/>
      <c r="U192" s="232"/>
      <c r="V192" s="232"/>
      <c r="W192" s="232"/>
      <c r="X192" s="233"/>
      <c r="Y192" s="233"/>
      <c r="Z192" s="233"/>
      <c r="AA192" s="233"/>
      <c r="AB192" s="233"/>
      <c r="AC192" s="233"/>
      <c r="AD192" s="233"/>
      <c r="AE192" s="233"/>
      <c r="AF192" s="233"/>
      <c r="AG192" s="233"/>
      <c r="AH192" s="266"/>
      <c r="AI192" s="266"/>
      <c r="AJ192" s="266"/>
      <c r="AK192" s="266"/>
      <c r="AL192" s="266"/>
      <c r="AM192" s="266"/>
      <c r="AN192" s="266"/>
      <c r="AO192" s="266"/>
      <c r="AP192" s="266"/>
      <c r="AQ192" s="266"/>
      <c r="AR192" s="266"/>
      <c r="AS192" s="266"/>
      <c r="AT192" s="266"/>
      <c r="AU192" s="266"/>
      <c r="AV192" s="266"/>
      <c r="AW192" s="266"/>
      <c r="AX192" s="266"/>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234"/>
      <c r="DE192" s="234"/>
      <c r="DF192" s="234"/>
      <c r="DG192" s="234"/>
      <c r="DH192" s="234"/>
      <c r="DI192" s="234"/>
      <c r="DJ192" s="234"/>
      <c r="DK192" s="234"/>
      <c r="DL192" s="31"/>
      <c r="DM192" s="234"/>
      <c r="DN192" s="234"/>
      <c r="DO192" s="234"/>
      <c r="DP192" s="234"/>
      <c r="DQ192" s="234"/>
      <c r="DR192" s="234"/>
      <c r="DS192" s="234"/>
      <c r="DT192" s="234"/>
    </row>
    <row r="193" spans="1:156" s="231" customFormat="1" ht="17.25" customHeight="1" x14ac:dyDescent="0.25">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3"/>
      <c r="Y193" s="233"/>
      <c r="Z193" s="233"/>
      <c r="AA193" s="233"/>
      <c r="AB193" s="233"/>
      <c r="AC193" s="233"/>
      <c r="AD193" s="233"/>
      <c r="AE193" s="233"/>
      <c r="AF193" s="233"/>
      <c r="AG193" s="233"/>
      <c r="AH193" s="266"/>
      <c r="AI193" s="266"/>
      <c r="AJ193" s="266"/>
      <c r="AK193" s="266"/>
      <c r="AL193" s="266"/>
      <c r="AM193" s="266"/>
      <c r="AN193" s="266"/>
      <c r="AO193" s="266"/>
      <c r="AP193" s="266"/>
      <c r="AQ193" s="266"/>
      <c r="AR193" s="266"/>
      <c r="AS193" s="266"/>
      <c r="AT193" s="266"/>
      <c r="AU193" s="266"/>
      <c r="AV193" s="266"/>
      <c r="AW193" s="266"/>
      <c r="AX193" s="266"/>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234"/>
      <c r="DE193" s="234"/>
      <c r="DF193" s="234"/>
      <c r="DG193" s="234"/>
      <c r="DH193" s="234"/>
      <c r="DI193" s="234"/>
      <c r="DJ193" s="234"/>
      <c r="DK193" s="234"/>
      <c r="DL193" s="31"/>
      <c r="DM193" s="234"/>
      <c r="DN193" s="234"/>
      <c r="DO193" s="234"/>
      <c r="DP193" s="234"/>
      <c r="DQ193" s="234"/>
      <c r="DR193" s="234"/>
      <c r="DS193" s="234"/>
      <c r="DT193" s="234"/>
    </row>
    <row r="194" spans="1:156" s="231" customFormat="1" ht="17.25" customHeight="1" x14ac:dyDescent="0.25">
      <c r="A194" s="232"/>
      <c r="B194" s="232"/>
      <c r="C194" s="268" t="s">
        <v>1353</v>
      </c>
      <c r="D194" s="375" t="e">
        <f>('Indata byggnad och BBR krav'!$C$16*D183/100*D184+'Indata byggnad och BBR krav'!$C$16*D187/100*D188+'Indata byggnad och BBR krav'!$C$16*D191/100*D192)/'Indata byggnad och BBR krav'!$C$16</f>
        <v>#DIV/0!</v>
      </c>
      <c r="E194" s="232"/>
      <c r="F194" s="232"/>
      <c r="G194" s="232"/>
      <c r="H194" s="232"/>
      <c r="I194" s="232"/>
      <c r="J194" s="232"/>
      <c r="K194" s="232"/>
      <c r="L194" s="232"/>
      <c r="M194" s="232"/>
      <c r="N194" s="232"/>
      <c r="O194" s="232"/>
      <c r="P194" s="232"/>
      <c r="Q194" s="232"/>
      <c r="R194" s="232"/>
      <c r="S194" s="232"/>
      <c r="T194" s="232"/>
      <c r="U194" s="232"/>
      <c r="V194" s="232"/>
      <c r="W194" s="232"/>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234"/>
      <c r="DE194" s="234"/>
      <c r="DF194" s="234"/>
      <c r="DG194" s="234"/>
      <c r="DH194" s="234"/>
      <c r="DI194" s="234"/>
      <c r="DJ194" s="234"/>
      <c r="DK194" s="234"/>
      <c r="DL194" s="31"/>
      <c r="DM194" s="234"/>
      <c r="DN194" s="234"/>
      <c r="DO194" s="234"/>
      <c r="DP194" s="234"/>
      <c r="DQ194" s="234"/>
      <c r="DR194" s="234"/>
      <c r="DS194" s="234"/>
      <c r="DT194" s="234"/>
    </row>
    <row r="195" spans="1:156" s="231" customFormat="1" ht="17.25" customHeight="1" x14ac:dyDescent="0.25">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3"/>
      <c r="Y195" s="233"/>
      <c r="Z195" s="233"/>
      <c r="AA195" s="233"/>
      <c r="AB195" s="233"/>
      <c r="AC195" s="233"/>
      <c r="AD195" s="233"/>
      <c r="AE195" s="233"/>
      <c r="AF195" s="233"/>
      <c r="AG195" s="233"/>
      <c r="AH195" s="266"/>
      <c r="AI195" s="266"/>
      <c r="AJ195" s="266"/>
      <c r="AK195" s="266"/>
      <c r="AL195" s="266"/>
      <c r="AM195" s="266"/>
      <c r="AN195" s="266"/>
      <c r="AO195" s="266"/>
      <c r="AP195" s="266"/>
      <c r="AQ195" s="266"/>
      <c r="AR195" s="266"/>
      <c r="AS195" s="266"/>
      <c r="AT195" s="266"/>
      <c r="AU195" s="266"/>
      <c r="AV195" s="266"/>
      <c r="AW195" s="266"/>
      <c r="AX195" s="266"/>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row>
    <row r="196" spans="1:156" s="231" customFormat="1" ht="17.25" customHeight="1" x14ac:dyDescent="0.25">
      <c r="A196" s="232"/>
      <c r="B196" s="232"/>
      <c r="C196" s="365" t="s">
        <v>1354</v>
      </c>
      <c r="D196" s="389" t="str">
        <f>IF('Indata byggnad och BBR krav'!$C$17&gt;0,IF('Indata byggnad och BBR krav'!$C$20="JA",22,21),"")</f>
        <v/>
      </c>
      <c r="E196" s="232"/>
      <c r="F196" s="232"/>
      <c r="G196" s="232"/>
      <c r="H196" s="232"/>
      <c r="I196" s="232"/>
      <c r="J196" s="232"/>
      <c r="K196" s="232"/>
      <c r="L196" s="232"/>
      <c r="M196" s="232"/>
      <c r="N196" s="232"/>
      <c r="O196" s="232"/>
      <c r="P196" s="232"/>
      <c r="Q196" s="232"/>
      <c r="R196" s="232"/>
      <c r="S196" s="232"/>
      <c r="T196" s="232"/>
      <c r="U196" s="232"/>
      <c r="V196" s="232"/>
      <c r="W196" s="232"/>
      <c r="X196" s="233"/>
      <c r="Y196" s="233"/>
      <c r="Z196" s="233"/>
      <c r="AA196" s="233"/>
      <c r="AB196" s="233"/>
      <c r="AC196" s="233"/>
      <c r="AD196" s="233"/>
      <c r="AE196" s="233"/>
      <c r="AF196" s="233"/>
      <c r="AG196" s="233"/>
      <c r="AH196" s="266"/>
      <c r="AI196" s="266"/>
      <c r="AJ196" s="266"/>
      <c r="AK196" s="266"/>
      <c r="AL196" s="266"/>
      <c r="AM196" s="266"/>
      <c r="AN196" s="266"/>
      <c r="AO196" s="266"/>
      <c r="AP196" s="266"/>
      <c r="AQ196" s="266"/>
      <c r="AR196" s="266"/>
      <c r="AS196" s="266"/>
      <c r="AT196" s="266"/>
      <c r="AU196" s="266"/>
      <c r="AV196" s="266"/>
      <c r="AW196" s="266"/>
      <c r="AX196" s="266"/>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234"/>
      <c r="DE196" s="234"/>
      <c r="DF196" s="234"/>
      <c r="DG196" s="234"/>
      <c r="DH196" s="234"/>
      <c r="DI196" s="234"/>
      <c r="DJ196" s="234"/>
      <c r="DK196" s="234"/>
      <c r="DL196" s="31"/>
      <c r="DM196" s="234"/>
      <c r="DN196" s="234"/>
      <c r="DO196" s="234"/>
      <c r="DP196" s="234"/>
      <c r="DQ196" s="234"/>
      <c r="DR196" s="234"/>
      <c r="DS196" s="234"/>
      <c r="DT196" s="234"/>
    </row>
    <row r="197" spans="1:156" s="231" customFormat="1" ht="17.25" hidden="1" customHeight="1" x14ac:dyDescent="0.25">
      <c r="A197" s="232"/>
      <c r="B197" s="232"/>
      <c r="C197" s="232"/>
      <c r="D197" s="390"/>
      <c r="E197" s="232"/>
      <c r="F197" s="232"/>
      <c r="G197" s="232"/>
      <c r="H197" s="232"/>
      <c r="I197" s="232"/>
      <c r="J197" s="232"/>
      <c r="K197" s="232"/>
      <c r="L197" s="232"/>
      <c r="M197" s="232"/>
      <c r="N197" s="232"/>
      <c r="O197" s="232"/>
      <c r="P197" s="232"/>
      <c r="Q197" s="232"/>
      <c r="R197" s="232"/>
      <c r="S197" s="232"/>
      <c r="T197" s="232"/>
      <c r="U197" s="232"/>
      <c r="V197" s="232"/>
      <c r="W197" s="232"/>
      <c r="X197" s="233"/>
      <c r="Y197" s="233"/>
      <c r="Z197" s="233"/>
      <c r="AA197" s="233"/>
      <c r="AB197" s="233"/>
      <c r="AC197" s="233"/>
      <c r="AD197" s="233"/>
      <c r="AE197" s="233"/>
      <c r="AF197" s="233"/>
      <c r="AG197" s="233"/>
      <c r="AH197" s="266"/>
      <c r="AI197" s="266"/>
      <c r="AJ197" s="266"/>
      <c r="AK197" s="266"/>
      <c r="AL197" s="266"/>
      <c r="AM197" s="266"/>
      <c r="AN197" s="266"/>
      <c r="AO197" s="266"/>
      <c r="AP197" s="266"/>
      <c r="AQ197" s="266"/>
      <c r="AR197" s="266"/>
      <c r="AS197" s="266"/>
      <c r="AT197" s="266"/>
      <c r="AU197" s="266"/>
      <c r="AV197" s="266"/>
      <c r="AW197" s="266"/>
      <c r="AX197" s="266"/>
      <c r="AY197" s="31"/>
      <c r="AZ197" s="31"/>
      <c r="BA197" s="31"/>
      <c r="BB197" s="31"/>
      <c r="BC197" s="234"/>
      <c r="BD197" s="234"/>
      <c r="BE197" s="234"/>
      <c r="BF197" s="234"/>
      <c r="BG197" s="234"/>
      <c r="BH197" s="234"/>
      <c r="BI197" s="234"/>
      <c r="BJ197" s="234"/>
      <c r="BK197" s="31"/>
      <c r="BL197" s="31"/>
      <c r="BM197" s="31"/>
      <c r="BN197" s="31"/>
      <c r="BO197" s="31"/>
      <c r="BP197" s="234"/>
      <c r="BQ197" s="234"/>
      <c r="BR197" s="234"/>
      <c r="BS197" s="234"/>
      <c r="BT197" s="234"/>
      <c r="BU197" s="234"/>
      <c r="BV197" s="234"/>
      <c r="BW197" s="234"/>
      <c r="BX197" s="234"/>
      <c r="BY197" s="234"/>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234"/>
      <c r="DE197" s="234"/>
      <c r="DF197" s="234"/>
      <c r="DG197" s="234"/>
      <c r="DH197" s="234"/>
      <c r="DI197" s="234"/>
      <c r="DJ197" s="234"/>
      <c r="DK197" s="234"/>
      <c r="DL197" s="31"/>
      <c r="DM197" s="234"/>
      <c r="DN197" s="234"/>
      <c r="DO197" s="234"/>
      <c r="DP197" s="234"/>
      <c r="DQ197" s="234"/>
      <c r="DR197" s="234"/>
      <c r="DS197" s="234"/>
      <c r="DT197" s="234"/>
    </row>
    <row r="198" spans="1:156" s="231" customFormat="1" ht="17.25" customHeight="1" x14ac:dyDescent="0.25">
      <c r="A198" s="232"/>
      <c r="B198" s="232"/>
      <c r="C198" s="365" t="s">
        <v>1355</v>
      </c>
      <c r="D198" s="389">
        <v>21</v>
      </c>
      <c r="E198" s="232"/>
      <c r="F198" s="232"/>
      <c r="G198" s="232"/>
      <c r="H198" s="232"/>
      <c r="I198" s="232"/>
      <c r="J198" s="232"/>
      <c r="K198" s="232"/>
      <c r="L198" s="232"/>
      <c r="M198" s="232"/>
      <c r="N198" s="232"/>
      <c r="O198" s="232"/>
      <c r="P198" s="232"/>
      <c r="Q198" s="232"/>
      <c r="R198" s="232"/>
      <c r="S198" s="232"/>
      <c r="T198" s="232"/>
      <c r="U198" s="232"/>
      <c r="V198" s="232"/>
      <c r="W198" s="232"/>
      <c r="X198" s="233"/>
      <c r="Y198" s="233"/>
      <c r="Z198" s="233"/>
      <c r="AA198" s="233"/>
      <c r="AB198" s="233"/>
      <c r="AC198" s="233"/>
      <c r="AD198" s="233"/>
      <c r="AE198" s="233"/>
      <c r="AF198" s="233"/>
      <c r="AG198" s="233"/>
      <c r="AH198" s="266"/>
      <c r="AI198" s="266"/>
      <c r="AJ198" s="266"/>
      <c r="AK198" s="266"/>
      <c r="AL198" s="266"/>
      <c r="AM198" s="266"/>
      <c r="AN198" s="266"/>
      <c r="AO198" s="266"/>
      <c r="AP198" s="266"/>
      <c r="AQ198" s="266"/>
      <c r="AR198" s="266"/>
      <c r="AS198" s="266"/>
      <c r="AT198" s="266"/>
      <c r="AU198" s="266"/>
      <c r="AV198" s="266"/>
      <c r="AW198" s="266"/>
      <c r="AX198" s="266"/>
      <c r="AY198" s="31"/>
      <c r="AZ198" s="31"/>
      <c r="BA198" s="31"/>
      <c r="BB198" s="31"/>
      <c r="BC198" s="234"/>
      <c r="BD198" s="234"/>
      <c r="BE198" s="234"/>
      <c r="BF198" s="234"/>
      <c r="BG198" s="234"/>
      <c r="BH198" s="234"/>
      <c r="BI198" s="234"/>
      <c r="BJ198" s="234"/>
      <c r="BK198" s="31"/>
      <c r="BL198" s="31"/>
      <c r="BM198" s="31"/>
      <c r="BN198" s="31"/>
      <c r="BO198" s="31"/>
      <c r="BP198" s="234"/>
      <c r="BQ198" s="234"/>
      <c r="BR198" s="234"/>
      <c r="BS198" s="234"/>
      <c r="BT198" s="234"/>
      <c r="BU198" s="234"/>
      <c r="BV198" s="234"/>
      <c r="BW198" s="234"/>
      <c r="BX198" s="234"/>
      <c r="BY198" s="234"/>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234"/>
      <c r="DE198" s="234"/>
      <c r="DF198" s="234"/>
      <c r="DG198" s="234"/>
      <c r="DH198" s="234"/>
      <c r="DI198" s="234"/>
      <c r="DJ198" s="234"/>
      <c r="DK198" s="234"/>
      <c r="DL198" s="31"/>
      <c r="DM198" s="234"/>
      <c r="DN198" s="234"/>
      <c r="DO198" s="234"/>
      <c r="DP198" s="234"/>
      <c r="DQ198" s="234"/>
      <c r="DR198" s="234"/>
      <c r="DS198" s="234"/>
      <c r="DT198" s="234"/>
    </row>
    <row r="199" spans="1:156" s="232" customFormat="1" x14ac:dyDescent="0.25">
      <c r="X199" s="233"/>
      <c r="Y199" s="233"/>
      <c r="Z199" s="233"/>
      <c r="AA199" s="233"/>
      <c r="AB199" s="233"/>
      <c r="AC199" s="233"/>
      <c r="AD199" s="233"/>
      <c r="AE199" s="233"/>
      <c r="AF199" s="233"/>
      <c r="AG199" s="233"/>
      <c r="AH199" s="266"/>
      <c r="AI199" s="266"/>
      <c r="AJ199" s="266"/>
      <c r="AK199" s="266"/>
      <c r="AL199" s="266"/>
      <c r="AM199" s="266"/>
      <c r="AN199" s="266"/>
      <c r="AO199" s="266"/>
      <c r="AP199" s="266"/>
      <c r="AQ199" s="266"/>
      <c r="AR199" s="266"/>
      <c r="AS199" s="266"/>
      <c r="AT199" s="266"/>
      <c r="AU199" s="266"/>
      <c r="AV199" s="266"/>
      <c r="AW199" s="266"/>
      <c r="AX199" s="266"/>
      <c r="AY199" s="31"/>
      <c r="AZ199" s="31"/>
      <c r="BA199" s="31"/>
      <c r="BB199" s="31"/>
      <c r="BC199" s="234"/>
      <c r="BD199" s="234"/>
      <c r="BE199" s="234"/>
      <c r="BF199" s="234"/>
      <c r="BG199" s="234"/>
      <c r="BH199" s="234"/>
      <c r="BI199" s="234"/>
      <c r="BJ199" s="234"/>
      <c r="BK199" s="31"/>
      <c r="BL199" s="31"/>
      <c r="BM199" s="31"/>
      <c r="BN199" s="31"/>
      <c r="BO199" s="234"/>
      <c r="BP199" s="234"/>
      <c r="BQ199" s="234"/>
      <c r="BR199" s="234"/>
      <c r="BS199" s="234"/>
      <c r="BT199" s="234"/>
      <c r="BU199" s="234"/>
      <c r="BV199" s="234"/>
      <c r="BW199" s="234"/>
      <c r="BX199" s="234"/>
      <c r="BY199" s="234"/>
      <c r="BZ199" s="234"/>
      <c r="CA199" s="234"/>
      <c r="CB199" s="234"/>
      <c r="CC199" s="234"/>
      <c r="CD199" s="234"/>
      <c r="CE199" s="234"/>
      <c r="CF199" s="234"/>
      <c r="CG199" s="234"/>
      <c r="CH199" s="234"/>
      <c r="CI199" s="234"/>
      <c r="CJ199" s="234"/>
      <c r="CK199" s="234"/>
      <c r="CL199" s="234"/>
      <c r="CM199" s="234"/>
      <c r="CN199" s="234"/>
      <c r="CO199" s="234"/>
      <c r="CP199" s="234"/>
      <c r="CQ199" s="234"/>
      <c r="CR199" s="234"/>
      <c r="CS199" s="234"/>
      <c r="CT199" s="234"/>
      <c r="CU199" s="234"/>
      <c r="CV199" s="234"/>
      <c r="CW199" s="234"/>
      <c r="CX199" s="234"/>
      <c r="CY199" s="234"/>
      <c r="CZ199" s="31"/>
      <c r="DA199" s="31"/>
      <c r="DB199" s="31"/>
      <c r="DC199" s="31"/>
      <c r="DD199" s="234"/>
      <c r="DE199" s="234"/>
      <c r="DF199" s="234"/>
      <c r="DG199" s="234"/>
      <c r="DH199" s="234"/>
      <c r="DI199" s="234"/>
      <c r="DJ199" s="234"/>
      <c r="DK199" s="234"/>
      <c r="DL199" s="31"/>
      <c r="DM199" s="234"/>
      <c r="DN199" s="234"/>
      <c r="DO199" s="234"/>
      <c r="DP199" s="234"/>
      <c r="DQ199" s="234"/>
      <c r="DR199" s="234"/>
      <c r="DS199" s="234"/>
      <c r="DT199" s="234"/>
      <c r="DU199" s="231"/>
      <c r="DV199" s="231"/>
      <c r="DW199" s="231"/>
      <c r="DX199" s="231"/>
      <c r="DY199" s="231"/>
      <c r="DZ199" s="231"/>
      <c r="EA199" s="231"/>
      <c r="EB199" s="231"/>
      <c r="EC199" s="231"/>
      <c r="ED199" s="231"/>
      <c r="EE199" s="231"/>
      <c r="EF199" s="231"/>
      <c r="EG199" s="231"/>
      <c r="EH199" s="231"/>
      <c r="EI199" s="231"/>
      <c r="EJ199" s="231"/>
      <c r="EK199" s="231"/>
      <c r="EL199" s="231"/>
      <c r="EM199" s="231"/>
      <c r="EN199" s="231"/>
      <c r="EO199" s="231"/>
      <c r="EP199" s="231"/>
      <c r="EQ199" s="231"/>
      <c r="ER199" s="231"/>
      <c r="ES199" s="231"/>
      <c r="ET199" s="231"/>
      <c r="EU199" s="231"/>
      <c r="EV199" s="231"/>
      <c r="EW199" s="231"/>
      <c r="EX199" s="231"/>
      <c r="EY199" s="231"/>
      <c r="EZ199" s="231"/>
    </row>
    <row r="200" spans="1:156" s="231" customFormat="1" x14ac:dyDescent="0.25">
      <c r="A200" s="232"/>
      <c r="B200" s="232"/>
      <c r="C200" s="232"/>
      <c r="D200" s="120" t="str">
        <f>IF(D183="","",(IF(OR((D183+D187+D191)&lt;100,(D183+D187+D191)&gt;100),"OBS! Summan av areaandel av Atemp i % ska vara 100%!","")))</f>
        <v/>
      </c>
      <c r="E200" s="232"/>
      <c r="F200" s="232"/>
      <c r="G200" s="232"/>
      <c r="H200" s="232"/>
      <c r="I200" s="232"/>
      <c r="J200" s="232"/>
      <c r="K200" s="232"/>
      <c r="L200" s="232"/>
      <c r="M200" s="232"/>
      <c r="N200" s="232"/>
      <c r="O200" s="232"/>
      <c r="P200" s="232"/>
      <c r="Q200" s="232"/>
      <c r="R200" s="232"/>
      <c r="S200" s="232"/>
      <c r="T200" s="232"/>
      <c r="U200" s="232"/>
      <c r="V200" s="232"/>
      <c r="W200" s="232"/>
      <c r="X200" s="233"/>
      <c r="Y200" s="233"/>
      <c r="Z200" s="233"/>
      <c r="AA200" s="233"/>
      <c r="AB200" s="233"/>
      <c r="AC200" s="233"/>
      <c r="AD200" s="233"/>
      <c r="AE200" s="233"/>
      <c r="AF200" s="233"/>
      <c r="AG200" s="233"/>
      <c r="AH200" s="266"/>
      <c r="AI200" s="266"/>
      <c r="AJ200" s="266"/>
      <c r="AK200" s="233"/>
      <c r="AL200" s="233"/>
      <c r="AM200" s="233"/>
      <c r="AN200" s="233"/>
      <c r="AO200" s="233"/>
      <c r="AP200" s="233"/>
      <c r="AQ200" s="233"/>
      <c r="AR200" s="233"/>
      <c r="AS200" s="233"/>
      <c r="AT200" s="233"/>
      <c r="AU200" s="233"/>
      <c r="AV200" s="233"/>
      <c r="AW200" s="233"/>
      <c r="AX200" s="233"/>
      <c r="AY200" s="31"/>
      <c r="AZ200" s="31"/>
      <c r="BA200" s="31"/>
      <c r="BB200" s="31"/>
      <c r="BC200" s="234"/>
      <c r="BD200" s="234"/>
      <c r="BE200" s="234"/>
      <c r="BF200" s="234"/>
      <c r="BG200" s="234"/>
      <c r="BH200" s="234"/>
      <c r="BI200" s="234"/>
      <c r="BJ200" s="234"/>
      <c r="BK200" s="31"/>
      <c r="BL200" s="234"/>
      <c r="BM200" s="234"/>
      <c r="BN200" s="234"/>
      <c r="BO200" s="234"/>
      <c r="BP200" s="234"/>
      <c r="BQ200" s="234"/>
      <c r="BR200" s="234"/>
      <c r="BS200" s="234"/>
      <c r="BT200" s="234"/>
      <c r="BU200" s="234"/>
      <c r="BV200" s="234"/>
      <c r="BW200" s="234"/>
      <c r="BX200" s="234"/>
      <c r="BY200" s="234"/>
      <c r="BZ200" s="234"/>
      <c r="CA200" s="234"/>
      <c r="CB200" s="234"/>
      <c r="CC200" s="234"/>
      <c r="CD200" s="234"/>
      <c r="CE200" s="234"/>
      <c r="CF200" s="234"/>
      <c r="CG200" s="234"/>
      <c r="CH200" s="234"/>
      <c r="CI200" s="234"/>
      <c r="CJ200" s="234"/>
      <c r="CK200" s="234"/>
      <c r="CL200" s="234"/>
      <c r="CM200" s="234"/>
      <c r="CN200" s="234"/>
      <c r="CO200" s="234"/>
      <c r="CP200" s="234"/>
      <c r="CQ200" s="234"/>
      <c r="CR200" s="234"/>
      <c r="CS200" s="234"/>
      <c r="CT200" s="234"/>
      <c r="CU200" s="234"/>
      <c r="CV200" s="234"/>
      <c r="CW200" s="234"/>
      <c r="CX200" s="234"/>
      <c r="CY200" s="234"/>
      <c r="CZ200" s="234"/>
      <c r="DA200" s="234"/>
      <c r="DB200" s="234"/>
      <c r="DC200" s="234"/>
      <c r="DD200" s="234"/>
      <c r="DE200" s="234"/>
      <c r="DF200" s="234"/>
      <c r="DG200" s="234"/>
      <c r="DH200" s="234"/>
      <c r="DI200" s="234"/>
      <c r="DJ200" s="234"/>
      <c r="DK200" s="234"/>
      <c r="DL200" s="234"/>
      <c r="DM200" s="234"/>
      <c r="DN200" s="234"/>
      <c r="DO200" s="234"/>
      <c r="DP200" s="234"/>
      <c r="DQ200" s="234"/>
      <c r="DR200" s="234"/>
      <c r="DS200" s="234"/>
      <c r="DT200" s="234"/>
    </row>
    <row r="201" spans="1:156" s="231" customFormat="1" x14ac:dyDescent="0.25">
      <c r="A201" s="232"/>
      <c r="D201" s="235" t="str">
        <f>IF(D184="","",(IF(D194&lt;10,"OBS! Se över din indata, genomsnittlig inomhustemperatur kan inte vara lägre än 10 grader!","")))</f>
        <v/>
      </c>
      <c r="E201" s="232"/>
      <c r="H201" s="232"/>
      <c r="K201" s="232"/>
      <c r="N201" s="232"/>
      <c r="W201" s="232"/>
      <c r="X201" s="233"/>
      <c r="Y201" s="233"/>
      <c r="Z201" s="233"/>
      <c r="AA201" s="233"/>
      <c r="AB201" s="233"/>
      <c r="AC201" s="233"/>
      <c r="AD201" s="233"/>
      <c r="AE201" s="233"/>
      <c r="AF201" s="233"/>
      <c r="AG201" s="233"/>
      <c r="AH201" s="266"/>
      <c r="AI201" s="266"/>
      <c r="AJ201" s="266"/>
      <c r="AK201" s="233"/>
      <c r="AL201" s="233"/>
      <c r="AM201" s="233"/>
      <c r="AN201" s="233"/>
      <c r="AO201" s="233"/>
      <c r="AP201" s="233"/>
      <c r="AQ201" s="233"/>
      <c r="AR201" s="233"/>
      <c r="AS201" s="233"/>
      <c r="AT201" s="233"/>
      <c r="AU201" s="233"/>
      <c r="AV201" s="233"/>
      <c r="AW201" s="233"/>
      <c r="AX201" s="233"/>
      <c r="AY201" s="31"/>
      <c r="AZ201" s="31"/>
      <c r="BA201" s="31"/>
      <c r="BB201" s="31"/>
      <c r="BC201" s="234"/>
      <c r="BD201" s="234"/>
      <c r="BE201" s="234"/>
      <c r="BF201" s="234"/>
      <c r="BG201" s="234"/>
      <c r="BH201" s="234"/>
      <c r="BI201" s="234"/>
      <c r="BJ201" s="234"/>
      <c r="BK201" s="31"/>
      <c r="BL201" s="234"/>
      <c r="BM201" s="234"/>
      <c r="BN201" s="234"/>
      <c r="BO201" s="234"/>
      <c r="BP201" s="234"/>
      <c r="BQ201" s="234"/>
      <c r="BR201" s="234"/>
      <c r="BS201" s="234"/>
      <c r="BT201" s="234"/>
      <c r="BU201" s="234"/>
      <c r="BV201" s="234"/>
      <c r="BW201" s="234"/>
      <c r="BX201" s="234"/>
      <c r="BY201" s="234"/>
      <c r="BZ201" s="234"/>
      <c r="CA201" s="234"/>
      <c r="CB201" s="234"/>
      <c r="CC201" s="234"/>
      <c r="CD201" s="234"/>
      <c r="CE201" s="234"/>
      <c r="CF201" s="234"/>
      <c r="CG201" s="234"/>
      <c r="CH201" s="234"/>
      <c r="CI201" s="234"/>
      <c r="CJ201" s="234"/>
      <c r="CK201" s="234"/>
      <c r="CL201" s="234"/>
      <c r="CM201" s="234"/>
      <c r="CN201" s="234"/>
      <c r="CO201" s="234"/>
      <c r="CP201" s="234"/>
      <c r="CQ201" s="234"/>
      <c r="CR201" s="234"/>
      <c r="CS201" s="234"/>
      <c r="CT201" s="234"/>
      <c r="CU201" s="234"/>
      <c r="CV201" s="234"/>
      <c r="CW201" s="234"/>
      <c r="CX201" s="234"/>
      <c r="CY201" s="234"/>
      <c r="CZ201" s="234"/>
      <c r="DA201" s="234"/>
      <c r="DB201" s="234"/>
      <c r="DC201" s="234"/>
      <c r="DD201" s="234"/>
      <c r="DE201" s="234"/>
      <c r="DF201" s="234"/>
      <c r="DG201" s="234"/>
      <c r="DH201" s="234"/>
      <c r="DI201" s="234"/>
      <c r="DJ201" s="234"/>
      <c r="DK201" s="234"/>
      <c r="DL201" s="234"/>
      <c r="DM201" s="234"/>
      <c r="DN201" s="234"/>
      <c r="DO201" s="234"/>
      <c r="DP201" s="234"/>
      <c r="DQ201" s="234"/>
      <c r="DR201" s="234"/>
      <c r="DS201" s="234"/>
      <c r="DT201" s="234"/>
      <c r="DU201" s="232"/>
      <c r="DV201" s="232"/>
      <c r="DW201" s="232"/>
      <c r="DX201" s="232"/>
      <c r="DY201" s="232"/>
      <c r="DZ201" s="232"/>
      <c r="EA201" s="232"/>
      <c r="EB201" s="232"/>
      <c r="EC201" s="232"/>
      <c r="ED201" s="232"/>
      <c r="EE201" s="232"/>
      <c r="EF201" s="232"/>
      <c r="EG201" s="232"/>
      <c r="EH201" s="232"/>
      <c r="EI201" s="232"/>
      <c r="EJ201" s="232"/>
      <c r="EK201" s="232"/>
      <c r="EL201" s="232"/>
      <c r="EM201" s="232"/>
      <c r="EN201" s="232"/>
      <c r="EO201" s="232"/>
      <c r="EP201" s="232"/>
      <c r="EQ201" s="232"/>
      <c r="ER201" s="232"/>
      <c r="ES201" s="232"/>
      <c r="ET201" s="232"/>
      <c r="EU201" s="232"/>
      <c r="EV201" s="232"/>
      <c r="EW201" s="232"/>
      <c r="EX201" s="232"/>
      <c r="EY201" s="232"/>
      <c r="EZ201" s="232"/>
    </row>
    <row r="202" spans="1:156" s="231" customFormat="1" x14ac:dyDescent="0.25">
      <c r="A202" s="232"/>
      <c r="H202" s="232"/>
      <c r="K202" s="232"/>
      <c r="N202" s="232"/>
      <c r="W202" s="232"/>
      <c r="X202" s="233"/>
      <c r="Y202" s="233"/>
      <c r="Z202" s="233"/>
      <c r="AA202" s="242"/>
      <c r="AB202" s="233"/>
      <c r="AC202" s="233"/>
      <c r="AD202" s="233"/>
      <c r="AE202" s="233"/>
      <c r="AF202" s="233"/>
      <c r="AG202" s="233"/>
      <c r="AH202" s="266"/>
      <c r="AI202" s="266"/>
      <c r="AJ202" s="266"/>
      <c r="AK202" s="233"/>
      <c r="AL202" s="233"/>
      <c r="AM202" s="233"/>
      <c r="AN202" s="233"/>
      <c r="AO202" s="233"/>
      <c r="AP202" s="233"/>
      <c r="AQ202" s="233"/>
      <c r="AR202" s="233"/>
      <c r="AS202" s="233"/>
      <c r="AT202" s="233"/>
      <c r="AU202" s="233"/>
      <c r="AV202" s="233"/>
      <c r="AW202" s="233"/>
      <c r="AX202" s="233"/>
      <c r="AY202" s="234"/>
      <c r="AZ202" s="234"/>
      <c r="BA202" s="234"/>
      <c r="BB202" s="234"/>
      <c r="BC202" s="234"/>
      <c r="BD202" s="234"/>
      <c r="BE202" s="234"/>
      <c r="BF202" s="234"/>
      <c r="BG202" s="234"/>
      <c r="BH202" s="234"/>
      <c r="BI202" s="234"/>
      <c r="BJ202" s="234"/>
      <c r="BK202" s="234"/>
      <c r="BL202" s="234"/>
      <c r="BM202" s="234"/>
      <c r="BN202" s="234"/>
      <c r="BO202" s="234"/>
      <c r="BP202" s="234"/>
      <c r="BQ202" s="234"/>
      <c r="BR202" s="234"/>
      <c r="BS202" s="234"/>
      <c r="BT202" s="234"/>
      <c r="BU202" s="234"/>
      <c r="BV202" s="234"/>
      <c r="BW202" s="234"/>
      <c r="BX202" s="234"/>
      <c r="BY202" s="234"/>
      <c r="BZ202" s="234"/>
      <c r="CA202" s="234"/>
      <c r="CB202" s="234"/>
      <c r="CC202" s="234"/>
      <c r="CD202" s="234"/>
      <c r="CE202" s="234"/>
      <c r="CF202" s="234"/>
      <c r="CG202" s="234"/>
      <c r="CH202" s="234"/>
      <c r="CI202" s="234"/>
      <c r="CJ202" s="234"/>
      <c r="CK202" s="234"/>
      <c r="CL202" s="234"/>
      <c r="CM202" s="234"/>
      <c r="CN202" s="234"/>
      <c r="CO202" s="234"/>
      <c r="CP202" s="234"/>
      <c r="CQ202" s="234"/>
      <c r="CR202" s="234"/>
      <c r="CS202" s="234"/>
      <c r="CT202" s="234"/>
      <c r="CU202" s="234"/>
      <c r="CV202" s="234"/>
      <c r="CW202" s="234"/>
      <c r="CX202" s="234"/>
      <c r="CY202" s="234"/>
      <c r="CZ202" s="234"/>
      <c r="DA202" s="234"/>
      <c r="DB202" s="234"/>
      <c r="DC202" s="234"/>
      <c r="DD202" s="234"/>
      <c r="DE202" s="234"/>
      <c r="DF202" s="234"/>
      <c r="DG202" s="234"/>
      <c r="DH202" s="234"/>
      <c r="DI202" s="234"/>
      <c r="DJ202" s="234"/>
      <c r="DK202" s="234"/>
      <c r="DL202" s="234"/>
      <c r="DM202" s="234"/>
      <c r="DN202" s="234"/>
      <c r="DO202" s="234"/>
      <c r="DP202" s="234"/>
      <c r="DQ202" s="234"/>
      <c r="DR202" s="234"/>
      <c r="DS202" s="234"/>
      <c r="DT202" s="234"/>
    </row>
    <row r="203" spans="1:156" s="231" customFormat="1" x14ac:dyDescent="0.25">
      <c r="A203" s="232"/>
      <c r="H203" s="232"/>
      <c r="K203" s="232"/>
      <c r="N203" s="232"/>
      <c r="W203" s="232"/>
      <c r="X203" s="266"/>
      <c r="Y203" s="266"/>
      <c r="Z203" s="266"/>
      <c r="AA203" s="187"/>
      <c r="AB203" s="266"/>
      <c r="AC203" s="128"/>
      <c r="AD203" s="266"/>
      <c r="AE203" s="266"/>
      <c r="AF203" s="266"/>
      <c r="AG203" s="266"/>
      <c r="AH203" s="266"/>
      <c r="AI203" s="266"/>
      <c r="AJ203" s="266"/>
      <c r="AK203" s="233"/>
      <c r="AL203" s="233"/>
      <c r="AM203" s="233"/>
      <c r="AN203" s="233"/>
      <c r="AO203" s="233"/>
      <c r="AP203" s="233"/>
      <c r="AQ203" s="233"/>
      <c r="AR203" s="233"/>
      <c r="AS203" s="233"/>
      <c r="AT203" s="233"/>
      <c r="AU203" s="233"/>
      <c r="AV203" s="233"/>
      <c r="AW203" s="233"/>
      <c r="AX203" s="233"/>
      <c r="AY203" s="234"/>
      <c r="AZ203" s="234"/>
      <c r="BA203" s="234"/>
      <c r="BB203" s="234"/>
      <c r="BC203" s="234"/>
      <c r="BD203" s="234"/>
      <c r="BE203" s="234"/>
      <c r="BF203" s="234"/>
      <c r="BG203" s="234"/>
      <c r="BH203" s="234"/>
      <c r="BI203" s="234"/>
      <c r="BJ203" s="234"/>
      <c r="BK203" s="234"/>
      <c r="BL203" s="234"/>
      <c r="BM203" s="234"/>
      <c r="BN203" s="234"/>
      <c r="BO203" s="234"/>
      <c r="BP203" s="234"/>
      <c r="BQ203" s="234"/>
      <c r="BR203" s="234"/>
      <c r="BS203" s="234"/>
      <c r="BT203" s="234"/>
      <c r="BU203" s="234"/>
      <c r="BV203" s="234"/>
      <c r="BW203" s="234"/>
      <c r="BX203" s="234"/>
      <c r="BY203" s="234"/>
      <c r="BZ203" s="234"/>
      <c r="CA203" s="234"/>
      <c r="CB203" s="234"/>
      <c r="CC203" s="234"/>
      <c r="CD203" s="234"/>
      <c r="CE203" s="234"/>
      <c r="CF203" s="234"/>
      <c r="CG203" s="234"/>
      <c r="CH203" s="234"/>
      <c r="CI203" s="234"/>
      <c r="CJ203" s="234"/>
      <c r="CK203" s="234"/>
      <c r="CL203" s="234"/>
      <c r="CM203" s="234"/>
      <c r="CN203" s="234"/>
      <c r="CO203" s="234"/>
      <c r="CP203" s="234"/>
      <c r="CQ203" s="234"/>
      <c r="CR203" s="234"/>
      <c r="CS203" s="234"/>
      <c r="CT203" s="234"/>
      <c r="CU203" s="234"/>
      <c r="CV203" s="234"/>
      <c r="CW203" s="234"/>
      <c r="CX203" s="234"/>
      <c r="CY203" s="234"/>
      <c r="CZ203" s="234"/>
      <c r="DA203" s="234"/>
      <c r="DB203" s="234"/>
      <c r="DC203" s="234"/>
      <c r="DD203" s="234"/>
      <c r="DE203" s="234"/>
      <c r="DF203" s="234"/>
      <c r="DG203" s="234"/>
      <c r="DH203" s="234"/>
      <c r="DI203" s="234"/>
      <c r="DJ203" s="234"/>
      <c r="DK203" s="234"/>
      <c r="DL203" s="234"/>
      <c r="DM203" s="234"/>
      <c r="DN203" s="234"/>
      <c r="DO203" s="234"/>
      <c r="DP203" s="234"/>
      <c r="DQ203" s="234"/>
      <c r="DR203" s="234"/>
      <c r="DS203" s="234"/>
      <c r="DT203" s="234"/>
    </row>
    <row r="204" spans="1:156" s="231" customFormat="1" x14ac:dyDescent="0.25">
      <c r="A204" s="232"/>
      <c r="H204" s="232"/>
      <c r="K204" s="232"/>
      <c r="N204" s="232"/>
      <c r="W204" s="232"/>
      <c r="X204" s="266"/>
      <c r="Y204" s="266"/>
      <c r="Z204" s="266"/>
      <c r="AA204" s="242" t="s">
        <v>1197</v>
      </c>
      <c r="AB204" s="266"/>
      <c r="AC204" s="266"/>
      <c r="AD204" s="266"/>
      <c r="AE204" s="266"/>
      <c r="AF204" s="267"/>
      <c r="AG204" s="266"/>
      <c r="AH204" s="233"/>
      <c r="AI204" s="233"/>
      <c r="AJ204" s="233"/>
      <c r="AK204" s="233"/>
      <c r="AL204" s="233"/>
      <c r="AM204" s="233"/>
      <c r="AN204" s="233"/>
      <c r="AO204" s="233"/>
      <c r="AP204" s="233"/>
      <c r="AQ204" s="233"/>
      <c r="AR204" s="233"/>
      <c r="AS204" s="233"/>
      <c r="AT204" s="233"/>
      <c r="AU204" s="233"/>
      <c r="AV204" s="233"/>
      <c r="AW204" s="233"/>
      <c r="AX204" s="233"/>
      <c r="AY204" s="234"/>
      <c r="AZ204" s="234"/>
      <c r="BA204" s="234"/>
      <c r="BB204" s="234"/>
      <c r="BC204" s="31"/>
      <c r="BD204" s="38"/>
      <c r="BE204" s="38" t="s">
        <v>1402</v>
      </c>
      <c r="BF204" s="31"/>
      <c r="BG204" s="137"/>
      <c r="BH204" s="31"/>
      <c r="BI204" s="31"/>
      <c r="BJ204" s="31"/>
      <c r="BK204" s="234"/>
      <c r="BL204" s="38" t="s">
        <v>1403</v>
      </c>
      <c r="BM204" s="234"/>
      <c r="BN204" s="234"/>
      <c r="BO204" s="234"/>
      <c r="BP204" s="234"/>
      <c r="BQ204" s="234"/>
      <c r="BR204" s="234"/>
      <c r="BS204" s="234"/>
      <c r="BT204" s="234"/>
      <c r="BU204" s="234"/>
      <c r="BV204" s="234"/>
      <c r="BW204" s="234"/>
      <c r="BX204" s="234"/>
      <c r="BY204" s="234"/>
      <c r="BZ204" s="234"/>
      <c r="CA204" s="234"/>
      <c r="CB204" s="234"/>
      <c r="CC204" s="234"/>
      <c r="CD204" s="234"/>
      <c r="CE204" s="234"/>
      <c r="CF204" s="234"/>
      <c r="CG204" s="234"/>
      <c r="CH204" s="234"/>
      <c r="CI204" s="234"/>
      <c r="CJ204" s="234"/>
      <c r="CK204" s="234"/>
      <c r="CL204" s="234"/>
      <c r="CM204" s="234"/>
      <c r="CN204" s="234"/>
      <c r="CO204" s="234"/>
      <c r="CP204" s="234"/>
      <c r="CQ204" s="234"/>
      <c r="CR204" s="234"/>
      <c r="CS204" s="234"/>
      <c r="CT204" s="234"/>
      <c r="CU204" s="234"/>
      <c r="CV204" s="234"/>
      <c r="CW204" s="234"/>
      <c r="CX204" s="234"/>
      <c r="CY204" s="234"/>
      <c r="CZ204" s="234"/>
      <c r="DA204" s="234"/>
      <c r="DB204" s="234"/>
      <c r="DC204" s="234"/>
      <c r="DD204" s="234"/>
      <c r="DE204" s="234"/>
      <c r="DF204" s="234"/>
      <c r="DG204" s="234"/>
      <c r="DH204" s="234"/>
      <c r="DI204" s="234"/>
      <c r="DJ204" s="234"/>
      <c r="DK204" s="234"/>
      <c r="DL204" s="234"/>
      <c r="DM204" s="234"/>
      <c r="DN204" s="234"/>
      <c r="DO204" s="234"/>
      <c r="DP204" s="234"/>
      <c r="DQ204" s="234"/>
      <c r="DR204" s="234"/>
      <c r="DS204" s="234"/>
      <c r="DT204" s="234"/>
    </row>
    <row r="205" spans="1:156" s="231" customFormat="1" x14ac:dyDescent="0.25">
      <c r="A205" s="232"/>
      <c r="H205" s="232"/>
      <c r="K205" s="232"/>
      <c r="N205" s="232"/>
      <c r="W205" s="232"/>
      <c r="X205" s="266"/>
      <c r="Y205" s="266"/>
      <c r="Z205" s="266"/>
      <c r="AA205" s="266"/>
      <c r="AB205" s="267"/>
      <c r="AC205" s="267"/>
      <c r="AD205" s="267"/>
      <c r="AE205" s="267"/>
      <c r="AF205" s="266"/>
      <c r="AG205" s="266"/>
      <c r="AH205" s="233"/>
      <c r="AI205" s="233"/>
      <c r="AJ205" s="233"/>
      <c r="AK205" s="233"/>
      <c r="AL205" s="233"/>
      <c r="AM205" s="233"/>
      <c r="AN205" s="233"/>
      <c r="AO205" s="233"/>
      <c r="AP205" s="233"/>
      <c r="AQ205" s="233"/>
      <c r="AR205" s="233"/>
      <c r="AS205" s="233"/>
      <c r="AT205" s="233"/>
      <c r="AU205" s="233"/>
      <c r="AV205" s="233"/>
      <c r="AW205" s="233"/>
      <c r="AX205" s="233"/>
      <c r="AY205" s="234"/>
      <c r="AZ205" s="234"/>
      <c r="BA205" s="234"/>
      <c r="BB205" s="234"/>
      <c r="BC205" s="31"/>
      <c r="BD205" s="31"/>
      <c r="BE205" s="31"/>
      <c r="BF205" s="31"/>
      <c r="BG205" s="31"/>
      <c r="BH205" s="31"/>
      <c r="BI205" s="31"/>
      <c r="BJ205" s="31"/>
      <c r="BK205" s="234"/>
      <c r="BL205" s="234"/>
      <c r="BM205" s="124" t="s">
        <v>1404</v>
      </c>
      <c r="BN205" s="234"/>
      <c r="BO205" s="234"/>
      <c r="BP205" s="234"/>
      <c r="BQ205" s="234"/>
      <c r="BR205" s="234"/>
      <c r="BS205" s="234"/>
      <c r="BT205" s="234"/>
      <c r="BU205" s="234"/>
      <c r="BV205" s="234"/>
      <c r="BW205" s="234"/>
      <c r="BX205" s="234"/>
      <c r="BY205" s="234"/>
      <c r="BZ205" s="234"/>
      <c r="CA205" s="234"/>
      <c r="CB205" s="234"/>
      <c r="CC205" s="234"/>
      <c r="CD205" s="234"/>
      <c r="CE205" s="234"/>
      <c r="CF205" s="234"/>
      <c r="CG205" s="234"/>
      <c r="CH205" s="234"/>
      <c r="CI205" s="234"/>
      <c r="CJ205" s="234"/>
      <c r="CK205" s="234"/>
      <c r="CL205" s="234"/>
      <c r="CM205" s="234"/>
      <c r="CN205" s="234"/>
      <c r="CO205" s="234"/>
      <c r="CP205" s="234"/>
      <c r="CQ205" s="234"/>
      <c r="CR205" s="234"/>
      <c r="CS205" s="234"/>
      <c r="CT205" s="234"/>
      <c r="CU205" s="234"/>
      <c r="CV205" s="234"/>
      <c r="CW205" s="234"/>
      <c r="CX205" s="234"/>
      <c r="CY205" s="234"/>
      <c r="CZ205" s="234"/>
      <c r="DA205" s="234"/>
      <c r="DB205" s="234"/>
      <c r="DC205" s="234"/>
      <c r="DD205" s="234"/>
      <c r="DE205" s="234"/>
      <c r="DF205" s="234"/>
      <c r="DG205" s="234"/>
      <c r="DH205" s="234"/>
      <c r="DI205" s="234"/>
      <c r="DJ205" s="234"/>
      <c r="DK205" s="234"/>
      <c r="DL205" s="234"/>
      <c r="DM205" s="234"/>
      <c r="DN205" s="234"/>
      <c r="DO205" s="234"/>
      <c r="DP205" s="234"/>
      <c r="DQ205" s="234"/>
      <c r="DR205" s="234"/>
      <c r="DS205" s="234"/>
      <c r="DT205" s="234"/>
    </row>
    <row r="206" spans="1:156" s="231" customFormat="1" x14ac:dyDescent="0.25">
      <c r="A206" s="232"/>
      <c r="H206" s="232"/>
      <c r="K206" s="232"/>
      <c r="N206" s="232"/>
      <c r="W206" s="232"/>
      <c r="X206" s="266"/>
      <c r="Y206" s="266"/>
      <c r="Z206" s="266"/>
      <c r="AA206" s="266"/>
      <c r="AB206" s="266"/>
      <c r="AC206" s="266"/>
      <c r="AD206" s="266"/>
      <c r="AE206" s="125" t="s">
        <v>1404</v>
      </c>
      <c r="AF206" s="266"/>
      <c r="AG206" s="266"/>
      <c r="AH206" s="233"/>
      <c r="AI206" s="233"/>
      <c r="AJ206" s="233"/>
      <c r="AK206" s="233"/>
      <c r="AL206" s="233"/>
      <c r="AM206" s="233"/>
      <c r="AN206" s="233"/>
      <c r="AO206" s="233"/>
      <c r="AP206" s="233"/>
      <c r="AQ206" s="233"/>
      <c r="AR206" s="233"/>
      <c r="AS206" s="233"/>
      <c r="AT206" s="233"/>
      <c r="AU206" s="233"/>
      <c r="AV206" s="233"/>
      <c r="AW206" s="233"/>
      <c r="AX206" s="233"/>
      <c r="AY206" s="234"/>
      <c r="AZ206" s="234"/>
      <c r="BA206" s="234"/>
      <c r="BB206" s="234"/>
      <c r="BC206" s="31"/>
      <c r="BD206" s="31"/>
      <c r="BE206" s="31"/>
      <c r="BF206" s="31"/>
      <c r="BG206" s="31"/>
      <c r="BH206" s="31"/>
      <c r="BI206" s="31"/>
      <c r="BJ206" s="31"/>
      <c r="BK206" s="234"/>
      <c r="BL206" s="234"/>
      <c r="BM206" s="234"/>
      <c r="BN206" s="234"/>
      <c r="BO206" s="234"/>
      <c r="BP206" s="234"/>
      <c r="BQ206" s="234"/>
      <c r="BR206" s="234"/>
      <c r="BS206" s="234"/>
      <c r="BT206" s="234"/>
      <c r="BU206" s="234"/>
      <c r="BV206" s="234"/>
      <c r="BW206" s="234"/>
      <c r="BX206" s="234"/>
      <c r="BY206" s="234"/>
      <c r="BZ206" s="234"/>
      <c r="CA206" s="234"/>
      <c r="CB206" s="234"/>
      <c r="CC206" s="234"/>
      <c r="CD206" s="234"/>
      <c r="CE206" s="234"/>
      <c r="CF206" s="234"/>
      <c r="CG206" s="234"/>
      <c r="CH206" s="234"/>
      <c r="CI206" s="234"/>
      <c r="CJ206" s="234"/>
      <c r="CK206" s="234"/>
      <c r="CL206" s="234"/>
      <c r="CM206" s="234"/>
      <c r="CN206" s="234"/>
      <c r="CO206" s="234"/>
      <c r="CP206" s="234"/>
      <c r="CQ206" s="234"/>
      <c r="CR206" s="234"/>
      <c r="CS206" s="234"/>
      <c r="CT206" s="234"/>
      <c r="CU206" s="234"/>
      <c r="CV206" s="234"/>
      <c r="CW206" s="234"/>
      <c r="CX206" s="234"/>
      <c r="CY206" s="234"/>
      <c r="CZ206" s="234"/>
      <c r="DA206" s="234"/>
      <c r="DB206" s="234"/>
      <c r="DC206" s="234"/>
      <c r="DD206" s="234"/>
      <c r="DE206" s="234"/>
      <c r="DF206" s="234"/>
      <c r="DG206" s="234"/>
      <c r="DH206" s="234"/>
      <c r="DI206" s="234"/>
      <c r="DJ206" s="234"/>
      <c r="DK206" s="234"/>
      <c r="DL206" s="234"/>
      <c r="DM206" s="234"/>
      <c r="DN206" s="234"/>
      <c r="DO206" s="234"/>
      <c r="DP206" s="234"/>
      <c r="DQ206" s="234"/>
      <c r="DR206" s="234"/>
      <c r="DS206" s="234"/>
      <c r="DT206" s="234"/>
    </row>
    <row r="207" spans="1:156" s="231" customFormat="1" ht="18.75" x14ac:dyDescent="0.25">
      <c r="A207" s="232"/>
      <c r="H207" s="232"/>
      <c r="K207" s="232"/>
      <c r="N207" s="232"/>
      <c r="W207" s="232"/>
      <c r="X207" s="266"/>
      <c r="Y207" s="266"/>
      <c r="Z207" s="138" t="s">
        <v>1147</v>
      </c>
      <c r="AA207" s="266"/>
      <c r="AB207" s="266"/>
      <c r="AC207" s="266"/>
      <c r="AD207" s="139" t="s">
        <v>27</v>
      </c>
      <c r="AE207" s="266"/>
      <c r="AF207" s="267"/>
      <c r="AG207" s="266"/>
      <c r="AH207" s="233"/>
      <c r="AI207" s="233"/>
      <c r="AJ207" s="233"/>
      <c r="AK207" s="233"/>
      <c r="AL207" s="233"/>
      <c r="AM207" s="233"/>
      <c r="AN207" s="233"/>
      <c r="AO207" s="233"/>
      <c r="AP207" s="233"/>
      <c r="AQ207" s="233"/>
      <c r="AR207" s="233"/>
      <c r="AS207" s="233"/>
      <c r="AT207" s="233"/>
      <c r="AU207" s="233"/>
      <c r="AV207" s="233"/>
      <c r="AW207" s="233"/>
      <c r="AX207" s="233"/>
      <c r="AY207" s="234"/>
      <c r="AZ207" s="234"/>
      <c r="BA207" s="234"/>
      <c r="BB207" s="234"/>
      <c r="BC207" s="290" t="s">
        <v>1392</v>
      </c>
      <c r="BD207" s="31"/>
      <c r="BE207" s="31"/>
      <c r="BF207" s="290" t="s">
        <v>1393</v>
      </c>
      <c r="BG207" s="31"/>
      <c r="BH207" s="31"/>
      <c r="BI207" s="31"/>
      <c r="BJ207" s="290" t="s">
        <v>1392</v>
      </c>
      <c r="BK207" s="234"/>
      <c r="BL207" s="234"/>
      <c r="BM207" s="234"/>
      <c r="BN207" s="290" t="s">
        <v>1393</v>
      </c>
      <c r="BO207" s="234"/>
      <c r="BP207" s="234"/>
      <c r="BQ207" s="234"/>
      <c r="BR207" s="234"/>
      <c r="BS207" s="234"/>
      <c r="BT207" s="234"/>
      <c r="BU207" s="234"/>
      <c r="BV207" s="234"/>
      <c r="BW207" s="234"/>
      <c r="BX207" s="234"/>
      <c r="BY207" s="234"/>
      <c r="BZ207" s="234"/>
      <c r="CA207" s="234"/>
      <c r="CB207" s="234"/>
      <c r="CC207" s="234"/>
      <c r="CD207" s="234"/>
      <c r="CE207" s="234"/>
      <c r="CF207" s="234"/>
      <c r="CG207" s="234"/>
      <c r="CH207" s="234"/>
      <c r="CI207" s="234"/>
      <c r="CJ207" s="234"/>
      <c r="CK207" s="234"/>
      <c r="CL207" s="234"/>
      <c r="CM207" s="234"/>
      <c r="CN207" s="234"/>
      <c r="CO207" s="234"/>
      <c r="CP207" s="234"/>
      <c r="CQ207" s="234"/>
      <c r="CR207" s="234"/>
      <c r="CS207" s="234"/>
      <c r="CT207" s="234"/>
      <c r="CU207" s="234"/>
      <c r="CV207" s="234"/>
      <c r="CW207" s="234"/>
      <c r="CX207" s="234"/>
      <c r="CY207" s="234"/>
      <c r="CZ207" s="234"/>
      <c r="DA207" s="234"/>
      <c r="DB207" s="234"/>
      <c r="DC207" s="234"/>
      <c r="DD207" s="234"/>
      <c r="DE207" s="234"/>
      <c r="DF207" s="234"/>
      <c r="DG207" s="234"/>
      <c r="DH207" s="234"/>
      <c r="DI207" s="234"/>
      <c r="DJ207" s="234"/>
      <c r="DK207" s="234"/>
      <c r="DL207" s="234"/>
      <c r="DM207" s="234"/>
      <c r="DN207" s="234"/>
      <c r="DO207" s="234"/>
      <c r="DP207" s="234"/>
      <c r="DQ207" s="234"/>
      <c r="DR207" s="234"/>
      <c r="DS207" s="234"/>
      <c r="DT207" s="234"/>
    </row>
    <row r="208" spans="1:156" s="231" customFormat="1" ht="18" x14ac:dyDescent="0.25">
      <c r="A208" s="232"/>
      <c r="H208" s="232"/>
      <c r="K208" s="232"/>
      <c r="N208" s="232"/>
      <c r="W208" s="232"/>
      <c r="X208" s="266"/>
      <c r="Y208" s="266"/>
      <c r="Z208" s="267"/>
      <c r="AA208" s="267"/>
      <c r="AB208" s="266"/>
      <c r="AC208" s="266"/>
      <c r="AD208" s="267"/>
      <c r="AE208" s="267"/>
      <c r="AF208" s="141"/>
      <c r="AG208" s="266"/>
      <c r="AH208" s="233"/>
      <c r="AI208" s="233"/>
      <c r="AJ208" s="233"/>
      <c r="AK208" s="233"/>
      <c r="AL208" s="233"/>
      <c r="AM208" s="233"/>
      <c r="AN208" s="233"/>
      <c r="AO208" s="233"/>
      <c r="AP208" s="233"/>
      <c r="AQ208" s="233"/>
      <c r="AR208" s="233"/>
      <c r="AS208" s="233"/>
      <c r="AT208" s="233"/>
      <c r="AU208" s="233"/>
      <c r="AV208" s="233"/>
      <c r="AW208" s="233"/>
      <c r="AX208" s="233"/>
      <c r="AY208" s="234"/>
      <c r="AZ208" s="234"/>
      <c r="BA208" s="234"/>
      <c r="BB208" s="234"/>
      <c r="BC208" s="140" t="s">
        <v>1131</v>
      </c>
      <c r="BD208" s="31"/>
      <c r="BE208" s="31"/>
      <c r="BF208" s="140" t="s">
        <v>1131</v>
      </c>
      <c r="BG208" s="31"/>
      <c r="BH208" s="31"/>
      <c r="BI208" s="234"/>
      <c r="BJ208" s="140" t="s">
        <v>28</v>
      </c>
      <c r="BK208" s="31"/>
      <c r="BL208" s="31"/>
      <c r="BM208" s="234"/>
      <c r="BN208" s="140" t="s">
        <v>28</v>
      </c>
      <c r="BO208" s="31"/>
      <c r="BP208" s="31"/>
      <c r="BQ208" s="234"/>
      <c r="BR208" s="234"/>
      <c r="BS208" s="234"/>
      <c r="BT208" s="234"/>
      <c r="BU208" s="234"/>
      <c r="BV208" s="234"/>
      <c r="BW208" s="234"/>
      <c r="BX208" s="234"/>
      <c r="BY208" s="234"/>
      <c r="BZ208" s="234"/>
      <c r="CA208" s="234"/>
      <c r="CB208" s="234"/>
      <c r="CC208" s="234"/>
      <c r="CD208" s="234"/>
      <c r="CE208" s="234"/>
      <c r="CF208" s="234"/>
      <c r="CG208" s="234"/>
      <c r="CH208" s="234"/>
      <c r="CI208" s="234"/>
      <c r="CJ208" s="234"/>
      <c r="CK208" s="234"/>
      <c r="CL208" s="234"/>
      <c r="CM208" s="234"/>
      <c r="CN208" s="234"/>
      <c r="CO208" s="234"/>
      <c r="CP208" s="234"/>
      <c r="CQ208" s="234"/>
      <c r="CR208" s="234"/>
      <c r="CS208" s="234"/>
      <c r="CT208" s="234"/>
      <c r="CU208" s="234"/>
      <c r="CV208" s="234"/>
      <c r="CW208" s="234"/>
      <c r="CX208" s="234"/>
      <c r="CY208" s="234"/>
      <c r="CZ208" s="234"/>
      <c r="DA208" s="234"/>
      <c r="DB208" s="234"/>
      <c r="DC208" s="234"/>
      <c r="DD208" s="234"/>
      <c r="DE208" s="234"/>
      <c r="DF208" s="234"/>
      <c r="DG208" s="234"/>
      <c r="DH208" s="234"/>
      <c r="DI208" s="234"/>
      <c r="DJ208" s="234"/>
      <c r="DK208" s="234"/>
      <c r="DL208" s="234"/>
      <c r="DM208" s="234"/>
      <c r="DN208" s="234"/>
      <c r="DO208" s="234"/>
      <c r="DP208" s="234"/>
      <c r="DQ208" s="234"/>
      <c r="DR208" s="234"/>
      <c r="DS208" s="234"/>
      <c r="DT208" s="234"/>
    </row>
    <row r="209" spans="1:124" s="231" customFormat="1" ht="15.75" x14ac:dyDescent="0.25">
      <c r="A209" s="232"/>
      <c r="H209" s="232"/>
      <c r="K209" s="232"/>
      <c r="N209" s="232"/>
      <c r="W209" s="232"/>
      <c r="X209" s="266"/>
      <c r="Y209" s="266"/>
      <c r="Z209" s="143" t="s">
        <v>21</v>
      </c>
      <c r="AA209" s="144" t="e">
        <f ca="1">AA211+AA212+AA213+AA214</f>
        <v>#DIV/0!</v>
      </c>
      <c r="AB209" s="266"/>
      <c r="AC209" s="266"/>
      <c r="AD209" s="145" t="s">
        <v>21</v>
      </c>
      <c r="AE209" s="146" t="e">
        <f ca="1">AE211+AE212+AE213+AE214</f>
        <v>#DIV/0!</v>
      </c>
      <c r="AF209" s="147"/>
      <c r="AG209" s="266"/>
      <c r="AH209" s="233"/>
      <c r="AI209" s="233"/>
      <c r="AJ209" s="233"/>
      <c r="AK209" s="233"/>
      <c r="AL209" s="233"/>
      <c r="AM209" s="233"/>
      <c r="AN209" s="233"/>
      <c r="AO209" s="233"/>
      <c r="AP209" s="233"/>
      <c r="AQ209" s="233"/>
      <c r="AR209" s="233"/>
      <c r="AS209" s="233"/>
      <c r="AT209" s="233"/>
      <c r="AU209" s="233"/>
      <c r="AV209" s="233"/>
      <c r="AW209" s="233"/>
      <c r="AX209" s="233"/>
      <c r="AY209" s="234"/>
      <c r="AZ209" s="234"/>
      <c r="BA209" s="234"/>
      <c r="BB209" s="234"/>
      <c r="BC209" s="142"/>
      <c r="BD209" s="142"/>
      <c r="BE209" s="31"/>
      <c r="BF209" s="142"/>
      <c r="BG209" s="142"/>
      <c r="BH209" s="31"/>
      <c r="BI209" s="234"/>
      <c r="BJ209" s="142"/>
      <c r="BK209" s="142"/>
      <c r="BL209" s="31"/>
      <c r="BM209" s="234"/>
      <c r="BN209" s="142"/>
      <c r="BO209" s="142"/>
      <c r="BP209" s="31"/>
      <c r="BQ209" s="234"/>
      <c r="BR209" s="234"/>
      <c r="BS209" s="234"/>
      <c r="BT209" s="234"/>
      <c r="BU209" s="234"/>
      <c r="BV209" s="234"/>
      <c r="BW209" s="234"/>
      <c r="BX209" s="234"/>
      <c r="BY209" s="234"/>
      <c r="BZ209" s="234"/>
      <c r="CA209" s="234"/>
      <c r="CB209" s="234"/>
      <c r="CC209" s="234"/>
      <c r="CD209" s="234"/>
      <c r="CE209" s="234"/>
      <c r="CF209" s="234"/>
      <c r="CG209" s="234"/>
      <c r="CH209" s="234"/>
      <c r="CI209" s="234"/>
      <c r="CJ209" s="234"/>
      <c r="CK209" s="234"/>
      <c r="CL209" s="234"/>
      <c r="CM209" s="234"/>
      <c r="CN209" s="234"/>
      <c r="CO209" s="234"/>
      <c r="CP209" s="234"/>
      <c r="CQ209" s="234"/>
      <c r="CR209" s="234"/>
      <c r="CS209" s="234"/>
      <c r="CT209" s="234"/>
      <c r="CU209" s="234"/>
      <c r="CV209" s="234"/>
      <c r="CW209" s="234"/>
      <c r="CX209" s="234"/>
      <c r="CY209" s="234"/>
      <c r="CZ209" s="234"/>
      <c r="DA209" s="234"/>
      <c r="DB209" s="234"/>
      <c r="DC209" s="234"/>
      <c r="DD209" s="234"/>
      <c r="DE209" s="234"/>
      <c r="DF209" s="234"/>
      <c r="DG209" s="234"/>
      <c r="DH209" s="234"/>
      <c r="DI209" s="234"/>
      <c r="DJ209" s="234"/>
      <c r="DK209" s="234"/>
      <c r="DL209" s="234"/>
      <c r="DM209" s="234"/>
      <c r="DN209" s="234"/>
      <c r="DO209" s="234"/>
      <c r="DP209" s="234"/>
      <c r="DQ209" s="234"/>
      <c r="DR209" s="234"/>
      <c r="DS209" s="234"/>
      <c r="DT209" s="234"/>
    </row>
    <row r="210" spans="1:124" s="231" customFormat="1" x14ac:dyDescent="0.25">
      <c r="A210" s="232"/>
      <c r="H210" s="232"/>
      <c r="K210" s="232"/>
      <c r="N210" s="232"/>
      <c r="W210" s="232"/>
      <c r="X210" s="266"/>
      <c r="Y210" s="266"/>
      <c r="Z210" s="151" t="s">
        <v>29</v>
      </c>
      <c r="AA210" s="152"/>
      <c r="AB210" s="266"/>
      <c r="AC210" s="266"/>
      <c r="AD210" s="151" t="s">
        <v>29</v>
      </c>
      <c r="AE210" s="153"/>
      <c r="AF210" s="141"/>
      <c r="AG210" s="266"/>
      <c r="AH210" s="233"/>
      <c r="AI210" s="233"/>
      <c r="AJ210" s="233"/>
      <c r="AK210" s="233"/>
      <c r="AL210" s="233"/>
      <c r="AM210" s="233"/>
      <c r="AN210" s="233"/>
      <c r="AO210" s="233"/>
      <c r="AP210" s="233"/>
      <c r="AQ210" s="233"/>
      <c r="AR210" s="233"/>
      <c r="AS210" s="233"/>
      <c r="AT210" s="233"/>
      <c r="AU210" s="233"/>
      <c r="AV210" s="233"/>
      <c r="AW210" s="233"/>
      <c r="AX210" s="233"/>
      <c r="AY210" s="234"/>
      <c r="AZ210" s="234"/>
      <c r="BA210" s="234"/>
      <c r="BB210" s="234"/>
      <c r="BC210" s="148" t="s">
        <v>21</v>
      </c>
      <c r="BD210" s="149" t="e">
        <f ca="1">BD212+BD213+BD214+BD215</f>
        <v>#DIV/0!</v>
      </c>
      <c r="BE210" s="31"/>
      <c r="BF210" s="148" t="s">
        <v>21</v>
      </c>
      <c r="BG210" s="149" t="e">
        <f ca="1">BG212+BG213+BG214+BG215</f>
        <v>#DIV/0!</v>
      </c>
      <c r="BH210" s="31"/>
      <c r="BI210" s="234"/>
      <c r="BJ210" s="148" t="s">
        <v>21</v>
      </c>
      <c r="BK210" s="150" t="e">
        <f ca="1">BK212+BK213+BK214+BK215</f>
        <v>#DIV/0!</v>
      </c>
      <c r="BL210" s="31"/>
      <c r="BM210" s="234"/>
      <c r="BN210" s="148" t="s">
        <v>21</v>
      </c>
      <c r="BO210" s="150" t="e">
        <f ca="1">BO212+BO213+BO214+BO215</f>
        <v>#DIV/0!</v>
      </c>
      <c r="BP210" s="31"/>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c r="DT210" s="234"/>
    </row>
    <row r="211" spans="1:124" s="231" customFormat="1" ht="15.75" x14ac:dyDescent="0.25">
      <c r="A211" s="232"/>
      <c r="H211" s="232"/>
      <c r="K211" s="232"/>
      <c r="N211" s="232"/>
      <c r="W211" s="232"/>
      <c r="X211" s="266"/>
      <c r="Y211" s="266"/>
      <c r="Z211" s="157" t="s">
        <v>22</v>
      </c>
      <c r="AA211" s="158" t="e">
        <f ca="1">$AL$37+$AO$117</f>
        <v>#DIV/0!</v>
      </c>
      <c r="AB211" s="266"/>
      <c r="AC211" s="266"/>
      <c r="AD211" s="159" t="s">
        <v>22</v>
      </c>
      <c r="AE211" s="146" t="e">
        <f ca="1">AA211/'Indata byggnad och BBR krav'!$C$16*1000</f>
        <v>#DIV/0!</v>
      </c>
      <c r="AF211" s="271"/>
      <c r="AG211" s="266"/>
      <c r="AH211" s="233"/>
      <c r="AI211" s="233"/>
      <c r="AJ211" s="233"/>
      <c r="AK211" s="233"/>
      <c r="AL211" s="233"/>
      <c r="AM211" s="233"/>
      <c r="AN211" s="233"/>
      <c r="AO211" s="233"/>
      <c r="AP211" s="233"/>
      <c r="AQ211" s="233"/>
      <c r="AR211" s="233"/>
      <c r="AS211" s="233"/>
      <c r="AT211" s="233"/>
      <c r="AU211" s="233"/>
      <c r="AV211" s="233"/>
      <c r="AW211" s="233"/>
      <c r="AX211" s="233"/>
      <c r="AY211" s="234"/>
      <c r="AZ211" s="234"/>
      <c r="BA211" s="234"/>
      <c r="BB211" s="234"/>
      <c r="BC211" s="154" t="s">
        <v>29</v>
      </c>
      <c r="BD211" s="155"/>
      <c r="BE211" s="31"/>
      <c r="BF211" s="154" t="s">
        <v>29</v>
      </c>
      <c r="BG211" s="155"/>
      <c r="BH211" s="31"/>
      <c r="BI211" s="234"/>
      <c r="BJ211" s="154" t="s">
        <v>29</v>
      </c>
      <c r="BK211" s="156"/>
      <c r="BL211" s="31"/>
      <c r="BM211" s="234"/>
      <c r="BN211" s="154" t="s">
        <v>29</v>
      </c>
      <c r="BO211" s="156"/>
      <c r="BP211" s="31"/>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row>
    <row r="212" spans="1:124" s="231" customFormat="1" ht="15.75" x14ac:dyDescent="0.25">
      <c r="A212" s="232"/>
      <c r="H212" s="232"/>
      <c r="K212" s="232"/>
      <c r="N212" s="232"/>
      <c r="W212" s="232"/>
      <c r="X212" s="233"/>
      <c r="Y212" s="266"/>
      <c r="Z212" s="157" t="s">
        <v>23</v>
      </c>
      <c r="AA212" s="158">
        <f>$AL$62</f>
        <v>0</v>
      </c>
      <c r="AB212" s="266"/>
      <c r="AC212" s="266"/>
      <c r="AD212" s="157" t="s">
        <v>23</v>
      </c>
      <c r="AE212" s="146" t="e">
        <f>AA212/'Indata byggnad och BBR krav'!$C$16*1000</f>
        <v>#DIV/0!</v>
      </c>
      <c r="AF212" s="271"/>
      <c r="AG212" s="266"/>
      <c r="AH212" s="233"/>
      <c r="AI212" s="233"/>
      <c r="AJ212" s="233"/>
      <c r="AK212" s="233"/>
      <c r="AL212" s="233"/>
      <c r="AM212" s="233"/>
      <c r="AN212" s="233"/>
      <c r="AO212" s="233"/>
      <c r="AP212" s="233"/>
      <c r="AQ212" s="233"/>
      <c r="AR212" s="233"/>
      <c r="AS212" s="233"/>
      <c r="AT212" s="233"/>
      <c r="AU212" s="233"/>
      <c r="AV212" s="233"/>
      <c r="AW212" s="233"/>
      <c r="AX212" s="233"/>
      <c r="AY212" s="234"/>
      <c r="AZ212" s="234"/>
      <c r="BA212" s="234"/>
      <c r="BB212" s="234"/>
      <c r="BC212" s="51" t="s">
        <v>22</v>
      </c>
      <c r="BD212" s="149" t="e">
        <f ca="1">$DI$40</f>
        <v>#DIV/0!</v>
      </c>
      <c r="BE212" s="31"/>
      <c r="BF212" s="51" t="s">
        <v>22</v>
      </c>
      <c r="BG212" s="149" t="e">
        <f ca="1">$DR$40</f>
        <v>#DIV/0!</v>
      </c>
      <c r="BH212" s="31"/>
      <c r="BI212" s="234"/>
      <c r="BJ212" s="51" t="s">
        <v>22</v>
      </c>
      <c r="BK212" s="150" t="e">
        <f ca="1">BD212/'Indata byggnad och BBR krav'!$C$16*1000</f>
        <v>#DIV/0!</v>
      </c>
      <c r="BL212" s="31"/>
      <c r="BM212" s="234"/>
      <c r="BN212" s="51" t="s">
        <v>22</v>
      </c>
      <c r="BO212" s="150" t="e">
        <f ca="1">BG212/'Indata byggnad och BBR krav'!$C$16*1000</f>
        <v>#DIV/0!</v>
      </c>
      <c r="BP212" s="31"/>
      <c r="BQ212" s="234"/>
      <c r="BR212" s="234"/>
      <c r="BS212" s="234"/>
      <c r="BT212" s="234"/>
      <c r="BU212" s="234"/>
      <c r="BV212" s="234"/>
      <c r="BW212" s="234"/>
      <c r="BX212" s="234"/>
      <c r="BY212" s="234"/>
      <c r="BZ212" s="234"/>
      <c r="CA212" s="234"/>
      <c r="CB212" s="234"/>
      <c r="CC212" s="234"/>
      <c r="CD212" s="234"/>
      <c r="CE212" s="234"/>
      <c r="CF212" s="234"/>
      <c r="CG212" s="234"/>
      <c r="CH212" s="234"/>
      <c r="CI212" s="234"/>
      <c r="CJ212" s="234"/>
      <c r="CK212" s="234"/>
      <c r="CL212" s="234"/>
      <c r="CM212" s="234"/>
      <c r="CN212" s="234"/>
      <c r="CO212" s="234"/>
      <c r="CP212" s="234"/>
      <c r="CQ212" s="234"/>
      <c r="CR212" s="234"/>
      <c r="CS212" s="234"/>
      <c r="CT212" s="234"/>
      <c r="CU212" s="234"/>
      <c r="CV212" s="234"/>
      <c r="CW212" s="234"/>
      <c r="CX212" s="234"/>
      <c r="CY212" s="234"/>
      <c r="CZ212" s="234"/>
      <c r="DA212" s="234"/>
      <c r="DB212" s="234"/>
      <c r="DC212" s="234"/>
      <c r="DD212" s="234"/>
      <c r="DE212" s="234"/>
      <c r="DF212" s="234"/>
      <c r="DG212" s="234"/>
      <c r="DH212" s="234"/>
      <c r="DI212" s="234"/>
      <c r="DJ212" s="234"/>
      <c r="DK212" s="234"/>
      <c r="DL212" s="234"/>
      <c r="DM212" s="234"/>
      <c r="DN212" s="234"/>
      <c r="DO212" s="234"/>
      <c r="DP212" s="234"/>
      <c r="DQ212" s="234"/>
      <c r="DR212" s="234"/>
      <c r="DS212" s="234"/>
      <c r="DT212" s="234"/>
    </row>
    <row r="213" spans="1:124" s="231" customFormat="1" ht="15.75" x14ac:dyDescent="0.25">
      <c r="A213" s="232"/>
      <c r="H213" s="232"/>
      <c r="K213" s="232"/>
      <c r="N213" s="232"/>
      <c r="W213" s="232"/>
      <c r="X213" s="233"/>
      <c r="Y213" s="266"/>
      <c r="Z213" s="157" t="s">
        <v>24</v>
      </c>
      <c r="AA213" s="158">
        <f>$AA$95</f>
        <v>0</v>
      </c>
      <c r="AB213" s="266"/>
      <c r="AC213" s="266"/>
      <c r="AD213" s="157" t="s">
        <v>24</v>
      </c>
      <c r="AE213" s="146" t="e">
        <f>AA213/'Indata byggnad och BBR krav'!$C$16*1000</f>
        <v>#DIV/0!</v>
      </c>
      <c r="AF213" s="271"/>
      <c r="AG213" s="266"/>
      <c r="AH213" s="233"/>
      <c r="AI213" s="233"/>
      <c r="AJ213" s="233"/>
      <c r="AK213" s="233"/>
      <c r="AL213" s="233"/>
      <c r="AM213" s="233"/>
      <c r="AN213" s="233"/>
      <c r="AO213" s="233"/>
      <c r="AP213" s="233"/>
      <c r="AQ213" s="233"/>
      <c r="AR213" s="233"/>
      <c r="AS213" s="233"/>
      <c r="AT213" s="233"/>
      <c r="AU213" s="233"/>
      <c r="AV213" s="233"/>
      <c r="AW213" s="233"/>
      <c r="AX213" s="233"/>
      <c r="AY213" s="234"/>
      <c r="AZ213" s="234"/>
      <c r="BA213" s="234"/>
      <c r="BB213" s="234"/>
      <c r="BC213" s="160" t="s">
        <v>23</v>
      </c>
      <c r="BD213" s="47">
        <f>$BG$59</f>
        <v>0</v>
      </c>
      <c r="BE213" s="31"/>
      <c r="BF213" s="160" t="s">
        <v>23</v>
      </c>
      <c r="BG213" s="47">
        <f>$BP$59</f>
        <v>0</v>
      </c>
      <c r="BH213" s="31"/>
      <c r="BI213" s="234"/>
      <c r="BJ213" s="160" t="s">
        <v>23</v>
      </c>
      <c r="BK213" s="150" t="e">
        <f>BD213/'Indata byggnad och BBR krav'!$C$16*1000</f>
        <v>#DIV/0!</v>
      </c>
      <c r="BL213" s="31"/>
      <c r="BM213" s="234"/>
      <c r="BN213" s="160" t="s">
        <v>23</v>
      </c>
      <c r="BO213" s="150" t="e">
        <f>BG213/'Indata byggnad och BBR krav'!$C$16*1000</f>
        <v>#DIV/0!</v>
      </c>
      <c r="BP213" s="31"/>
      <c r="BQ213" s="234"/>
      <c r="BR213" s="234"/>
      <c r="BS213" s="234"/>
      <c r="BT213" s="234"/>
      <c r="BU213" s="234"/>
      <c r="BV213" s="234"/>
      <c r="BW213" s="234"/>
      <c r="BX213" s="234"/>
      <c r="BY213" s="234"/>
      <c r="BZ213" s="234"/>
      <c r="CA213" s="234"/>
      <c r="CB213" s="234"/>
      <c r="CC213" s="234"/>
      <c r="CD213" s="234"/>
      <c r="CE213" s="234"/>
      <c r="CF213" s="234"/>
      <c r="CG213" s="234"/>
      <c r="CH213" s="234"/>
      <c r="CI213" s="234"/>
      <c r="CJ213" s="234"/>
      <c r="CK213" s="234"/>
      <c r="CL213" s="234"/>
      <c r="CM213" s="234"/>
      <c r="CN213" s="234"/>
      <c r="CO213" s="234"/>
      <c r="CP213" s="234"/>
      <c r="CQ213" s="234"/>
      <c r="CR213" s="234"/>
      <c r="CS213" s="234"/>
      <c r="CT213" s="234"/>
      <c r="CU213" s="234"/>
      <c r="CV213" s="234"/>
      <c r="CW213" s="234"/>
      <c r="CX213" s="234"/>
      <c r="CY213" s="234"/>
      <c r="CZ213" s="234"/>
      <c r="DA213" s="234"/>
      <c r="DB213" s="234"/>
      <c r="DC213" s="234"/>
      <c r="DD213" s="234"/>
      <c r="DE213" s="234"/>
      <c r="DF213" s="234"/>
      <c r="DG213" s="234"/>
      <c r="DH213" s="234"/>
      <c r="DI213" s="234"/>
      <c r="DJ213" s="234"/>
      <c r="DK213" s="234"/>
      <c r="DL213" s="234"/>
      <c r="DM213" s="234"/>
      <c r="DN213" s="234"/>
      <c r="DO213" s="234"/>
      <c r="DP213" s="234"/>
      <c r="DQ213" s="234"/>
      <c r="DR213" s="234"/>
      <c r="DS213" s="234"/>
      <c r="DT213" s="234"/>
    </row>
    <row r="214" spans="1:124" s="231" customFormat="1" ht="15.75" x14ac:dyDescent="0.25">
      <c r="A214" s="232"/>
      <c r="H214" s="232"/>
      <c r="K214" s="232"/>
      <c r="N214" s="232"/>
      <c r="W214" s="232"/>
      <c r="X214" s="233"/>
      <c r="Y214" s="266"/>
      <c r="Z214" s="157" t="s">
        <v>18</v>
      </c>
      <c r="AA214" s="158">
        <f>$AJ$117</f>
        <v>0</v>
      </c>
      <c r="AB214" s="266"/>
      <c r="AC214" s="266"/>
      <c r="AD214" s="157" t="s">
        <v>18</v>
      </c>
      <c r="AE214" s="146" t="e">
        <f>AA214/'Indata byggnad och BBR krav'!$C$16*1000</f>
        <v>#DIV/0!</v>
      </c>
      <c r="AF214" s="266"/>
      <c r="AG214" s="266"/>
      <c r="AH214" s="233"/>
      <c r="AI214" s="233"/>
      <c r="AJ214" s="233"/>
      <c r="AK214" s="233"/>
      <c r="AL214" s="233"/>
      <c r="AM214" s="233"/>
      <c r="AN214" s="233"/>
      <c r="AO214" s="233"/>
      <c r="AP214" s="233"/>
      <c r="AQ214" s="233"/>
      <c r="AR214" s="233"/>
      <c r="AS214" s="233"/>
      <c r="AT214" s="233"/>
      <c r="AU214" s="233"/>
      <c r="AV214" s="233"/>
      <c r="AW214" s="233"/>
      <c r="AX214" s="233"/>
      <c r="AY214" s="234"/>
      <c r="AZ214" s="234"/>
      <c r="BA214" s="234"/>
      <c r="BB214" s="234"/>
      <c r="BC214" s="160" t="s">
        <v>24</v>
      </c>
      <c r="BD214" s="47">
        <f>$BD$92</f>
        <v>0</v>
      </c>
      <c r="BE214" s="31"/>
      <c r="BF214" s="160" t="s">
        <v>24</v>
      </c>
      <c r="BG214" s="47">
        <f>$BN$91</f>
        <v>0</v>
      </c>
      <c r="BH214" s="31"/>
      <c r="BI214" s="234"/>
      <c r="BJ214" s="160" t="s">
        <v>24</v>
      </c>
      <c r="BK214" s="150" t="e">
        <f>BD214/'Indata byggnad och BBR krav'!$C$16*1000</f>
        <v>#DIV/0!</v>
      </c>
      <c r="BL214" s="31"/>
      <c r="BM214" s="234"/>
      <c r="BN214" s="160" t="s">
        <v>24</v>
      </c>
      <c r="BO214" s="150" t="e">
        <f>BG214/'Indata byggnad och BBR krav'!$C$16*1000</f>
        <v>#DIV/0!</v>
      </c>
      <c r="BP214" s="31"/>
      <c r="BQ214" s="234"/>
      <c r="BR214" s="234"/>
      <c r="BS214" s="234"/>
      <c r="BT214" s="234"/>
      <c r="BU214" s="234"/>
      <c r="BV214" s="234"/>
      <c r="BW214" s="234"/>
      <c r="BX214" s="234"/>
      <c r="BY214" s="234"/>
      <c r="BZ214" s="234"/>
      <c r="CA214" s="234"/>
      <c r="CB214" s="234"/>
      <c r="CC214" s="234"/>
      <c r="CD214" s="234"/>
      <c r="CE214" s="234"/>
      <c r="CF214" s="234"/>
      <c r="CG214" s="234"/>
      <c r="CH214" s="234"/>
      <c r="CI214" s="234"/>
      <c r="CJ214" s="234"/>
      <c r="CK214" s="234"/>
      <c r="CL214" s="234"/>
      <c r="CM214" s="234"/>
      <c r="CN214" s="234"/>
      <c r="CO214" s="234"/>
      <c r="CP214" s="234"/>
      <c r="CQ214" s="234"/>
      <c r="CR214" s="234"/>
      <c r="CS214" s="234"/>
      <c r="CT214" s="234"/>
      <c r="CU214" s="234"/>
      <c r="CV214" s="234"/>
      <c r="CW214" s="234"/>
      <c r="CX214" s="234"/>
      <c r="CY214" s="234"/>
      <c r="CZ214" s="234"/>
      <c r="DA214" s="234"/>
      <c r="DB214" s="234"/>
      <c r="DC214" s="234"/>
      <c r="DD214" s="234"/>
      <c r="DE214" s="234"/>
      <c r="DF214" s="234"/>
      <c r="DG214" s="234"/>
      <c r="DH214" s="234"/>
      <c r="DI214" s="234"/>
      <c r="DJ214" s="234"/>
      <c r="DK214" s="234"/>
      <c r="DL214" s="234"/>
      <c r="DM214" s="234"/>
      <c r="DN214" s="234"/>
      <c r="DO214" s="234"/>
      <c r="DP214" s="234"/>
      <c r="DQ214" s="234"/>
      <c r="DR214" s="234"/>
      <c r="DS214" s="234"/>
      <c r="DT214" s="234"/>
    </row>
    <row r="215" spans="1:124" s="231" customFormat="1" ht="15.75" x14ac:dyDescent="0.25">
      <c r="A215" s="232"/>
      <c r="H215" s="232"/>
      <c r="K215" s="232"/>
      <c r="N215" s="232"/>
      <c r="W215" s="232"/>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4"/>
      <c r="AZ215" s="234"/>
      <c r="BA215" s="234"/>
      <c r="BB215" s="234"/>
      <c r="BC215" s="160" t="s">
        <v>18</v>
      </c>
      <c r="BD215" s="47">
        <f>$BE$122</f>
        <v>0</v>
      </c>
      <c r="BE215" s="31"/>
      <c r="BF215" s="160" t="s">
        <v>18</v>
      </c>
      <c r="BG215" s="47">
        <f>$BO$122</f>
        <v>0</v>
      </c>
      <c r="BH215" s="31"/>
      <c r="BI215" s="234"/>
      <c r="BJ215" s="160" t="s">
        <v>18</v>
      </c>
      <c r="BK215" s="150" t="e">
        <f>BD215/'Indata byggnad och BBR krav'!$C$16*1000</f>
        <v>#DIV/0!</v>
      </c>
      <c r="BL215" s="31"/>
      <c r="BM215" s="234"/>
      <c r="BN215" s="160" t="s">
        <v>18</v>
      </c>
      <c r="BO215" s="150" t="e">
        <f>BG215/'Indata byggnad och BBR krav'!$C$16*1000</f>
        <v>#DIV/0!</v>
      </c>
      <c r="BP215" s="31"/>
      <c r="BQ215" s="234"/>
      <c r="BR215" s="234"/>
      <c r="BS215" s="234"/>
      <c r="BT215" s="234"/>
      <c r="BU215" s="234"/>
      <c r="BV215" s="234"/>
      <c r="BW215" s="234"/>
      <c r="BX215" s="234"/>
      <c r="BY215" s="234"/>
      <c r="BZ215" s="234"/>
      <c r="CA215" s="234"/>
      <c r="CB215" s="234"/>
      <c r="CC215" s="234"/>
      <c r="CD215" s="234"/>
      <c r="CE215" s="234"/>
      <c r="CF215" s="234"/>
      <c r="CG215" s="234"/>
      <c r="CH215" s="234"/>
      <c r="CI215" s="234"/>
      <c r="CJ215" s="234"/>
      <c r="CK215" s="234"/>
      <c r="CL215" s="234"/>
      <c r="CM215" s="234"/>
      <c r="CN215" s="234"/>
      <c r="CO215" s="234"/>
      <c r="CP215" s="234"/>
      <c r="CQ215" s="234"/>
      <c r="CR215" s="234"/>
      <c r="CS215" s="234"/>
      <c r="CT215" s="234"/>
      <c r="CU215" s="234"/>
      <c r="CV215" s="234"/>
      <c r="CW215" s="234"/>
      <c r="CX215" s="234"/>
      <c r="CY215" s="234"/>
      <c r="CZ215" s="234"/>
      <c r="DA215" s="234"/>
      <c r="DB215" s="234"/>
      <c r="DC215" s="234"/>
      <c r="DD215" s="234"/>
      <c r="DE215" s="234"/>
      <c r="DF215" s="234"/>
      <c r="DG215" s="234"/>
      <c r="DH215" s="234"/>
      <c r="DI215" s="234"/>
      <c r="DJ215" s="234"/>
      <c r="DK215" s="234"/>
      <c r="DL215" s="234"/>
      <c r="DM215" s="234"/>
      <c r="DN215" s="234"/>
      <c r="DO215" s="234"/>
      <c r="DP215" s="234"/>
      <c r="DQ215" s="234"/>
      <c r="DR215" s="234"/>
      <c r="DS215" s="234"/>
      <c r="DT215" s="234"/>
    </row>
    <row r="216" spans="1:124" s="231" customFormat="1" x14ac:dyDescent="0.25">
      <c r="A216" s="232"/>
      <c r="H216" s="232"/>
      <c r="K216" s="232"/>
      <c r="N216" s="232"/>
      <c r="W216" s="232"/>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4"/>
      <c r="AZ216" s="234"/>
      <c r="BA216" s="234"/>
      <c r="BB216" s="234"/>
      <c r="BC216" s="31"/>
      <c r="BD216" s="67"/>
      <c r="BE216" s="31"/>
      <c r="BF216" s="31"/>
      <c r="BG216" s="67"/>
      <c r="BH216" s="31"/>
      <c r="BI216" s="234"/>
      <c r="BJ216" s="31"/>
      <c r="BK216" s="49"/>
      <c r="BL216" s="31"/>
      <c r="BM216" s="234"/>
      <c r="BN216" s="31"/>
      <c r="BO216" s="49"/>
      <c r="BP216" s="31"/>
      <c r="BQ216" s="234"/>
      <c r="BR216" s="234"/>
      <c r="BS216" s="234"/>
      <c r="BT216" s="234"/>
      <c r="BU216" s="234"/>
      <c r="BV216" s="234"/>
      <c r="BW216" s="234"/>
      <c r="BX216" s="234"/>
      <c r="BY216" s="234"/>
      <c r="BZ216" s="234"/>
      <c r="CA216" s="234"/>
      <c r="CB216" s="234"/>
      <c r="CC216" s="234"/>
      <c r="CD216" s="234"/>
      <c r="CE216" s="234"/>
      <c r="CF216" s="234"/>
      <c r="CG216" s="234"/>
      <c r="CH216" s="234"/>
      <c r="CI216" s="234"/>
      <c r="CJ216" s="234"/>
      <c r="CK216" s="234"/>
      <c r="CL216" s="234"/>
      <c r="CM216" s="234"/>
      <c r="CN216" s="234"/>
      <c r="CO216" s="234"/>
      <c r="CP216" s="234"/>
      <c r="CQ216" s="234"/>
      <c r="CR216" s="234"/>
      <c r="CS216" s="234"/>
      <c r="CT216" s="234"/>
      <c r="CU216" s="234"/>
      <c r="CV216" s="234"/>
      <c r="CW216" s="234"/>
      <c r="CX216" s="234"/>
      <c r="CY216" s="234"/>
      <c r="CZ216" s="234"/>
      <c r="DA216" s="234"/>
      <c r="DB216" s="234"/>
      <c r="DC216" s="234"/>
      <c r="DD216" s="234"/>
      <c r="DE216" s="234"/>
      <c r="DF216" s="234"/>
      <c r="DG216" s="234"/>
      <c r="DH216" s="234"/>
      <c r="DI216" s="234"/>
      <c r="DJ216" s="234"/>
      <c r="DK216" s="234"/>
      <c r="DL216" s="234"/>
      <c r="DM216" s="234"/>
      <c r="DN216" s="234"/>
      <c r="DO216" s="234"/>
      <c r="DP216" s="234"/>
      <c r="DQ216" s="234"/>
      <c r="DR216" s="234"/>
      <c r="DS216" s="234"/>
      <c r="DT216" s="234"/>
    </row>
    <row r="217" spans="1:124" s="231" customFormat="1" x14ac:dyDescent="0.25">
      <c r="A217" s="232"/>
      <c r="H217" s="232"/>
      <c r="K217" s="232"/>
      <c r="N217" s="232"/>
      <c r="W217" s="232"/>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4"/>
      <c r="AZ217" s="234"/>
      <c r="BA217" s="234"/>
      <c r="BB217" s="234"/>
      <c r="BC217" s="31"/>
      <c r="BD217" s="67"/>
      <c r="BE217" s="31"/>
      <c r="BF217" s="31"/>
      <c r="BG217" s="67"/>
      <c r="BH217" s="31"/>
      <c r="BI217" s="234"/>
      <c r="BJ217" s="31"/>
      <c r="BK217" s="49"/>
      <c r="BL217" s="31"/>
      <c r="BM217" s="234"/>
      <c r="BN217" s="31"/>
      <c r="BO217" s="49"/>
      <c r="BP217" s="31"/>
      <c r="BQ217" s="234"/>
      <c r="BR217" s="234"/>
      <c r="BS217" s="234"/>
      <c r="BT217" s="234"/>
      <c r="BU217" s="234"/>
      <c r="BV217" s="234"/>
      <c r="BW217" s="234"/>
      <c r="BX217" s="234"/>
      <c r="BY217" s="234"/>
      <c r="BZ217" s="234"/>
      <c r="CA217" s="234"/>
      <c r="CB217" s="234"/>
      <c r="CC217" s="234"/>
      <c r="CD217" s="234"/>
      <c r="CE217" s="234"/>
      <c r="CF217" s="234"/>
      <c r="CG217" s="234"/>
      <c r="CH217" s="234"/>
      <c r="CI217" s="234"/>
      <c r="CJ217" s="234"/>
      <c r="CK217" s="234"/>
      <c r="CL217" s="234"/>
      <c r="CM217" s="234"/>
      <c r="CN217" s="234"/>
      <c r="CO217" s="234"/>
      <c r="CP217" s="234"/>
      <c r="CQ217" s="234"/>
      <c r="CR217" s="234"/>
      <c r="CS217" s="234"/>
      <c r="CT217" s="234"/>
      <c r="CU217" s="234"/>
      <c r="CV217" s="234"/>
      <c r="CW217" s="234"/>
      <c r="CX217" s="234"/>
      <c r="CY217" s="234"/>
      <c r="CZ217" s="234"/>
      <c r="DA217" s="234"/>
      <c r="DB217" s="234"/>
      <c r="DC217" s="234"/>
      <c r="DD217" s="234"/>
      <c r="DE217" s="234"/>
      <c r="DF217" s="234"/>
      <c r="DG217" s="234"/>
      <c r="DH217" s="234"/>
      <c r="DI217" s="234"/>
      <c r="DJ217" s="234"/>
      <c r="DK217" s="234"/>
      <c r="DL217" s="234"/>
      <c r="DM217" s="234"/>
      <c r="DN217" s="234"/>
      <c r="DO217" s="234"/>
      <c r="DP217" s="234"/>
      <c r="DQ217" s="234"/>
      <c r="DR217" s="234"/>
      <c r="DS217" s="234"/>
      <c r="DT217" s="234"/>
    </row>
    <row r="218" spans="1:124" s="231" customFormat="1" ht="18" x14ac:dyDescent="0.25">
      <c r="A218" s="232"/>
      <c r="H218" s="232"/>
      <c r="K218" s="232"/>
      <c r="N218" s="232"/>
      <c r="W218" s="232"/>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4"/>
      <c r="AZ218" s="234"/>
      <c r="BA218" s="234"/>
      <c r="BB218" s="234"/>
      <c r="BC218" s="135" t="s">
        <v>1434</v>
      </c>
      <c r="BD218" s="47" t="e">
        <f ca="1">$DI$42+$BG$60+$BD$93+$BE$123</f>
        <v>#DIV/0!</v>
      </c>
      <c r="BE218" s="31" t="s">
        <v>1238</v>
      </c>
      <c r="BF218" s="135"/>
      <c r="BG218" s="135"/>
      <c r="BH218" s="31"/>
      <c r="BI218" s="234"/>
      <c r="BJ218" s="135" t="s">
        <v>1111</v>
      </c>
      <c r="BK218" s="161" t="e">
        <f ca="1">BD218/'Indata byggnad och BBR krav'!$C$16*1000</f>
        <v>#DIV/0!</v>
      </c>
      <c r="BL218" s="31" t="s">
        <v>1238</v>
      </c>
      <c r="BM218" s="234"/>
      <c r="BN218" s="135"/>
      <c r="BO218" s="135"/>
      <c r="BP218" s="31"/>
      <c r="BQ218" s="234"/>
      <c r="BR218" s="234"/>
      <c r="BS218" s="234"/>
      <c r="BT218" s="234"/>
      <c r="BU218" s="234"/>
      <c r="BV218" s="234"/>
      <c r="BW218" s="234"/>
      <c r="BX218" s="234"/>
      <c r="BY218" s="234"/>
      <c r="BZ218" s="234"/>
      <c r="CA218" s="234"/>
      <c r="CB218" s="234"/>
      <c r="CC218" s="234"/>
      <c r="CD218" s="234"/>
      <c r="CE218" s="234"/>
      <c r="CF218" s="234"/>
      <c r="CG218" s="234"/>
      <c r="CH218" s="234"/>
      <c r="CI218" s="234"/>
      <c r="CJ218" s="234"/>
      <c r="CK218" s="234"/>
      <c r="CL218" s="234"/>
      <c r="CM218" s="234"/>
      <c r="CN218" s="234"/>
      <c r="CO218" s="234"/>
      <c r="CP218" s="234"/>
      <c r="CQ218" s="234"/>
      <c r="CR218" s="234"/>
      <c r="CS218" s="234"/>
      <c r="CT218" s="234"/>
      <c r="CU218" s="234"/>
      <c r="CV218" s="234"/>
      <c r="CW218" s="234"/>
      <c r="CX218" s="234"/>
      <c r="CY218" s="234"/>
      <c r="CZ218" s="234"/>
      <c r="DA218" s="234"/>
      <c r="DB218" s="234"/>
      <c r="DC218" s="234"/>
      <c r="DD218" s="234"/>
      <c r="DE218" s="234"/>
      <c r="DF218" s="234"/>
      <c r="DG218" s="234"/>
      <c r="DH218" s="234"/>
      <c r="DI218" s="234"/>
      <c r="DJ218" s="234"/>
      <c r="DK218" s="234"/>
      <c r="DL218" s="234"/>
      <c r="DM218" s="234"/>
      <c r="DN218" s="234"/>
      <c r="DO218" s="234"/>
      <c r="DP218" s="234"/>
      <c r="DQ218" s="234"/>
      <c r="DR218" s="234"/>
      <c r="DS218" s="234"/>
      <c r="DT218" s="234"/>
    </row>
    <row r="219" spans="1:124" s="231" customFormat="1" ht="18" x14ac:dyDescent="0.25">
      <c r="A219" s="232"/>
      <c r="H219" s="232"/>
      <c r="K219" s="232"/>
      <c r="N219" s="232"/>
      <c r="W219" s="232"/>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4"/>
      <c r="AZ219" s="234"/>
      <c r="BA219" s="234"/>
      <c r="BB219" s="234"/>
      <c r="BC219" s="135" t="s">
        <v>1434</v>
      </c>
      <c r="BD219" s="47" t="e">
        <f ca="1">$DI$43+$BG$61+$BD$94+$BE$124</f>
        <v>#DIV/0!</v>
      </c>
      <c r="BE219" s="31" t="s">
        <v>1240</v>
      </c>
      <c r="BF219" s="135" t="s">
        <v>1434</v>
      </c>
      <c r="BG219" s="47" t="e">
        <f ca="1">$DR$43+$BP$61+$BN$93+$BO$124</f>
        <v>#DIV/0!</v>
      </c>
      <c r="BH219" s="31" t="s">
        <v>1240</v>
      </c>
      <c r="BI219" s="234"/>
      <c r="BJ219" s="135" t="s">
        <v>1111</v>
      </c>
      <c r="BK219" s="161" t="e">
        <f ca="1">BD219/'Indata byggnad och BBR krav'!$C$16*1000</f>
        <v>#DIV/0!</v>
      </c>
      <c r="BL219" s="31" t="s">
        <v>1240</v>
      </c>
      <c r="BM219" s="234"/>
      <c r="BN219" s="135" t="s">
        <v>1111</v>
      </c>
      <c r="BO219" s="161" t="e">
        <f ca="1">BG219/'Indata byggnad och BBR krav'!$C$16*1000</f>
        <v>#DIV/0!</v>
      </c>
      <c r="BP219" s="31" t="s">
        <v>1240</v>
      </c>
      <c r="BQ219" s="234"/>
      <c r="BR219" s="234"/>
      <c r="BS219" s="234"/>
      <c r="BT219" s="234"/>
      <c r="BU219" s="234"/>
      <c r="BV219" s="234"/>
      <c r="BW219" s="234"/>
      <c r="BX219" s="234"/>
      <c r="BY219" s="234"/>
      <c r="BZ219" s="234"/>
      <c r="CA219" s="234"/>
      <c r="CB219" s="234"/>
      <c r="CC219" s="234"/>
      <c r="CD219" s="234"/>
      <c r="CE219" s="234"/>
      <c r="CF219" s="234"/>
      <c r="CG219" s="234"/>
      <c r="CH219" s="234"/>
      <c r="CI219" s="234"/>
      <c r="CJ219" s="234"/>
      <c r="CK219" s="234"/>
      <c r="CL219" s="234"/>
      <c r="CM219" s="234"/>
      <c r="CN219" s="234"/>
      <c r="CO219" s="234"/>
      <c r="CP219" s="234"/>
      <c r="CQ219" s="234"/>
      <c r="CR219" s="234"/>
      <c r="CS219" s="234"/>
      <c r="CT219" s="234"/>
      <c r="CU219" s="234"/>
      <c r="CV219" s="234"/>
      <c r="CW219" s="234"/>
      <c r="CX219" s="234"/>
      <c r="CY219" s="234"/>
      <c r="CZ219" s="234"/>
      <c r="DA219" s="234"/>
      <c r="DB219" s="234"/>
      <c r="DC219" s="234"/>
      <c r="DD219" s="234"/>
      <c r="DE219" s="234"/>
      <c r="DF219" s="234"/>
      <c r="DG219" s="234"/>
      <c r="DH219" s="234"/>
      <c r="DI219" s="234"/>
      <c r="DJ219" s="234"/>
      <c r="DK219" s="234"/>
      <c r="DL219" s="234"/>
      <c r="DM219" s="234"/>
      <c r="DN219" s="234"/>
      <c r="DO219" s="234"/>
      <c r="DP219" s="234"/>
      <c r="DQ219" s="234"/>
      <c r="DR219" s="234"/>
      <c r="DS219" s="234"/>
      <c r="DT219" s="234"/>
    </row>
    <row r="220" spans="1:124" s="231" customFormat="1" x14ac:dyDescent="0.25">
      <c r="A220" s="232"/>
      <c r="H220" s="232"/>
      <c r="K220" s="232"/>
      <c r="N220" s="232"/>
      <c r="W220" s="232"/>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4"/>
      <c r="AZ220" s="234"/>
      <c r="BA220" s="234"/>
      <c r="BB220" s="234"/>
      <c r="BC220" s="234"/>
      <c r="BD220" s="234"/>
      <c r="BE220" s="234"/>
      <c r="BF220" s="234"/>
      <c r="BG220" s="234"/>
      <c r="BH220" s="234"/>
      <c r="BI220" s="234"/>
      <c r="BJ220" s="234"/>
      <c r="BK220" s="234"/>
      <c r="BL220" s="234"/>
      <c r="BM220" s="234"/>
      <c r="BN220" s="234"/>
      <c r="BO220" s="234"/>
      <c r="BP220" s="234"/>
      <c r="BQ220" s="234"/>
      <c r="BR220" s="234"/>
      <c r="BS220" s="234"/>
      <c r="BT220" s="234"/>
      <c r="BU220" s="234"/>
      <c r="BV220" s="234"/>
      <c r="BW220" s="234"/>
      <c r="BX220" s="234"/>
      <c r="BY220" s="234"/>
      <c r="BZ220" s="234"/>
      <c r="CA220" s="234"/>
      <c r="CB220" s="234"/>
      <c r="CC220" s="234"/>
      <c r="CD220" s="234"/>
      <c r="CE220" s="234"/>
      <c r="CF220" s="234"/>
      <c r="CG220" s="234"/>
      <c r="CH220" s="234"/>
      <c r="CI220" s="234"/>
      <c r="CJ220" s="234"/>
      <c r="CK220" s="234"/>
      <c r="CL220" s="234"/>
      <c r="CM220" s="234"/>
      <c r="CN220" s="234"/>
      <c r="CO220" s="234"/>
      <c r="CP220" s="234"/>
      <c r="CQ220" s="234"/>
      <c r="CR220" s="234"/>
      <c r="CS220" s="234"/>
      <c r="CT220" s="234"/>
      <c r="CU220" s="234"/>
      <c r="CV220" s="234"/>
      <c r="CW220" s="234"/>
      <c r="CX220" s="234"/>
      <c r="CY220" s="234"/>
      <c r="CZ220" s="234"/>
      <c r="DA220" s="234"/>
      <c r="DB220" s="234"/>
      <c r="DC220" s="234"/>
      <c r="DD220" s="234"/>
      <c r="DE220" s="234"/>
      <c r="DF220" s="234"/>
      <c r="DG220" s="234"/>
      <c r="DH220" s="234"/>
      <c r="DI220" s="234"/>
      <c r="DJ220" s="234"/>
      <c r="DK220" s="234"/>
      <c r="DL220" s="234"/>
      <c r="DM220" s="234"/>
      <c r="DN220" s="234"/>
      <c r="DO220" s="234"/>
      <c r="DP220" s="234"/>
      <c r="DQ220" s="234"/>
      <c r="DR220" s="234"/>
      <c r="DS220" s="234"/>
      <c r="DT220" s="234"/>
    </row>
    <row r="221" spans="1:124" s="231" customFormat="1" x14ac:dyDescent="0.25">
      <c r="A221" s="232"/>
      <c r="H221" s="232"/>
      <c r="K221" s="232"/>
      <c r="N221" s="232"/>
      <c r="W221" s="232"/>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4"/>
      <c r="AZ221" s="234"/>
      <c r="BA221" s="234"/>
      <c r="BB221" s="234"/>
      <c r="BC221" s="234"/>
      <c r="BD221" s="234"/>
      <c r="BE221" s="234"/>
      <c r="BF221" s="292" t="s">
        <v>1397</v>
      </c>
      <c r="BG221" s="234"/>
      <c r="BH221" s="234"/>
      <c r="BI221" s="234"/>
      <c r="BJ221" s="234"/>
      <c r="BK221" s="234"/>
      <c r="BL221" s="234"/>
      <c r="BM221" s="234"/>
      <c r="BN221" s="292" t="s">
        <v>1397</v>
      </c>
      <c r="BO221" s="234"/>
      <c r="BP221" s="234"/>
      <c r="BQ221" s="234"/>
      <c r="BR221" s="234"/>
      <c r="BS221" s="234"/>
      <c r="BT221" s="234"/>
      <c r="BU221" s="234"/>
      <c r="BV221" s="234"/>
      <c r="BW221" s="234"/>
      <c r="BX221" s="234"/>
      <c r="BY221" s="234"/>
      <c r="BZ221" s="234"/>
      <c r="CA221" s="234"/>
      <c r="CB221" s="234"/>
      <c r="CC221" s="234"/>
      <c r="CD221" s="234"/>
      <c r="CE221" s="234"/>
      <c r="CF221" s="234"/>
      <c r="CG221" s="234"/>
      <c r="CH221" s="234"/>
      <c r="CI221" s="234"/>
      <c r="CJ221" s="234"/>
      <c r="CK221" s="234"/>
      <c r="CL221" s="234"/>
      <c r="CM221" s="234"/>
      <c r="CN221" s="234"/>
      <c r="CO221" s="234"/>
      <c r="CP221" s="234"/>
      <c r="CQ221" s="234"/>
      <c r="CR221" s="234"/>
      <c r="CS221" s="234"/>
      <c r="CT221" s="234"/>
      <c r="CU221" s="234"/>
      <c r="CV221" s="234"/>
      <c r="CW221" s="234"/>
      <c r="CX221" s="234"/>
      <c r="CY221" s="234"/>
      <c r="CZ221" s="234"/>
      <c r="DA221" s="234"/>
      <c r="DB221" s="234"/>
      <c r="DC221" s="234"/>
      <c r="DD221" s="234"/>
      <c r="DE221" s="234"/>
      <c r="DF221" s="234"/>
      <c r="DG221" s="234"/>
      <c r="DH221" s="234"/>
      <c r="DI221" s="234"/>
      <c r="DJ221" s="234"/>
      <c r="DK221" s="234"/>
      <c r="DL221" s="234"/>
      <c r="DM221" s="234"/>
      <c r="DN221" s="234"/>
      <c r="DO221" s="234"/>
      <c r="DP221" s="234"/>
      <c r="DQ221" s="234"/>
      <c r="DR221" s="234"/>
      <c r="DS221" s="234"/>
      <c r="DT221" s="234"/>
    </row>
    <row r="222" spans="1:124" s="231" customFormat="1" x14ac:dyDescent="0.25">
      <c r="A222" s="232"/>
      <c r="H222" s="232"/>
      <c r="K222" s="232"/>
      <c r="N222" s="232"/>
      <c r="W222" s="232"/>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4"/>
      <c r="AZ222" s="234"/>
      <c r="BA222" s="234"/>
      <c r="BB222" s="234"/>
      <c r="BC222" s="234"/>
      <c r="BD222" s="234"/>
      <c r="BE222" s="234"/>
      <c r="BF222" s="234"/>
      <c r="BG222" s="234"/>
      <c r="BH222" s="234"/>
      <c r="BI222" s="234"/>
      <c r="BJ222" s="234"/>
      <c r="BK222" s="234"/>
      <c r="BL222" s="234"/>
      <c r="BM222" s="234"/>
      <c r="BN222" s="234"/>
      <c r="BO222" s="234"/>
      <c r="BP222" s="234"/>
      <c r="BQ222" s="234"/>
      <c r="BR222" s="234"/>
      <c r="BS222" s="234"/>
      <c r="BT222" s="234"/>
      <c r="BU222" s="234"/>
      <c r="BV222" s="234"/>
      <c r="BW222" s="234"/>
      <c r="BX222" s="234"/>
      <c r="BY222" s="234"/>
      <c r="BZ222" s="234"/>
      <c r="CA222" s="234"/>
      <c r="CB222" s="234"/>
      <c r="CC222" s="234"/>
      <c r="CD222" s="234"/>
      <c r="CE222" s="234"/>
      <c r="CF222" s="234"/>
      <c r="CG222" s="234"/>
      <c r="CH222" s="234"/>
      <c r="CI222" s="234"/>
      <c r="CJ222" s="234"/>
      <c r="CK222" s="234"/>
      <c r="CL222" s="234"/>
      <c r="CM222" s="234"/>
      <c r="CN222" s="234"/>
      <c r="CO222" s="234"/>
      <c r="CP222" s="234"/>
      <c r="CQ222" s="234"/>
      <c r="CR222" s="234"/>
      <c r="CS222" s="234"/>
      <c r="CT222" s="234"/>
      <c r="CU222" s="234"/>
      <c r="CV222" s="234"/>
      <c r="CW222" s="234"/>
      <c r="CX222" s="234"/>
      <c r="CY222" s="234"/>
      <c r="CZ222" s="234"/>
      <c r="DA222" s="234"/>
      <c r="DB222" s="234"/>
      <c r="DC222" s="234"/>
      <c r="DD222" s="234"/>
      <c r="DE222" s="234"/>
      <c r="DF222" s="234"/>
      <c r="DG222" s="234"/>
      <c r="DH222" s="234"/>
      <c r="DI222" s="234"/>
      <c r="DJ222" s="234"/>
      <c r="DK222" s="234"/>
      <c r="DL222" s="234"/>
      <c r="DM222" s="234"/>
      <c r="DN222" s="234"/>
      <c r="DO222" s="234"/>
      <c r="DP222" s="234"/>
      <c r="DQ222" s="234"/>
      <c r="DR222" s="234"/>
      <c r="DS222" s="234"/>
      <c r="DT222" s="234"/>
    </row>
    <row r="223" spans="1:124" s="231" customFormat="1" x14ac:dyDescent="0.25">
      <c r="A223" s="232"/>
      <c r="H223" s="232"/>
      <c r="K223" s="232"/>
      <c r="N223" s="232"/>
      <c r="W223" s="232"/>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4"/>
      <c r="AZ223" s="234"/>
      <c r="BA223" s="234"/>
      <c r="BB223" s="234"/>
      <c r="BC223" s="234"/>
      <c r="BD223" s="234"/>
      <c r="BE223" s="38"/>
      <c r="BF223" s="234"/>
      <c r="BG223" s="234"/>
      <c r="BH223" s="234"/>
      <c r="BI223" s="423"/>
      <c r="BJ223" s="424"/>
      <c r="BK223" s="425"/>
      <c r="BL223" s="426" t="s">
        <v>1410</v>
      </c>
      <c r="BM223" s="427"/>
      <c r="BN223" s="424"/>
      <c r="BO223" s="424"/>
      <c r="BP223" s="428"/>
      <c r="BQ223" s="234"/>
      <c r="BR223" s="234"/>
      <c r="BS223" s="234"/>
      <c r="BT223" s="234"/>
      <c r="BU223" s="234"/>
      <c r="BV223" s="234"/>
      <c r="BW223" s="234"/>
      <c r="BX223" s="234"/>
      <c r="BY223" s="234"/>
      <c r="BZ223" s="234"/>
      <c r="CA223" s="234"/>
      <c r="CB223" s="234"/>
      <c r="CC223" s="234"/>
      <c r="CD223" s="234"/>
      <c r="CE223" s="234"/>
      <c r="CF223" s="234"/>
      <c r="CG223" s="234"/>
      <c r="CH223" s="234"/>
      <c r="CI223" s="234"/>
      <c r="CJ223" s="234"/>
      <c r="CK223" s="234"/>
      <c r="CL223" s="234"/>
      <c r="CM223" s="234"/>
      <c r="CN223" s="234"/>
      <c r="CO223" s="234"/>
      <c r="CP223" s="234"/>
      <c r="CQ223" s="234"/>
      <c r="CR223" s="234"/>
      <c r="CS223" s="234"/>
      <c r="CT223" s="234"/>
      <c r="CU223" s="234"/>
      <c r="CV223" s="234"/>
      <c r="CW223" s="234"/>
      <c r="CX223" s="234"/>
      <c r="CY223" s="234"/>
      <c r="CZ223" s="234"/>
      <c r="DA223" s="234"/>
      <c r="DB223" s="234"/>
      <c r="DC223" s="234"/>
      <c r="DD223" s="234"/>
      <c r="DE223" s="234"/>
      <c r="DF223" s="234"/>
      <c r="DG223" s="234"/>
      <c r="DH223" s="234"/>
      <c r="DI223" s="234"/>
      <c r="DJ223" s="234"/>
      <c r="DK223" s="234"/>
      <c r="DL223" s="234"/>
      <c r="DM223" s="234"/>
      <c r="DN223" s="234"/>
      <c r="DO223" s="234"/>
      <c r="DP223" s="234"/>
      <c r="DQ223" s="234"/>
      <c r="DR223" s="234"/>
      <c r="DS223" s="234"/>
      <c r="DT223" s="234"/>
    </row>
    <row r="224" spans="1:124" s="231" customFormat="1" x14ac:dyDescent="0.25">
      <c r="A224" s="232"/>
      <c r="H224" s="232"/>
      <c r="K224" s="232"/>
      <c r="N224" s="232"/>
      <c r="W224" s="232"/>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4"/>
      <c r="AZ224" s="234"/>
      <c r="BA224" s="234"/>
      <c r="BB224" s="234"/>
      <c r="BC224" s="234"/>
      <c r="BD224" s="234"/>
      <c r="BE224" s="234"/>
      <c r="BF224" s="234"/>
      <c r="BG224" s="234"/>
      <c r="BH224" s="234"/>
      <c r="BI224" s="429"/>
      <c r="BJ224" s="31"/>
      <c r="BK224" s="31"/>
      <c r="BL224" s="124" t="s">
        <v>1404</v>
      </c>
      <c r="BM224" s="31"/>
      <c r="BN224" s="31"/>
      <c r="BO224" s="31"/>
      <c r="BP224" s="430"/>
      <c r="BQ224" s="234"/>
      <c r="BR224" s="234"/>
      <c r="BS224" s="234"/>
      <c r="BT224" s="234"/>
      <c r="BU224" s="234"/>
      <c r="BV224" s="234"/>
      <c r="BW224" s="234"/>
      <c r="BX224" s="234"/>
      <c r="BY224" s="234"/>
      <c r="BZ224" s="234"/>
      <c r="CA224" s="234"/>
      <c r="CB224" s="234"/>
      <c r="CC224" s="234"/>
      <c r="CD224" s="234"/>
      <c r="CE224" s="234"/>
      <c r="CF224" s="234"/>
      <c r="CG224" s="234"/>
      <c r="CH224" s="234"/>
      <c r="CI224" s="234"/>
      <c r="CJ224" s="234"/>
      <c r="CK224" s="234"/>
      <c r="CL224" s="234"/>
      <c r="CM224" s="234"/>
      <c r="CN224" s="234"/>
      <c r="CO224" s="234"/>
      <c r="CP224" s="234"/>
      <c r="CQ224" s="234"/>
      <c r="CR224" s="234"/>
      <c r="CS224" s="234"/>
      <c r="CT224" s="234"/>
      <c r="CU224" s="234"/>
      <c r="CV224" s="234"/>
      <c r="CW224" s="234"/>
      <c r="CX224" s="234"/>
      <c r="CY224" s="234"/>
      <c r="CZ224" s="234"/>
      <c r="DA224" s="234"/>
      <c r="DB224" s="234"/>
      <c r="DC224" s="234"/>
      <c r="DD224" s="234"/>
      <c r="DE224" s="234"/>
      <c r="DF224" s="234"/>
      <c r="DG224" s="234"/>
      <c r="DH224" s="234"/>
      <c r="DI224" s="234"/>
      <c r="DJ224" s="234"/>
      <c r="DK224" s="234"/>
      <c r="DL224" s="234"/>
      <c r="DM224" s="234"/>
      <c r="DN224" s="234"/>
      <c r="DO224" s="234"/>
      <c r="DP224" s="234"/>
      <c r="DQ224" s="234"/>
      <c r="DR224" s="234"/>
      <c r="DS224" s="234"/>
      <c r="DT224" s="234"/>
    </row>
    <row r="225" spans="1:124" s="231" customFormat="1" x14ac:dyDescent="0.25">
      <c r="A225" s="232"/>
      <c r="H225" s="232"/>
      <c r="K225" s="232"/>
      <c r="N225" s="232"/>
      <c r="W225" s="232"/>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4"/>
      <c r="AZ225" s="234"/>
      <c r="BA225" s="234"/>
      <c r="BB225" s="234"/>
      <c r="BC225" s="234"/>
      <c r="BD225" s="234"/>
      <c r="BE225" s="234"/>
      <c r="BF225" s="234"/>
      <c r="BG225" s="234"/>
      <c r="BH225" s="234"/>
      <c r="BI225" s="429"/>
      <c r="BJ225" s="431" t="s">
        <v>1392</v>
      </c>
      <c r="BK225" s="31"/>
      <c r="BL225" s="31"/>
      <c r="BM225" s="31"/>
      <c r="BN225" s="431" t="s">
        <v>1393</v>
      </c>
      <c r="BO225" s="31"/>
      <c r="BP225" s="430"/>
      <c r="BQ225" s="234"/>
      <c r="BR225" s="234"/>
      <c r="BS225" s="234"/>
      <c r="BT225" s="234"/>
      <c r="BU225" s="234"/>
      <c r="BV225" s="234"/>
      <c r="BW225" s="234"/>
      <c r="BX225" s="234"/>
      <c r="BY225" s="234"/>
      <c r="BZ225" s="234"/>
      <c r="CA225" s="234"/>
      <c r="CB225" s="234"/>
      <c r="CC225" s="234"/>
      <c r="CD225" s="234"/>
      <c r="CE225" s="234"/>
      <c r="CF225" s="234"/>
      <c r="CG225" s="234"/>
      <c r="CH225" s="234"/>
      <c r="CI225" s="234"/>
      <c r="CJ225" s="234"/>
      <c r="CK225" s="234"/>
      <c r="CL225" s="234"/>
      <c r="CM225" s="234"/>
      <c r="CN225" s="234"/>
      <c r="CO225" s="234"/>
      <c r="CP225" s="234"/>
      <c r="CQ225" s="234"/>
      <c r="CR225" s="234"/>
      <c r="CS225" s="234"/>
      <c r="CT225" s="234"/>
      <c r="CU225" s="234"/>
      <c r="CV225" s="234"/>
      <c r="CW225" s="234"/>
      <c r="CX225" s="234"/>
      <c r="CY225" s="234"/>
      <c r="CZ225" s="234"/>
      <c r="DA225" s="234"/>
      <c r="DB225" s="234"/>
      <c r="DC225" s="234"/>
      <c r="DD225" s="234"/>
      <c r="DE225" s="234"/>
      <c r="DF225" s="234"/>
      <c r="DG225" s="234"/>
      <c r="DH225" s="234"/>
      <c r="DI225" s="234"/>
      <c r="DJ225" s="234"/>
      <c r="DK225" s="234"/>
      <c r="DL225" s="234"/>
      <c r="DM225" s="234"/>
      <c r="DN225" s="234"/>
      <c r="DO225" s="234"/>
      <c r="DP225" s="234"/>
      <c r="DQ225" s="234"/>
      <c r="DR225" s="234"/>
      <c r="DS225" s="234"/>
      <c r="DT225" s="234"/>
    </row>
    <row r="226" spans="1:124" s="231" customFormat="1" x14ac:dyDescent="0.25">
      <c r="A226" s="232"/>
      <c r="H226" s="232"/>
      <c r="K226" s="232"/>
      <c r="N226" s="232"/>
      <c r="W226" s="232"/>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4"/>
      <c r="AZ226" s="234"/>
      <c r="BA226" s="234"/>
      <c r="BB226" s="234"/>
      <c r="BC226" s="234"/>
      <c r="BD226" s="234"/>
      <c r="BE226" s="234"/>
      <c r="BF226" s="234"/>
      <c r="BG226" s="234"/>
      <c r="BH226" s="234"/>
      <c r="BI226" s="429"/>
      <c r="BJ226" s="140" t="s">
        <v>1411</v>
      </c>
      <c r="BK226" s="31"/>
      <c r="BL226" s="31"/>
      <c r="BM226" s="31"/>
      <c r="BN226" s="140" t="s">
        <v>1411</v>
      </c>
      <c r="BO226" s="31"/>
      <c r="BP226" s="430"/>
      <c r="BQ226" s="234"/>
      <c r="BR226" s="234"/>
      <c r="BS226" s="234"/>
      <c r="BT226" s="234"/>
      <c r="BU226" s="234"/>
      <c r="BV226" s="234"/>
      <c r="BW226" s="234"/>
      <c r="BX226" s="234"/>
      <c r="BY226" s="234"/>
      <c r="BZ226" s="234"/>
      <c r="CA226" s="234"/>
      <c r="CB226" s="234"/>
      <c r="CC226" s="234"/>
      <c r="CD226" s="234"/>
      <c r="CE226" s="234"/>
      <c r="CF226" s="234"/>
      <c r="CG226" s="234"/>
      <c r="CH226" s="234"/>
      <c r="CI226" s="234"/>
      <c r="CJ226" s="234"/>
      <c r="CK226" s="234"/>
      <c r="CL226" s="234"/>
      <c r="CM226" s="234"/>
      <c r="CN226" s="234"/>
      <c r="CO226" s="234"/>
      <c r="CP226" s="234"/>
      <c r="CQ226" s="234"/>
      <c r="CR226" s="234"/>
      <c r="CS226" s="234"/>
      <c r="CT226" s="234"/>
      <c r="CU226" s="234"/>
      <c r="CV226" s="234"/>
      <c r="CW226" s="234"/>
      <c r="CX226" s="234"/>
      <c r="CY226" s="234"/>
      <c r="CZ226" s="234"/>
      <c r="DA226" s="234"/>
      <c r="DB226" s="234"/>
      <c r="DC226" s="234"/>
      <c r="DD226" s="234"/>
      <c r="DE226" s="234"/>
      <c r="DF226" s="234"/>
      <c r="DG226" s="234"/>
      <c r="DH226" s="234"/>
      <c r="DI226" s="234"/>
      <c r="DJ226" s="234"/>
      <c r="DK226" s="234"/>
      <c r="DL226" s="234"/>
      <c r="DM226" s="234"/>
      <c r="DN226" s="234"/>
      <c r="DO226" s="234"/>
      <c r="DP226" s="234"/>
      <c r="DQ226" s="234"/>
      <c r="DR226" s="234"/>
      <c r="DS226" s="234"/>
      <c r="DT226" s="234"/>
    </row>
    <row r="227" spans="1:124" s="231" customFormat="1" x14ac:dyDescent="0.25">
      <c r="A227" s="232"/>
      <c r="H227" s="232"/>
      <c r="K227" s="232"/>
      <c r="N227" s="232"/>
      <c r="W227" s="232"/>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4"/>
      <c r="AZ227" s="234"/>
      <c r="BA227" s="234"/>
      <c r="BB227" s="234"/>
      <c r="BC227" s="234"/>
      <c r="BD227" s="234"/>
      <c r="BE227" s="234"/>
      <c r="BF227" s="234"/>
      <c r="BG227" s="234"/>
      <c r="BH227" s="234"/>
      <c r="BI227" s="429"/>
      <c r="BJ227" s="142"/>
      <c r="BK227" s="142"/>
      <c r="BL227" s="31"/>
      <c r="BM227" s="31"/>
      <c r="BN227" s="142"/>
      <c r="BO227" s="142"/>
      <c r="BP227" s="430"/>
      <c r="BQ227" s="234"/>
      <c r="BR227" s="234"/>
      <c r="BS227" s="234"/>
      <c r="BT227" s="234"/>
      <c r="BU227" s="234"/>
      <c r="BV227" s="234"/>
      <c r="BW227" s="234"/>
      <c r="BX227" s="234"/>
      <c r="BY227" s="234"/>
      <c r="BZ227" s="234"/>
      <c r="CA227" s="234"/>
      <c r="CB227" s="234"/>
      <c r="CC227" s="234"/>
      <c r="CD227" s="234"/>
      <c r="CE227" s="234"/>
      <c r="CF227" s="234"/>
      <c r="CG227" s="234"/>
      <c r="CH227" s="234"/>
      <c r="CI227" s="234"/>
      <c r="CJ227" s="234"/>
      <c r="CK227" s="234"/>
      <c r="CL227" s="234"/>
      <c r="CM227" s="234"/>
      <c r="CN227" s="234"/>
      <c r="CO227" s="234"/>
      <c r="CP227" s="234"/>
      <c r="CQ227" s="234"/>
      <c r="CR227" s="234"/>
      <c r="CS227" s="234"/>
      <c r="CT227" s="234"/>
      <c r="CU227" s="234"/>
      <c r="CV227" s="234"/>
      <c r="CW227" s="234"/>
      <c r="CX227" s="234"/>
      <c r="CY227" s="234"/>
      <c r="CZ227" s="234"/>
      <c r="DA227" s="234"/>
      <c r="DB227" s="234"/>
      <c r="DC227" s="234"/>
      <c r="DD227" s="234"/>
      <c r="DE227" s="234"/>
      <c r="DF227" s="234"/>
      <c r="DG227" s="234"/>
      <c r="DH227" s="234"/>
      <c r="DI227" s="234"/>
      <c r="DJ227" s="234"/>
      <c r="DK227" s="234"/>
      <c r="DL227" s="234"/>
      <c r="DM227" s="234"/>
      <c r="DN227" s="234"/>
      <c r="DO227" s="234"/>
      <c r="DP227" s="234"/>
      <c r="DQ227" s="234"/>
      <c r="DR227" s="234"/>
      <c r="DS227" s="234"/>
      <c r="DT227" s="234"/>
    </row>
    <row r="228" spans="1:124" s="231" customFormat="1" x14ac:dyDescent="0.25">
      <c r="A228" s="232"/>
      <c r="H228" s="232"/>
      <c r="K228" s="232"/>
      <c r="N228" s="232"/>
      <c r="W228" s="232"/>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4"/>
      <c r="AZ228" s="234"/>
      <c r="BA228" s="234"/>
      <c r="BB228" s="234"/>
      <c r="BC228" s="234"/>
      <c r="BD228" s="234"/>
      <c r="BE228" s="234"/>
      <c r="BF228" s="234"/>
      <c r="BG228" s="234"/>
      <c r="BH228" s="234"/>
      <c r="BI228" s="429"/>
      <c r="BJ228" s="148" t="s">
        <v>21</v>
      </c>
      <c r="BK228" s="422" t="e">
        <f ca="1">BK230+BK231+BK232+BK233</f>
        <v>#DIV/0!</v>
      </c>
      <c r="BL228" s="31"/>
      <c r="BM228" s="31"/>
      <c r="BN228" s="148" t="s">
        <v>21</v>
      </c>
      <c r="BO228" s="422" t="e">
        <f ca="1">BO230+BO231+BO232+BO233</f>
        <v>#DIV/0!</v>
      </c>
      <c r="BP228" s="430"/>
      <c r="BQ228" s="234"/>
      <c r="BR228" s="234"/>
      <c r="BS228" s="234"/>
      <c r="BT228" s="234"/>
      <c r="BU228" s="234"/>
      <c r="BV228" s="234"/>
      <c r="BW228" s="234"/>
      <c r="BX228" s="234"/>
      <c r="BY228" s="234"/>
      <c r="BZ228" s="234"/>
      <c r="CA228" s="234"/>
      <c r="CB228" s="234"/>
      <c r="CC228" s="234"/>
      <c r="CD228" s="234"/>
      <c r="CE228" s="234"/>
      <c r="CF228" s="234"/>
      <c r="CG228" s="234"/>
      <c r="CH228" s="234"/>
      <c r="CI228" s="234"/>
      <c r="CJ228" s="234"/>
      <c r="CK228" s="234"/>
      <c r="CL228" s="234"/>
      <c r="CM228" s="234"/>
      <c r="CN228" s="234"/>
      <c r="CO228" s="234"/>
      <c r="CP228" s="234"/>
      <c r="CQ228" s="234"/>
      <c r="CR228" s="234"/>
      <c r="CS228" s="234"/>
      <c r="CT228" s="234"/>
      <c r="CU228" s="234"/>
      <c r="CV228" s="234"/>
      <c r="CW228" s="234"/>
      <c r="CX228" s="234"/>
      <c r="CY228" s="234"/>
      <c r="CZ228" s="234"/>
      <c r="DA228" s="234"/>
      <c r="DB228" s="234"/>
      <c r="DC228" s="234"/>
      <c r="DD228" s="234"/>
      <c r="DE228" s="234"/>
      <c r="DF228" s="234"/>
      <c r="DG228" s="234"/>
      <c r="DH228" s="234"/>
      <c r="DI228" s="234"/>
      <c r="DJ228" s="234"/>
      <c r="DK228" s="234"/>
      <c r="DL228" s="234"/>
      <c r="DM228" s="234"/>
      <c r="DN228" s="234"/>
      <c r="DO228" s="234"/>
      <c r="DP228" s="234"/>
      <c r="DQ228" s="234"/>
      <c r="DR228" s="234"/>
      <c r="DS228" s="234"/>
      <c r="DT228" s="234"/>
    </row>
    <row r="229" spans="1:124" s="231" customFormat="1" x14ac:dyDescent="0.25">
      <c r="A229" s="232"/>
      <c r="H229" s="232"/>
      <c r="K229" s="232"/>
      <c r="N229" s="232"/>
      <c r="W229" s="232"/>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4"/>
      <c r="AZ229" s="234"/>
      <c r="BA229" s="234"/>
      <c r="BB229" s="234"/>
      <c r="BC229" s="234"/>
      <c r="BD229" s="234"/>
      <c r="BE229" s="234"/>
      <c r="BF229" s="234"/>
      <c r="BG229" s="234"/>
      <c r="BH229" s="234"/>
      <c r="BI229" s="429"/>
      <c r="BJ229" s="154" t="s">
        <v>29</v>
      </c>
      <c r="BK229" s="156"/>
      <c r="BL229" s="31"/>
      <c r="BM229" s="31"/>
      <c r="BN229" s="154" t="s">
        <v>29</v>
      </c>
      <c r="BO229" s="156"/>
      <c r="BP229" s="430"/>
      <c r="BQ229" s="234"/>
      <c r="BR229" s="234"/>
      <c r="BS229" s="234"/>
      <c r="BT229" s="234"/>
      <c r="BU229" s="234"/>
      <c r="BV229" s="234"/>
      <c r="BW229" s="234"/>
      <c r="BX229" s="234"/>
      <c r="BY229" s="234"/>
      <c r="BZ229" s="234"/>
      <c r="CA229" s="234"/>
      <c r="CB229" s="234"/>
      <c r="CC229" s="234"/>
      <c r="CD229" s="234"/>
      <c r="CE229" s="234"/>
      <c r="CF229" s="234"/>
      <c r="CG229" s="234"/>
      <c r="CH229" s="234"/>
      <c r="CI229" s="234"/>
      <c r="CJ229" s="234"/>
      <c r="CK229" s="234"/>
      <c r="CL229" s="234"/>
      <c r="CM229" s="234"/>
      <c r="CN229" s="234"/>
      <c r="CO229" s="234"/>
      <c r="CP229" s="234"/>
      <c r="CQ229" s="234"/>
      <c r="CR229" s="234"/>
      <c r="CS229" s="234"/>
      <c r="CT229" s="234"/>
      <c r="CU229" s="234"/>
      <c r="CV229" s="234"/>
      <c r="CW229" s="234"/>
      <c r="CX229" s="234"/>
      <c r="CY229" s="234"/>
      <c r="CZ229" s="234"/>
      <c r="DA229" s="234"/>
      <c r="DB229" s="234"/>
      <c r="DC229" s="234"/>
      <c r="DD229" s="234"/>
      <c r="DE229" s="234"/>
      <c r="DF229" s="234"/>
      <c r="DG229" s="234"/>
      <c r="DH229" s="234"/>
      <c r="DI229" s="234"/>
      <c r="DJ229" s="234"/>
      <c r="DK229" s="234"/>
      <c r="DL229" s="234"/>
      <c r="DM229" s="234"/>
      <c r="DN229" s="234"/>
      <c r="DO229" s="234"/>
      <c r="DP229" s="234"/>
      <c r="DQ229" s="234"/>
      <c r="DR229" s="234"/>
      <c r="DS229" s="234"/>
      <c r="DT229" s="234"/>
    </row>
    <row r="230" spans="1:124" s="231" customFormat="1" x14ac:dyDescent="0.25">
      <c r="A230" s="232"/>
      <c r="H230" s="232"/>
      <c r="K230" s="232"/>
      <c r="N230" s="232"/>
      <c r="W230" s="232"/>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4"/>
      <c r="AZ230" s="234"/>
      <c r="BA230" s="234"/>
      <c r="BB230" s="234"/>
      <c r="BC230" s="234"/>
      <c r="BD230" s="234"/>
      <c r="BE230" s="234"/>
      <c r="BF230" s="234"/>
      <c r="BG230" s="234"/>
      <c r="BH230" s="234"/>
      <c r="BI230" s="429"/>
      <c r="BJ230" s="51" t="s">
        <v>22</v>
      </c>
      <c r="BK230" s="150" t="e">
        <f ca="1">$DI$46</f>
        <v>#DIV/0!</v>
      </c>
      <c r="BL230" s="31"/>
      <c r="BM230" s="31"/>
      <c r="BN230" s="51" t="s">
        <v>22</v>
      </c>
      <c r="BO230" s="150" t="e">
        <f ca="1">$DR$46</f>
        <v>#DIV/0!</v>
      </c>
      <c r="BP230" s="430"/>
      <c r="BQ230" s="234"/>
      <c r="BR230" s="234"/>
      <c r="BS230" s="234"/>
      <c r="BT230" s="234"/>
      <c r="BU230" s="234"/>
      <c r="BV230" s="234"/>
      <c r="BW230" s="234"/>
      <c r="BX230" s="234"/>
      <c r="BY230" s="234"/>
      <c r="BZ230" s="234"/>
      <c r="CA230" s="234"/>
      <c r="CB230" s="234"/>
      <c r="CC230" s="234"/>
      <c r="CD230" s="234"/>
      <c r="CE230" s="234"/>
      <c r="CF230" s="234"/>
      <c r="CG230" s="234"/>
      <c r="CH230" s="234"/>
      <c r="CI230" s="234"/>
      <c r="CJ230" s="234"/>
      <c r="CK230" s="234"/>
      <c r="CL230" s="234"/>
      <c r="CM230" s="234"/>
      <c r="CN230" s="234"/>
      <c r="CO230" s="234"/>
      <c r="CP230" s="234"/>
      <c r="CQ230" s="234"/>
      <c r="CR230" s="234"/>
      <c r="CS230" s="234"/>
      <c r="CT230" s="234"/>
      <c r="CU230" s="234"/>
      <c r="CV230" s="234"/>
      <c r="CW230" s="234"/>
      <c r="CX230" s="234"/>
      <c r="CY230" s="234"/>
      <c r="CZ230" s="234"/>
      <c r="DA230" s="234"/>
      <c r="DB230" s="234"/>
      <c r="DC230" s="234"/>
      <c r="DD230" s="234"/>
      <c r="DE230" s="234"/>
      <c r="DF230" s="234"/>
      <c r="DG230" s="234"/>
      <c r="DH230" s="234"/>
      <c r="DI230" s="234"/>
      <c r="DJ230" s="234"/>
      <c r="DK230" s="234"/>
      <c r="DL230" s="234"/>
      <c r="DM230" s="234"/>
      <c r="DN230" s="234"/>
      <c r="DO230" s="234"/>
      <c r="DP230" s="234"/>
      <c r="DQ230" s="234"/>
      <c r="DR230" s="234"/>
      <c r="DS230" s="234"/>
      <c r="DT230" s="234"/>
    </row>
    <row r="231" spans="1:124" s="231" customFormat="1" ht="15.75" x14ac:dyDescent="0.25">
      <c r="A231" s="232"/>
      <c r="H231" s="232"/>
      <c r="K231" s="232"/>
      <c r="N231" s="232"/>
      <c r="W231" s="232"/>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4"/>
      <c r="AZ231" s="234"/>
      <c r="BA231" s="234"/>
      <c r="BB231" s="234"/>
      <c r="BC231" s="234"/>
      <c r="BD231" s="234"/>
      <c r="BE231" s="234"/>
      <c r="BF231" s="234"/>
      <c r="BG231" s="234"/>
      <c r="BH231" s="234"/>
      <c r="BI231" s="429"/>
      <c r="BJ231" s="160" t="s">
        <v>23</v>
      </c>
      <c r="BK231" s="150" t="e">
        <f>$BG$64</f>
        <v>#DIV/0!</v>
      </c>
      <c r="BL231" s="31"/>
      <c r="BM231" s="31"/>
      <c r="BN231" s="160" t="s">
        <v>23</v>
      </c>
      <c r="BO231" s="150" t="e">
        <f>$BP$64</f>
        <v>#DIV/0!</v>
      </c>
      <c r="BP231" s="430"/>
      <c r="BQ231" s="234"/>
      <c r="BR231" s="234"/>
      <c r="BS231" s="234"/>
      <c r="BT231" s="234"/>
      <c r="BU231" s="234"/>
      <c r="BV231" s="234"/>
      <c r="BW231" s="234"/>
      <c r="BX231" s="234"/>
      <c r="BY231" s="234"/>
      <c r="BZ231" s="234"/>
      <c r="CA231" s="234"/>
      <c r="CB231" s="234"/>
      <c r="CC231" s="234"/>
      <c r="CD231" s="234"/>
      <c r="CE231" s="234"/>
      <c r="CF231" s="234"/>
      <c r="CG231" s="234"/>
      <c r="CH231" s="234"/>
      <c r="CI231" s="234"/>
      <c r="CJ231" s="234"/>
      <c r="CK231" s="234"/>
      <c r="CL231" s="234"/>
      <c r="CM231" s="234"/>
      <c r="CN231" s="234"/>
      <c r="CO231" s="234"/>
      <c r="CP231" s="234"/>
      <c r="CQ231" s="234"/>
      <c r="CR231" s="234"/>
      <c r="CS231" s="234"/>
      <c r="CT231" s="234"/>
      <c r="CU231" s="234"/>
      <c r="CV231" s="234"/>
      <c r="CW231" s="234"/>
      <c r="CX231" s="234"/>
      <c r="CY231" s="234"/>
      <c r="CZ231" s="234"/>
      <c r="DA231" s="234"/>
      <c r="DB231" s="234"/>
      <c r="DC231" s="234"/>
      <c r="DD231" s="234"/>
      <c r="DE231" s="234"/>
      <c r="DF231" s="234"/>
      <c r="DG231" s="234"/>
      <c r="DH231" s="234"/>
      <c r="DI231" s="234"/>
      <c r="DJ231" s="234"/>
      <c r="DK231" s="234"/>
      <c r="DL231" s="234"/>
      <c r="DM231" s="234"/>
      <c r="DN231" s="234"/>
      <c r="DO231" s="234"/>
      <c r="DP231" s="234"/>
      <c r="DQ231" s="234"/>
      <c r="DR231" s="234"/>
      <c r="DS231" s="234"/>
      <c r="DT231" s="234"/>
    </row>
    <row r="232" spans="1:124" s="231" customFormat="1" ht="15.75" x14ac:dyDescent="0.25">
      <c r="H232" s="232"/>
      <c r="K232" s="232"/>
      <c r="N232" s="232"/>
      <c r="W232" s="232"/>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4"/>
      <c r="AZ232" s="234"/>
      <c r="BA232" s="234"/>
      <c r="BB232" s="234"/>
      <c r="BC232" s="234"/>
      <c r="BD232" s="234"/>
      <c r="BE232" s="234"/>
      <c r="BF232" s="234"/>
      <c r="BG232" s="234"/>
      <c r="BH232" s="234"/>
      <c r="BI232" s="429"/>
      <c r="BJ232" s="160" t="s">
        <v>24</v>
      </c>
      <c r="BK232" s="150" t="e">
        <f>$BD$98</f>
        <v>#DIV/0!</v>
      </c>
      <c r="BL232" s="31"/>
      <c r="BM232" s="31"/>
      <c r="BN232" s="160" t="s">
        <v>24</v>
      </c>
      <c r="BO232" s="150" t="e">
        <f>$BN$98</f>
        <v>#DIV/0!</v>
      </c>
      <c r="BP232" s="430"/>
      <c r="BQ232" s="234"/>
      <c r="BR232" s="234"/>
      <c r="BS232" s="234"/>
      <c r="BT232" s="234"/>
      <c r="BU232" s="234"/>
      <c r="BV232" s="234"/>
      <c r="BW232" s="234"/>
      <c r="BX232" s="234"/>
      <c r="BY232" s="234"/>
      <c r="BZ232" s="234"/>
      <c r="CA232" s="234"/>
      <c r="CB232" s="234"/>
      <c r="CC232" s="234"/>
      <c r="CD232" s="234"/>
      <c r="CE232" s="234"/>
      <c r="CF232" s="234"/>
      <c r="CG232" s="234"/>
      <c r="CH232" s="234"/>
      <c r="CI232" s="234"/>
      <c r="CJ232" s="234"/>
      <c r="CK232" s="234"/>
      <c r="CL232" s="234"/>
      <c r="CM232" s="234"/>
      <c r="CN232" s="234"/>
      <c r="CO232" s="234"/>
      <c r="CP232" s="234"/>
      <c r="CQ232" s="234"/>
      <c r="CR232" s="234"/>
      <c r="CS232" s="234"/>
      <c r="CT232" s="234"/>
      <c r="CU232" s="234"/>
      <c r="CV232" s="234"/>
      <c r="CW232" s="234"/>
      <c r="CX232" s="234"/>
      <c r="CY232" s="234"/>
      <c r="CZ232" s="234"/>
      <c r="DA232" s="234"/>
      <c r="DB232" s="234"/>
      <c r="DC232" s="234"/>
      <c r="DD232" s="234"/>
      <c r="DE232" s="234"/>
      <c r="DF232" s="234"/>
      <c r="DG232" s="234"/>
      <c r="DH232" s="234"/>
      <c r="DI232" s="234"/>
      <c r="DJ232" s="234"/>
      <c r="DK232" s="234"/>
      <c r="DL232" s="234"/>
      <c r="DM232" s="234"/>
      <c r="DN232" s="234"/>
      <c r="DO232" s="234"/>
      <c r="DP232" s="234"/>
      <c r="DQ232" s="234"/>
      <c r="DR232" s="234"/>
      <c r="DS232" s="234"/>
      <c r="DT232" s="234"/>
    </row>
    <row r="233" spans="1:124" s="231" customFormat="1" ht="15.75" x14ac:dyDescent="0.25">
      <c r="H233" s="232"/>
      <c r="K233" s="232"/>
      <c r="N233" s="232"/>
      <c r="W233" s="232"/>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4"/>
      <c r="AZ233" s="234"/>
      <c r="BA233" s="234"/>
      <c r="BB233" s="234"/>
      <c r="BC233" s="234"/>
      <c r="BD233" s="234"/>
      <c r="BE233" s="234"/>
      <c r="BF233" s="234"/>
      <c r="BG233" s="234"/>
      <c r="BH233" s="234"/>
      <c r="BI233" s="429"/>
      <c r="BJ233" s="160" t="s">
        <v>18</v>
      </c>
      <c r="BK233" s="150" t="e">
        <f>$BE$127</f>
        <v>#DIV/0!</v>
      </c>
      <c r="BL233" s="31"/>
      <c r="BM233" s="31"/>
      <c r="BN233" s="160" t="s">
        <v>18</v>
      </c>
      <c r="BO233" s="150" t="e">
        <f>BO127</f>
        <v>#DIV/0!</v>
      </c>
      <c r="BP233" s="430"/>
      <c r="BQ233" s="234"/>
      <c r="BR233" s="234"/>
      <c r="BS233" s="234"/>
      <c r="BT233" s="234"/>
      <c r="BU233" s="234"/>
      <c r="BV233" s="234"/>
      <c r="BW233" s="234"/>
      <c r="BX233" s="234"/>
      <c r="BY233" s="234"/>
      <c r="BZ233" s="234"/>
      <c r="CA233" s="234"/>
      <c r="CB233" s="234"/>
      <c r="CC233" s="234"/>
      <c r="CD233" s="234"/>
      <c r="CE233" s="234"/>
      <c r="CF233" s="234"/>
      <c r="CG233" s="234"/>
      <c r="CH233" s="234"/>
      <c r="CI233" s="234"/>
      <c r="CJ233" s="234"/>
      <c r="CK233" s="234"/>
      <c r="CL233" s="234"/>
      <c r="CM233" s="234"/>
      <c r="CN233" s="234"/>
      <c r="CO233" s="234"/>
      <c r="CP233" s="234"/>
      <c r="CQ233" s="234"/>
      <c r="CR233" s="234"/>
      <c r="CS233" s="234"/>
      <c r="CT233" s="234"/>
      <c r="CU233" s="234"/>
      <c r="CV233" s="234"/>
      <c r="CW233" s="234"/>
      <c r="CX233" s="234"/>
      <c r="CY233" s="234"/>
      <c r="CZ233" s="234"/>
      <c r="DA233" s="234"/>
      <c r="DB233" s="234"/>
      <c r="DC233" s="234"/>
      <c r="DD233" s="234"/>
      <c r="DE233" s="234"/>
      <c r="DF233" s="234"/>
      <c r="DG233" s="234"/>
      <c r="DH233" s="234"/>
      <c r="DI233" s="234"/>
      <c r="DJ233" s="234"/>
      <c r="DK233" s="234"/>
      <c r="DL233" s="234"/>
      <c r="DM233" s="234"/>
      <c r="DN233" s="234"/>
      <c r="DO233" s="234"/>
      <c r="DP233" s="234"/>
      <c r="DQ233" s="234"/>
      <c r="DR233" s="234"/>
      <c r="DS233" s="234"/>
      <c r="DT233" s="234"/>
    </row>
    <row r="234" spans="1:124" s="231" customFormat="1" x14ac:dyDescent="0.25">
      <c r="H234" s="232"/>
      <c r="K234" s="232"/>
      <c r="N234" s="232"/>
      <c r="W234" s="232"/>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4"/>
      <c r="AZ234" s="234"/>
      <c r="BA234" s="234"/>
      <c r="BB234" s="234"/>
      <c r="BC234" s="234"/>
      <c r="BD234" s="234"/>
      <c r="BE234" s="234"/>
      <c r="BF234" s="234"/>
      <c r="BG234" s="234"/>
      <c r="BH234" s="234"/>
      <c r="BI234" s="429"/>
      <c r="BJ234" s="31"/>
      <c r="BK234" s="31"/>
      <c r="BL234" s="31"/>
      <c r="BM234" s="31"/>
      <c r="BN234" s="31"/>
      <c r="BO234" s="31"/>
      <c r="BP234" s="430"/>
      <c r="BQ234" s="234"/>
      <c r="BR234" s="234"/>
      <c r="BS234" s="234"/>
      <c r="BT234" s="234"/>
      <c r="BU234" s="234"/>
      <c r="BV234" s="234"/>
      <c r="BW234" s="234"/>
      <c r="BX234" s="234"/>
      <c r="BY234" s="234"/>
      <c r="BZ234" s="234"/>
      <c r="CA234" s="234"/>
      <c r="CB234" s="234"/>
      <c r="CC234" s="234"/>
      <c r="CD234" s="234"/>
      <c r="CE234" s="234"/>
      <c r="CF234" s="234"/>
      <c r="CG234" s="234"/>
      <c r="CH234" s="234"/>
      <c r="CI234" s="234"/>
      <c r="CJ234" s="234"/>
      <c r="CK234" s="234"/>
      <c r="CL234" s="234"/>
      <c r="CM234" s="234"/>
      <c r="CN234" s="234"/>
      <c r="CO234" s="234"/>
      <c r="CP234" s="234"/>
      <c r="CQ234" s="234"/>
      <c r="CR234" s="234"/>
      <c r="CS234" s="234"/>
      <c r="CT234" s="234"/>
      <c r="CU234" s="234"/>
      <c r="CV234" s="234"/>
      <c r="CW234" s="234"/>
      <c r="CX234" s="234"/>
      <c r="CY234" s="234"/>
      <c r="CZ234" s="234"/>
      <c r="DA234" s="234"/>
      <c r="DB234" s="234"/>
      <c r="DC234" s="234"/>
      <c r="DD234" s="234"/>
      <c r="DE234" s="234"/>
      <c r="DF234" s="234"/>
      <c r="DG234" s="234"/>
      <c r="DH234" s="234"/>
      <c r="DI234" s="234"/>
      <c r="DJ234" s="234"/>
      <c r="DK234" s="234"/>
      <c r="DL234" s="234"/>
      <c r="DM234" s="234"/>
      <c r="DN234" s="234"/>
      <c r="DO234" s="234"/>
      <c r="DP234" s="234"/>
      <c r="DQ234" s="234"/>
      <c r="DR234" s="234"/>
      <c r="DS234" s="234"/>
      <c r="DT234" s="234"/>
    </row>
    <row r="235" spans="1:124" s="231" customFormat="1" x14ac:dyDescent="0.25">
      <c r="H235" s="232"/>
      <c r="K235" s="232"/>
      <c r="N235" s="232"/>
      <c r="W235" s="232"/>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4"/>
      <c r="AZ235" s="234"/>
      <c r="BA235" s="234"/>
      <c r="BB235" s="234"/>
      <c r="BC235" s="234"/>
      <c r="BD235" s="234"/>
      <c r="BE235" s="234"/>
      <c r="BF235" s="234"/>
      <c r="BG235" s="234"/>
      <c r="BH235" s="234"/>
      <c r="BI235" s="429"/>
      <c r="BJ235" s="31"/>
      <c r="BK235" s="31"/>
      <c r="BL235" s="31"/>
      <c r="BM235" s="31"/>
      <c r="BN235" s="31"/>
      <c r="BO235" s="31"/>
      <c r="BP235" s="430"/>
      <c r="BQ235" s="234"/>
      <c r="BR235" s="234"/>
      <c r="BS235" s="234"/>
      <c r="BT235" s="234"/>
      <c r="BU235" s="234"/>
      <c r="BV235" s="234"/>
      <c r="BW235" s="234"/>
      <c r="BX235" s="234"/>
      <c r="BY235" s="234"/>
      <c r="BZ235" s="234"/>
      <c r="CA235" s="234"/>
      <c r="CB235" s="234"/>
      <c r="CC235" s="234"/>
      <c r="CD235" s="234"/>
      <c r="CE235" s="234"/>
      <c r="CF235" s="234"/>
      <c r="CG235" s="234"/>
      <c r="CH235" s="234"/>
      <c r="CI235" s="234"/>
      <c r="CJ235" s="234"/>
      <c r="CK235" s="234"/>
      <c r="CL235" s="234"/>
      <c r="CM235" s="234"/>
      <c r="CN235" s="234"/>
      <c r="CO235" s="234"/>
      <c r="CP235" s="234"/>
      <c r="CQ235" s="234"/>
      <c r="CR235" s="234"/>
      <c r="CS235" s="234"/>
      <c r="CT235" s="234"/>
      <c r="CU235" s="234"/>
      <c r="CV235" s="234"/>
      <c r="CW235" s="234"/>
      <c r="CX235" s="234"/>
      <c r="CY235" s="234"/>
      <c r="CZ235" s="234"/>
      <c r="DA235" s="234"/>
      <c r="DB235" s="234"/>
      <c r="DC235" s="234"/>
      <c r="DD235" s="234"/>
      <c r="DE235" s="234"/>
      <c r="DF235" s="234"/>
      <c r="DG235" s="234"/>
      <c r="DH235" s="234"/>
      <c r="DI235" s="234"/>
      <c r="DJ235" s="234"/>
      <c r="DK235" s="234"/>
      <c r="DL235" s="234"/>
      <c r="DM235" s="234"/>
      <c r="DN235" s="234"/>
      <c r="DO235" s="234"/>
      <c r="DP235" s="234"/>
      <c r="DQ235" s="234"/>
      <c r="DR235" s="234"/>
      <c r="DS235" s="234"/>
      <c r="DT235" s="234"/>
    </row>
    <row r="236" spans="1:124" s="231" customFormat="1" x14ac:dyDescent="0.25">
      <c r="H236" s="232"/>
      <c r="K236" s="232"/>
      <c r="N236" s="232"/>
      <c r="W236" s="232"/>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4"/>
      <c r="AZ236" s="234"/>
      <c r="BA236" s="234"/>
      <c r="BB236" s="234"/>
      <c r="BC236" s="234"/>
      <c r="BD236" s="234"/>
      <c r="BE236" s="234"/>
      <c r="BF236" s="234"/>
      <c r="BG236" s="234"/>
      <c r="BH236" s="234"/>
      <c r="BI236" s="429"/>
      <c r="BJ236" s="431" t="s">
        <v>1392</v>
      </c>
      <c r="BK236" s="31"/>
      <c r="BL236" s="31"/>
      <c r="BM236" s="31"/>
      <c r="BN236" s="431" t="s">
        <v>1393</v>
      </c>
      <c r="BO236" s="31"/>
      <c r="BP236" s="430"/>
      <c r="BQ236" s="234"/>
      <c r="BR236" s="234"/>
      <c r="BS236" s="234"/>
      <c r="BT236" s="234"/>
      <c r="BU236" s="234"/>
      <c r="BV236" s="234"/>
      <c r="BW236" s="234"/>
      <c r="BX236" s="234"/>
      <c r="BY236" s="234"/>
      <c r="BZ236" s="234"/>
      <c r="CA236" s="234"/>
      <c r="CB236" s="234"/>
      <c r="CC236" s="234"/>
      <c r="CD236" s="234"/>
      <c r="CE236" s="234"/>
      <c r="CF236" s="234"/>
      <c r="CG236" s="234"/>
      <c r="CH236" s="234"/>
      <c r="CI236" s="234"/>
      <c r="CJ236" s="234"/>
      <c r="CK236" s="234"/>
      <c r="CL236" s="234"/>
      <c r="CM236" s="234"/>
      <c r="CN236" s="234"/>
      <c r="CO236" s="234"/>
      <c r="CP236" s="234"/>
      <c r="CQ236" s="234"/>
      <c r="CR236" s="234"/>
      <c r="CS236" s="234"/>
      <c r="CT236" s="234"/>
      <c r="CU236" s="234"/>
      <c r="CV236" s="234"/>
      <c r="CW236" s="234"/>
      <c r="CX236" s="234"/>
      <c r="CY236" s="234"/>
      <c r="CZ236" s="234"/>
      <c r="DA236" s="234"/>
      <c r="DB236" s="234"/>
      <c r="DC236" s="234"/>
      <c r="DD236" s="234"/>
      <c r="DE236" s="234"/>
      <c r="DF236" s="234"/>
      <c r="DG236" s="234"/>
      <c r="DH236" s="234"/>
      <c r="DI236" s="234"/>
      <c r="DJ236" s="234"/>
      <c r="DK236" s="234"/>
      <c r="DL236" s="234"/>
      <c r="DM236" s="234"/>
      <c r="DN236" s="234"/>
      <c r="DO236" s="234"/>
      <c r="DP236" s="234"/>
      <c r="DQ236" s="234"/>
      <c r="DR236" s="234"/>
      <c r="DS236" s="234"/>
      <c r="DT236" s="234"/>
    </row>
    <row r="237" spans="1:124" s="231" customFormat="1" x14ac:dyDescent="0.25">
      <c r="H237" s="232"/>
      <c r="K237" s="232"/>
      <c r="N237" s="232"/>
      <c r="W237" s="232"/>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4"/>
      <c r="AZ237" s="234"/>
      <c r="BA237" s="234"/>
      <c r="BB237" s="234"/>
      <c r="BC237" s="234"/>
      <c r="BD237" s="234"/>
      <c r="BE237" s="234"/>
      <c r="BF237" s="234"/>
      <c r="BG237" s="234"/>
      <c r="BH237" s="234"/>
      <c r="BI237" s="429"/>
      <c r="BJ237" s="140" t="s">
        <v>1459</v>
      </c>
      <c r="BK237" s="31"/>
      <c r="BL237" s="31"/>
      <c r="BM237" s="31"/>
      <c r="BN237" s="140" t="s">
        <v>1459</v>
      </c>
      <c r="BO237" s="31"/>
      <c r="BP237" s="430"/>
      <c r="BQ237" s="234"/>
      <c r="BR237" s="234"/>
      <c r="BS237" s="234"/>
      <c r="BT237" s="234"/>
      <c r="BU237" s="234"/>
      <c r="BV237" s="234"/>
      <c r="BW237" s="234"/>
      <c r="BX237" s="234"/>
      <c r="BY237" s="234"/>
      <c r="BZ237" s="234"/>
      <c r="CA237" s="234"/>
      <c r="CB237" s="234"/>
      <c r="CC237" s="234"/>
      <c r="CD237" s="234"/>
      <c r="CE237" s="234"/>
      <c r="CF237" s="234"/>
      <c r="CG237" s="234"/>
      <c r="CH237" s="234"/>
      <c r="CI237" s="234"/>
      <c r="CJ237" s="234"/>
      <c r="CK237" s="234"/>
      <c r="CL237" s="234"/>
      <c r="CM237" s="234"/>
      <c r="CN237" s="234"/>
      <c r="CO237" s="234"/>
      <c r="CP237" s="234"/>
      <c r="CQ237" s="234"/>
      <c r="CR237" s="234"/>
      <c r="CS237" s="234"/>
      <c r="CT237" s="234"/>
      <c r="CU237" s="234"/>
      <c r="CV237" s="234"/>
      <c r="CW237" s="234"/>
      <c r="CX237" s="234"/>
      <c r="CY237" s="234"/>
      <c r="CZ237" s="234"/>
      <c r="DA237" s="234"/>
      <c r="DB237" s="234"/>
      <c r="DC237" s="234"/>
      <c r="DD237" s="234"/>
      <c r="DE237" s="234"/>
      <c r="DF237" s="234"/>
      <c r="DG237" s="234"/>
      <c r="DH237" s="234"/>
      <c r="DI237" s="234"/>
      <c r="DJ237" s="234"/>
      <c r="DK237" s="234"/>
      <c r="DL237" s="234"/>
      <c r="DM237" s="234"/>
      <c r="DN237" s="234"/>
      <c r="DO237" s="234"/>
      <c r="DP237" s="234"/>
      <c r="DQ237" s="234"/>
      <c r="DR237" s="234"/>
      <c r="DS237" s="234"/>
      <c r="DT237" s="234"/>
    </row>
    <row r="238" spans="1:124" s="231" customFormat="1" x14ac:dyDescent="0.25">
      <c r="H238" s="232"/>
      <c r="K238" s="232"/>
      <c r="N238" s="232"/>
      <c r="W238" s="232"/>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4"/>
      <c r="AZ238" s="234"/>
      <c r="BA238" s="234"/>
      <c r="BB238" s="234"/>
      <c r="BC238" s="234"/>
      <c r="BD238" s="234"/>
      <c r="BE238" s="234"/>
      <c r="BF238" s="234"/>
      <c r="BG238" s="234"/>
      <c r="BH238" s="234"/>
      <c r="BI238" s="429"/>
      <c r="BJ238" s="31"/>
      <c r="BK238" s="31"/>
      <c r="BL238" s="31"/>
      <c r="BM238" s="31"/>
      <c r="BN238" s="31"/>
      <c r="BO238" s="31"/>
      <c r="BP238" s="430"/>
      <c r="BQ238" s="234"/>
      <c r="BR238" s="234"/>
      <c r="BS238" s="234"/>
      <c r="BT238" s="234"/>
      <c r="BU238" s="234"/>
      <c r="BV238" s="234"/>
      <c r="BW238" s="234"/>
      <c r="BX238" s="234"/>
      <c r="BY238" s="234"/>
      <c r="BZ238" s="234"/>
      <c r="CA238" s="234"/>
      <c r="CB238" s="234"/>
      <c r="CC238" s="234"/>
      <c r="CD238" s="234"/>
      <c r="CE238" s="234"/>
      <c r="CF238" s="234"/>
      <c r="CG238" s="234"/>
      <c r="CH238" s="234"/>
      <c r="CI238" s="234"/>
      <c r="CJ238" s="234"/>
      <c r="CK238" s="234"/>
      <c r="CL238" s="234"/>
      <c r="CM238" s="234"/>
      <c r="CN238" s="234"/>
      <c r="CO238" s="234"/>
      <c r="CP238" s="234"/>
      <c r="CQ238" s="234"/>
      <c r="CR238" s="234"/>
      <c r="CS238" s="234"/>
      <c r="CT238" s="234"/>
      <c r="CU238" s="234"/>
      <c r="CV238" s="234"/>
      <c r="CW238" s="234"/>
      <c r="CX238" s="234"/>
      <c r="CY238" s="234"/>
      <c r="CZ238" s="234"/>
      <c r="DA238" s="234"/>
      <c r="DB238" s="234"/>
      <c r="DC238" s="234"/>
      <c r="DD238" s="234"/>
      <c r="DE238" s="234"/>
      <c r="DF238" s="234"/>
      <c r="DG238" s="234"/>
      <c r="DH238" s="234"/>
      <c r="DI238" s="234"/>
      <c r="DJ238" s="234"/>
      <c r="DK238" s="234"/>
      <c r="DL238" s="234"/>
      <c r="DM238" s="234"/>
      <c r="DN238" s="234"/>
      <c r="DO238" s="234"/>
      <c r="DP238" s="234"/>
      <c r="DQ238" s="234"/>
      <c r="DR238" s="234"/>
      <c r="DS238" s="234"/>
      <c r="DT238" s="234"/>
    </row>
    <row r="239" spans="1:124" s="231" customFormat="1" x14ac:dyDescent="0.25">
      <c r="H239" s="232"/>
      <c r="K239" s="232"/>
      <c r="N239" s="232"/>
      <c r="W239" s="232"/>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4"/>
      <c r="AZ239" s="234"/>
      <c r="BA239" s="234"/>
      <c r="BB239" s="234"/>
      <c r="BC239" s="234"/>
      <c r="BD239" s="234"/>
      <c r="BE239" s="234"/>
      <c r="BF239" s="234"/>
      <c r="BG239" s="234"/>
      <c r="BH239" s="234"/>
      <c r="BI239" s="429"/>
      <c r="BJ239" s="148" t="s">
        <v>21</v>
      </c>
      <c r="BK239" s="422" t="e">
        <f ca="1">BK241+BK242+BK243+BK244</f>
        <v>#DIV/0!</v>
      </c>
      <c r="BL239" s="31"/>
      <c r="BM239" s="31"/>
      <c r="BN239" s="148" t="s">
        <v>21</v>
      </c>
      <c r="BO239" s="422" t="e">
        <f ca="1">BO241+BO242+BO243+BO244</f>
        <v>#DIV/0!</v>
      </c>
      <c r="BP239" s="430"/>
      <c r="BQ239" s="234"/>
      <c r="BR239" s="234"/>
      <c r="BS239" s="234"/>
      <c r="BT239" s="234"/>
      <c r="BU239" s="234"/>
      <c r="BV239" s="234"/>
      <c r="BW239" s="234"/>
      <c r="BX239" s="234"/>
      <c r="BY239" s="234"/>
      <c r="BZ239" s="234"/>
      <c r="CA239" s="234"/>
      <c r="CB239" s="234"/>
      <c r="CC239" s="234"/>
      <c r="CD239" s="234"/>
      <c r="CE239" s="234"/>
      <c r="CF239" s="234"/>
      <c r="CG239" s="234"/>
      <c r="CH239" s="234"/>
      <c r="CI239" s="234"/>
      <c r="CJ239" s="234"/>
      <c r="CK239" s="234"/>
      <c r="CL239" s="234"/>
      <c r="CM239" s="234"/>
      <c r="CN239" s="234"/>
      <c r="CO239" s="234"/>
      <c r="CP239" s="234"/>
      <c r="CQ239" s="234"/>
      <c r="CR239" s="234"/>
      <c r="CS239" s="234"/>
      <c r="CT239" s="234"/>
      <c r="CU239" s="234"/>
      <c r="CV239" s="234"/>
      <c r="CW239" s="234"/>
      <c r="CX239" s="234"/>
      <c r="CY239" s="234"/>
      <c r="CZ239" s="234"/>
      <c r="DA239" s="234"/>
      <c r="DB239" s="234"/>
      <c r="DC239" s="234"/>
      <c r="DD239" s="234"/>
      <c r="DE239" s="234"/>
      <c r="DF239" s="234"/>
      <c r="DG239" s="234"/>
      <c r="DH239" s="234"/>
      <c r="DI239" s="234"/>
      <c r="DJ239" s="234"/>
      <c r="DK239" s="234"/>
      <c r="DL239" s="234"/>
      <c r="DM239" s="234"/>
      <c r="DN239" s="234"/>
      <c r="DO239" s="234"/>
      <c r="DP239" s="234"/>
      <c r="DQ239" s="234"/>
      <c r="DR239" s="234"/>
      <c r="DS239" s="234"/>
      <c r="DT239" s="234"/>
    </row>
    <row r="240" spans="1:124" s="231" customFormat="1" x14ac:dyDescent="0.25">
      <c r="H240" s="232"/>
      <c r="K240" s="232"/>
      <c r="N240" s="232"/>
      <c r="W240" s="232"/>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4"/>
      <c r="AZ240" s="234"/>
      <c r="BA240" s="234"/>
      <c r="BB240" s="234"/>
      <c r="BC240" s="234"/>
      <c r="BD240" s="234"/>
      <c r="BE240" s="234"/>
      <c r="BF240" s="234"/>
      <c r="BG240" s="234"/>
      <c r="BH240" s="234"/>
      <c r="BI240" s="429"/>
      <c r="BJ240" s="154" t="s">
        <v>29</v>
      </c>
      <c r="BK240" s="156"/>
      <c r="BL240" s="31"/>
      <c r="BM240" s="31"/>
      <c r="BN240" s="154" t="s">
        <v>29</v>
      </c>
      <c r="BO240" s="156"/>
      <c r="BP240" s="430"/>
      <c r="BQ240" s="234"/>
      <c r="BR240" s="234"/>
      <c r="BS240" s="234"/>
      <c r="BT240" s="234"/>
      <c r="BU240" s="234"/>
      <c r="BV240" s="234"/>
      <c r="BW240" s="234"/>
      <c r="BX240" s="234"/>
      <c r="BY240" s="234"/>
      <c r="BZ240" s="234"/>
      <c r="CA240" s="234"/>
      <c r="CB240" s="234"/>
      <c r="CC240" s="234"/>
      <c r="CD240" s="234"/>
      <c r="CE240" s="234"/>
      <c r="CF240" s="234"/>
      <c r="CG240" s="234"/>
      <c r="CH240" s="234"/>
      <c r="CI240" s="234"/>
      <c r="CJ240" s="234"/>
      <c r="CK240" s="234"/>
      <c r="CL240" s="234"/>
      <c r="CM240" s="234"/>
      <c r="CN240" s="234"/>
      <c r="CO240" s="234"/>
      <c r="CP240" s="234"/>
      <c r="CQ240" s="234"/>
      <c r="CR240" s="234"/>
      <c r="CS240" s="234"/>
      <c r="CT240" s="234"/>
      <c r="CU240" s="234"/>
      <c r="CV240" s="234"/>
      <c r="CW240" s="234"/>
      <c r="CX240" s="234"/>
      <c r="CY240" s="234"/>
      <c r="CZ240" s="234"/>
      <c r="DA240" s="234"/>
      <c r="DB240" s="234"/>
      <c r="DC240" s="234"/>
      <c r="DD240" s="234"/>
      <c r="DE240" s="234"/>
      <c r="DF240" s="234"/>
      <c r="DG240" s="234"/>
      <c r="DH240" s="234"/>
      <c r="DI240" s="234"/>
      <c r="DJ240" s="234"/>
      <c r="DK240" s="234"/>
      <c r="DL240" s="234"/>
      <c r="DM240" s="234"/>
      <c r="DN240" s="234"/>
      <c r="DO240" s="234"/>
      <c r="DP240" s="234"/>
      <c r="DQ240" s="234"/>
      <c r="DR240" s="234"/>
      <c r="DS240" s="234"/>
      <c r="DT240" s="234"/>
    </row>
    <row r="241" spans="8:124" s="231" customFormat="1" x14ac:dyDescent="0.25">
      <c r="H241" s="232"/>
      <c r="K241" s="232"/>
      <c r="N241" s="232"/>
      <c r="W241" s="232"/>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4"/>
      <c r="AZ241" s="234"/>
      <c r="BA241" s="234"/>
      <c r="BB241" s="234"/>
      <c r="BC241" s="234"/>
      <c r="BD241" s="234"/>
      <c r="BE241" s="234"/>
      <c r="BF241" s="234"/>
      <c r="BG241" s="234"/>
      <c r="BH241" s="234"/>
      <c r="BI241" s="429"/>
      <c r="BJ241" s="51" t="s">
        <v>22</v>
      </c>
      <c r="BK241" s="150" t="e">
        <f ca="1">$DI$47</f>
        <v>#DIV/0!</v>
      </c>
      <c r="BL241" s="31"/>
      <c r="BM241" s="31"/>
      <c r="BN241" s="51" t="s">
        <v>22</v>
      </c>
      <c r="BO241" s="150" t="e">
        <f ca="1">$DR$47</f>
        <v>#DIV/0!</v>
      </c>
      <c r="BP241" s="430"/>
      <c r="BQ241" s="234"/>
      <c r="BR241" s="234"/>
      <c r="BS241" s="234"/>
      <c r="BT241" s="234"/>
      <c r="BU241" s="234"/>
      <c r="BV241" s="234"/>
      <c r="BW241" s="234"/>
      <c r="BX241" s="234"/>
      <c r="BY241" s="234"/>
      <c r="BZ241" s="234"/>
      <c r="CA241" s="234"/>
      <c r="CB241" s="234"/>
      <c r="CC241" s="234"/>
      <c r="CD241" s="234"/>
      <c r="CE241" s="234"/>
      <c r="CF241" s="234"/>
      <c r="CG241" s="234"/>
      <c r="CH241" s="234"/>
      <c r="CI241" s="234"/>
      <c r="CJ241" s="234"/>
      <c r="CK241" s="234"/>
      <c r="CL241" s="234"/>
      <c r="CM241" s="234"/>
      <c r="CN241" s="234"/>
      <c r="CO241" s="234"/>
      <c r="CP241" s="234"/>
      <c r="CQ241" s="234"/>
      <c r="CR241" s="234"/>
      <c r="CS241" s="234"/>
      <c r="CT241" s="234"/>
      <c r="CU241" s="234"/>
      <c r="CV241" s="234"/>
      <c r="CW241" s="234"/>
      <c r="CX241" s="234"/>
      <c r="CY241" s="234"/>
      <c r="CZ241" s="234"/>
      <c r="DA241" s="234"/>
      <c r="DB241" s="234"/>
      <c r="DC241" s="234"/>
      <c r="DD241" s="234"/>
      <c r="DE241" s="234"/>
      <c r="DF241" s="234"/>
      <c r="DG241" s="234"/>
      <c r="DH241" s="234"/>
      <c r="DI241" s="234"/>
      <c r="DJ241" s="234"/>
      <c r="DK241" s="234"/>
      <c r="DL241" s="234"/>
      <c r="DM241" s="234"/>
      <c r="DN241" s="234"/>
      <c r="DO241" s="234"/>
      <c r="DP241" s="234"/>
      <c r="DQ241" s="234"/>
      <c r="DR241" s="234"/>
      <c r="DS241" s="234"/>
      <c r="DT241" s="234"/>
    </row>
    <row r="242" spans="8:124" s="231" customFormat="1" ht="15.75" x14ac:dyDescent="0.25">
      <c r="H242" s="232"/>
      <c r="K242" s="232"/>
      <c r="N242" s="232"/>
      <c r="W242" s="232"/>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4"/>
      <c r="AZ242" s="234"/>
      <c r="BA242" s="234"/>
      <c r="BB242" s="234"/>
      <c r="BC242" s="234"/>
      <c r="BD242" s="234"/>
      <c r="BE242" s="234"/>
      <c r="BF242" s="234"/>
      <c r="BG242" s="234"/>
      <c r="BH242" s="234"/>
      <c r="BI242" s="429"/>
      <c r="BJ242" s="160" t="s">
        <v>23</v>
      </c>
      <c r="BK242" s="150" t="e">
        <f>$BG$65</f>
        <v>#DIV/0!</v>
      </c>
      <c r="BL242" s="31"/>
      <c r="BM242" s="31"/>
      <c r="BN242" s="160" t="s">
        <v>23</v>
      </c>
      <c r="BO242" s="150" t="e">
        <f>$BP$65</f>
        <v>#DIV/0!</v>
      </c>
      <c r="BP242" s="430"/>
      <c r="BQ242" s="234"/>
      <c r="BR242" s="234"/>
      <c r="BS242" s="234"/>
      <c r="BT242" s="234"/>
      <c r="BU242" s="234"/>
      <c r="BV242" s="234"/>
      <c r="BW242" s="234"/>
      <c r="BX242" s="234"/>
      <c r="BY242" s="234"/>
      <c r="BZ242" s="234"/>
      <c r="CA242" s="234"/>
      <c r="CB242" s="234"/>
      <c r="CC242" s="234"/>
      <c r="CD242" s="234"/>
      <c r="CE242" s="234"/>
      <c r="CF242" s="234"/>
      <c r="CG242" s="234"/>
      <c r="CH242" s="234"/>
      <c r="CI242" s="234"/>
      <c r="CJ242" s="234"/>
      <c r="CK242" s="234"/>
      <c r="CL242" s="234"/>
      <c r="CM242" s="234"/>
      <c r="CN242" s="234"/>
      <c r="CO242" s="234"/>
      <c r="CP242" s="234"/>
      <c r="CQ242" s="234"/>
      <c r="CR242" s="234"/>
      <c r="CS242" s="234"/>
      <c r="CT242" s="234"/>
      <c r="CU242" s="234"/>
      <c r="CV242" s="234"/>
      <c r="CW242" s="234"/>
      <c r="CX242" s="234"/>
      <c r="CY242" s="234"/>
      <c r="CZ242" s="234"/>
      <c r="DA242" s="234"/>
      <c r="DB242" s="234"/>
      <c r="DC242" s="234"/>
      <c r="DD242" s="234"/>
      <c r="DE242" s="234"/>
      <c r="DF242" s="234"/>
      <c r="DG242" s="234"/>
      <c r="DH242" s="234"/>
      <c r="DI242" s="234"/>
      <c r="DJ242" s="234"/>
      <c r="DK242" s="234"/>
      <c r="DL242" s="234"/>
      <c r="DM242" s="234"/>
      <c r="DN242" s="234"/>
      <c r="DO242" s="234"/>
      <c r="DP242" s="234"/>
      <c r="DQ242" s="234"/>
      <c r="DR242" s="234"/>
      <c r="DS242" s="234"/>
      <c r="DT242" s="234"/>
    </row>
    <row r="243" spans="8:124" s="231" customFormat="1" ht="15.75" x14ac:dyDescent="0.25">
      <c r="H243" s="232"/>
      <c r="K243" s="232"/>
      <c r="N243" s="232"/>
      <c r="W243" s="232"/>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4"/>
      <c r="AZ243" s="234"/>
      <c r="BA243" s="234"/>
      <c r="BB243" s="234"/>
      <c r="BC243" s="234"/>
      <c r="BD243" s="234"/>
      <c r="BE243" s="234"/>
      <c r="BF243" s="234"/>
      <c r="BG243" s="234"/>
      <c r="BH243" s="234"/>
      <c r="BI243" s="429"/>
      <c r="BJ243" s="160" t="s">
        <v>24</v>
      </c>
      <c r="BK243" s="150" t="e">
        <f>$BD$99</f>
        <v>#DIV/0!</v>
      </c>
      <c r="BL243" s="31"/>
      <c r="BM243" s="31"/>
      <c r="BN243" s="160" t="s">
        <v>24</v>
      </c>
      <c r="BO243" s="150" t="e">
        <f>$BN$99</f>
        <v>#DIV/0!</v>
      </c>
      <c r="BP243" s="430"/>
      <c r="BQ243" s="234"/>
      <c r="BR243" s="234"/>
      <c r="BS243" s="234"/>
      <c r="BT243" s="234"/>
      <c r="BU243" s="234"/>
      <c r="BV243" s="234"/>
      <c r="BW243" s="234"/>
      <c r="BX243" s="234"/>
      <c r="BY243" s="234"/>
      <c r="BZ243" s="234"/>
      <c r="CA243" s="234"/>
      <c r="CB243" s="234"/>
      <c r="CC243" s="234"/>
      <c r="CD243" s="234"/>
      <c r="CE243" s="234"/>
      <c r="CF243" s="234"/>
      <c r="CG243" s="234"/>
      <c r="CH243" s="234"/>
      <c r="CI243" s="234"/>
      <c r="CJ243" s="234"/>
      <c r="CK243" s="234"/>
      <c r="CL243" s="234"/>
      <c r="CM243" s="234"/>
      <c r="CN243" s="234"/>
      <c r="CO243" s="234"/>
      <c r="CP243" s="234"/>
      <c r="CQ243" s="234"/>
      <c r="CR243" s="234"/>
      <c r="CS243" s="234"/>
      <c r="CT243" s="234"/>
      <c r="CU243" s="234"/>
      <c r="CV243" s="234"/>
      <c r="CW243" s="234"/>
      <c r="CX243" s="234"/>
      <c r="CY243" s="234"/>
      <c r="CZ243" s="234"/>
      <c r="DA243" s="234"/>
      <c r="DB243" s="234"/>
      <c r="DC243" s="234"/>
      <c r="DD243" s="234"/>
      <c r="DE243" s="234"/>
      <c r="DF243" s="234"/>
      <c r="DG243" s="234"/>
      <c r="DH243" s="234"/>
      <c r="DI243" s="234"/>
      <c r="DJ243" s="234"/>
      <c r="DK243" s="234"/>
      <c r="DL243" s="234"/>
      <c r="DM243" s="234"/>
      <c r="DN243" s="234"/>
      <c r="DO243" s="234"/>
      <c r="DP243" s="234"/>
      <c r="DQ243" s="234"/>
      <c r="DR243" s="234"/>
      <c r="DS243" s="234"/>
      <c r="DT243" s="234"/>
    </row>
    <row r="244" spans="8:124" s="231" customFormat="1" ht="15.75" x14ac:dyDescent="0.25">
      <c r="H244" s="232"/>
      <c r="K244" s="232"/>
      <c r="N244" s="232"/>
      <c r="W244" s="232"/>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4"/>
      <c r="AZ244" s="234"/>
      <c r="BA244" s="234"/>
      <c r="BB244" s="234"/>
      <c r="BC244" s="234"/>
      <c r="BD244" s="234"/>
      <c r="BE244" s="234"/>
      <c r="BF244" s="234"/>
      <c r="BG244" s="234"/>
      <c r="BH244" s="234"/>
      <c r="BI244" s="429"/>
      <c r="BJ244" s="160" t="s">
        <v>18</v>
      </c>
      <c r="BK244" s="150" t="e">
        <f>$BE$128</f>
        <v>#DIV/0!</v>
      </c>
      <c r="BL244" s="31"/>
      <c r="BM244" s="31"/>
      <c r="BN244" s="160" t="s">
        <v>18</v>
      </c>
      <c r="BO244" s="150" t="e">
        <f>BO128</f>
        <v>#DIV/0!</v>
      </c>
      <c r="BP244" s="430"/>
      <c r="BQ244" s="234"/>
      <c r="BR244" s="234"/>
      <c r="BS244" s="234"/>
      <c r="BT244" s="234"/>
      <c r="BU244" s="234"/>
      <c r="BV244" s="234"/>
      <c r="BW244" s="234"/>
      <c r="BX244" s="234"/>
      <c r="BY244" s="234"/>
      <c r="BZ244" s="234"/>
      <c r="CA244" s="234"/>
      <c r="CB244" s="234"/>
      <c r="CC244" s="234"/>
      <c r="CD244" s="234"/>
      <c r="CE244" s="234"/>
      <c r="CF244" s="234"/>
      <c r="CG244" s="234"/>
      <c r="CH244" s="234"/>
      <c r="CI244" s="234"/>
      <c r="CJ244" s="234"/>
      <c r="CK244" s="234"/>
      <c r="CL244" s="234"/>
      <c r="CM244" s="234"/>
      <c r="CN244" s="234"/>
      <c r="CO244" s="234"/>
      <c r="CP244" s="234"/>
      <c r="CQ244" s="234"/>
      <c r="CR244" s="234"/>
      <c r="CS244" s="234"/>
      <c r="CT244" s="234"/>
      <c r="CU244" s="234"/>
      <c r="CV244" s="234"/>
      <c r="CW244" s="234"/>
      <c r="CX244" s="234"/>
      <c r="CY244" s="234"/>
      <c r="CZ244" s="234"/>
      <c r="DA244" s="234"/>
      <c r="DB244" s="234"/>
      <c r="DC244" s="234"/>
      <c r="DD244" s="234"/>
      <c r="DE244" s="234"/>
      <c r="DF244" s="234"/>
      <c r="DG244" s="234"/>
      <c r="DH244" s="234"/>
      <c r="DI244" s="234"/>
      <c r="DJ244" s="234"/>
      <c r="DK244" s="234"/>
      <c r="DL244" s="234"/>
      <c r="DM244" s="234"/>
      <c r="DN244" s="234"/>
      <c r="DO244" s="234"/>
      <c r="DP244" s="234"/>
      <c r="DQ244" s="234"/>
      <c r="DR244" s="234"/>
      <c r="DS244" s="234"/>
      <c r="DT244" s="234"/>
    </row>
    <row r="245" spans="8:124" s="231" customFormat="1" x14ac:dyDescent="0.25">
      <c r="H245" s="232"/>
      <c r="K245" s="232"/>
      <c r="N245" s="232"/>
      <c r="W245" s="232"/>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4"/>
      <c r="AZ245" s="234"/>
      <c r="BA245" s="234"/>
      <c r="BB245" s="234"/>
      <c r="BC245" s="234"/>
      <c r="BD245" s="234"/>
      <c r="BE245" s="234"/>
      <c r="BF245" s="234"/>
      <c r="BG245" s="234"/>
      <c r="BH245" s="234"/>
      <c r="BI245" s="429"/>
      <c r="BJ245" s="31"/>
      <c r="BK245" s="31"/>
      <c r="BL245" s="31"/>
      <c r="BM245" s="31"/>
      <c r="BN245" s="31"/>
      <c r="BO245" s="31"/>
      <c r="BP245" s="430"/>
      <c r="BQ245" s="234"/>
      <c r="BR245" s="234"/>
      <c r="BS245" s="234"/>
      <c r="BT245" s="234"/>
      <c r="BU245" s="234"/>
      <c r="BV245" s="234"/>
      <c r="BW245" s="234"/>
      <c r="BX245" s="234"/>
      <c r="BY245" s="234"/>
      <c r="BZ245" s="234"/>
      <c r="CA245" s="234"/>
      <c r="CB245" s="234"/>
      <c r="CC245" s="234"/>
      <c r="CD245" s="234"/>
      <c r="CE245" s="234"/>
      <c r="CF245" s="234"/>
      <c r="CG245" s="234"/>
      <c r="CH245" s="234"/>
      <c r="CI245" s="234"/>
      <c r="CJ245" s="234"/>
      <c r="CK245" s="234"/>
      <c r="CL245" s="234"/>
      <c r="CM245" s="234"/>
      <c r="CN245" s="234"/>
      <c r="CO245" s="234"/>
      <c r="CP245" s="234"/>
      <c r="CQ245" s="234"/>
      <c r="CR245" s="234"/>
      <c r="CS245" s="234"/>
      <c r="CT245" s="234"/>
      <c r="CU245" s="234"/>
      <c r="CV245" s="234"/>
      <c r="CW245" s="234"/>
      <c r="CX245" s="234"/>
      <c r="CY245" s="234"/>
      <c r="CZ245" s="234"/>
      <c r="DA245" s="234"/>
      <c r="DB245" s="234"/>
      <c r="DC245" s="234"/>
      <c r="DD245" s="234"/>
      <c r="DE245" s="234"/>
      <c r="DF245" s="234"/>
      <c r="DG245" s="234"/>
      <c r="DH245" s="234"/>
      <c r="DI245" s="234"/>
      <c r="DJ245" s="234"/>
      <c r="DK245" s="234"/>
      <c r="DL245" s="234"/>
      <c r="DM245" s="234"/>
      <c r="DN245" s="234"/>
      <c r="DO245" s="234"/>
      <c r="DP245" s="234"/>
      <c r="DQ245" s="234"/>
      <c r="DR245" s="234"/>
      <c r="DS245" s="234"/>
      <c r="DT245" s="234"/>
    </row>
    <row r="246" spans="8:124" s="231" customFormat="1" x14ac:dyDescent="0.25">
      <c r="H246" s="232"/>
      <c r="K246" s="232"/>
      <c r="N246" s="232"/>
      <c r="W246" s="232"/>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4"/>
      <c r="AZ246" s="234"/>
      <c r="BA246" s="234"/>
      <c r="BB246" s="234"/>
      <c r="BC246" s="234"/>
      <c r="BD246" s="234"/>
      <c r="BE246" s="234"/>
      <c r="BF246" s="234"/>
      <c r="BG246" s="234"/>
      <c r="BH246" s="234"/>
      <c r="BI246" s="429"/>
      <c r="BJ246" s="31"/>
      <c r="BK246" s="31"/>
      <c r="BL246" s="31"/>
      <c r="BM246" s="31"/>
      <c r="BN246" s="31"/>
      <c r="BO246" s="31"/>
      <c r="BP246" s="430"/>
      <c r="BQ246" s="234"/>
      <c r="BR246" s="234"/>
      <c r="BS246" s="234"/>
      <c r="BT246" s="234"/>
      <c r="BU246" s="234"/>
      <c r="BV246" s="234"/>
      <c r="BW246" s="234"/>
      <c r="BX246" s="234"/>
      <c r="BY246" s="234"/>
      <c r="BZ246" s="234"/>
      <c r="CA246" s="234"/>
      <c r="CB246" s="234"/>
      <c r="CC246" s="234"/>
      <c r="CD246" s="234"/>
      <c r="CE246" s="234"/>
      <c r="CF246" s="234"/>
      <c r="CG246" s="234"/>
      <c r="CH246" s="234"/>
      <c r="CI246" s="234"/>
      <c r="CJ246" s="234"/>
      <c r="CK246" s="234"/>
      <c r="CL246" s="234"/>
      <c r="CM246" s="234"/>
      <c r="CN246" s="234"/>
      <c r="CO246" s="234"/>
      <c r="CP246" s="234"/>
      <c r="CQ246" s="234"/>
      <c r="CR246" s="234"/>
      <c r="CS246" s="234"/>
      <c r="CT246" s="234"/>
      <c r="CU246" s="234"/>
      <c r="CV246" s="234"/>
      <c r="CW246" s="234"/>
      <c r="CX246" s="234"/>
      <c r="CY246" s="234"/>
      <c r="CZ246" s="234"/>
      <c r="DA246" s="234"/>
      <c r="DB246" s="234"/>
      <c r="DC246" s="234"/>
      <c r="DD246" s="234"/>
      <c r="DE246" s="234"/>
      <c r="DF246" s="234"/>
      <c r="DG246" s="234"/>
      <c r="DH246" s="234"/>
      <c r="DI246" s="234"/>
      <c r="DJ246" s="234"/>
      <c r="DK246" s="234"/>
      <c r="DL246" s="234"/>
      <c r="DM246" s="234"/>
      <c r="DN246" s="234"/>
      <c r="DO246" s="234"/>
      <c r="DP246" s="234"/>
      <c r="DQ246" s="234"/>
      <c r="DR246" s="234"/>
      <c r="DS246" s="234"/>
      <c r="DT246" s="234"/>
    </row>
    <row r="247" spans="8:124" s="231" customFormat="1" x14ac:dyDescent="0.25">
      <c r="H247" s="232"/>
      <c r="K247" s="232"/>
      <c r="N247" s="232"/>
      <c r="W247" s="232"/>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4"/>
      <c r="AZ247" s="234"/>
      <c r="BA247" s="234"/>
      <c r="BB247" s="234"/>
      <c r="BC247" s="234"/>
      <c r="BD247" s="234"/>
      <c r="BE247" s="234"/>
      <c r="BF247" s="234"/>
      <c r="BG247" s="234"/>
      <c r="BH247" s="234"/>
      <c r="BI247" s="429"/>
      <c r="BJ247" s="431" t="s">
        <v>1392</v>
      </c>
      <c r="BK247" s="31"/>
      <c r="BL247" s="31"/>
      <c r="BM247" s="31"/>
      <c r="BN247" s="431" t="s">
        <v>1393</v>
      </c>
      <c r="BO247" s="31"/>
      <c r="BP247" s="430"/>
      <c r="BQ247" s="234"/>
      <c r="BR247" s="234"/>
      <c r="BS247" s="234"/>
      <c r="BT247" s="234"/>
      <c r="BU247" s="234"/>
      <c r="BV247" s="234"/>
      <c r="BW247" s="234"/>
      <c r="BX247" s="234"/>
      <c r="BY247" s="234"/>
      <c r="BZ247" s="234"/>
      <c r="CA247" s="234"/>
      <c r="CB247" s="234"/>
      <c r="CC247" s="234"/>
      <c r="CD247" s="234"/>
      <c r="CE247" s="234"/>
      <c r="CF247" s="234"/>
      <c r="CG247" s="234"/>
      <c r="CH247" s="234"/>
      <c r="CI247" s="234"/>
      <c r="CJ247" s="234"/>
      <c r="CK247" s="234"/>
      <c r="CL247" s="234"/>
      <c r="CM247" s="234"/>
      <c r="CN247" s="234"/>
      <c r="CO247" s="234"/>
      <c r="CP247" s="234"/>
      <c r="CQ247" s="234"/>
      <c r="CR247" s="234"/>
      <c r="CS247" s="234"/>
      <c r="CT247" s="234"/>
      <c r="CU247" s="234"/>
      <c r="CV247" s="234"/>
      <c r="CW247" s="234"/>
      <c r="CX247" s="234"/>
      <c r="CY247" s="234"/>
      <c r="CZ247" s="234"/>
      <c r="DA247" s="234"/>
      <c r="DB247" s="234"/>
      <c r="DC247" s="234"/>
      <c r="DD247" s="234"/>
      <c r="DE247" s="234"/>
      <c r="DF247" s="234"/>
      <c r="DG247" s="234"/>
      <c r="DH247" s="234"/>
      <c r="DI247" s="234"/>
      <c r="DJ247" s="234"/>
      <c r="DK247" s="234"/>
      <c r="DL247" s="234"/>
      <c r="DM247" s="234"/>
      <c r="DN247" s="234"/>
      <c r="DO247" s="234"/>
      <c r="DP247" s="234"/>
      <c r="DQ247" s="234"/>
      <c r="DR247" s="234"/>
      <c r="DS247" s="234"/>
      <c r="DT247" s="234"/>
    </row>
    <row r="248" spans="8:124" s="231" customFormat="1" x14ac:dyDescent="0.25">
      <c r="H248" s="232"/>
      <c r="K248" s="232"/>
      <c r="N248" s="232"/>
      <c r="W248" s="232"/>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4"/>
      <c r="AZ248" s="234"/>
      <c r="BA248" s="234"/>
      <c r="BB248" s="234"/>
      <c r="BC248" s="234"/>
      <c r="BD248" s="234"/>
      <c r="BE248" s="234"/>
      <c r="BF248" s="234"/>
      <c r="BG248" s="234"/>
      <c r="BH248" s="234"/>
      <c r="BI248" s="429"/>
      <c r="BJ248" s="140" t="s">
        <v>1460</v>
      </c>
      <c r="BK248" s="31"/>
      <c r="BL248" s="31"/>
      <c r="BM248" s="31"/>
      <c r="BN248" s="140" t="s">
        <v>1460</v>
      </c>
      <c r="BO248" s="31"/>
      <c r="BP248" s="430"/>
      <c r="BQ248" s="234"/>
      <c r="BR248" s="234"/>
      <c r="BS248" s="234"/>
      <c r="BT248" s="234"/>
      <c r="BU248" s="234"/>
      <c r="BV248" s="234"/>
      <c r="BW248" s="234"/>
      <c r="BX248" s="234"/>
      <c r="BY248" s="234"/>
      <c r="BZ248" s="234"/>
      <c r="CA248" s="234"/>
      <c r="CB248" s="234"/>
      <c r="CC248" s="234"/>
      <c r="CD248" s="234"/>
      <c r="CE248" s="234"/>
      <c r="CF248" s="234"/>
      <c r="CG248" s="234"/>
      <c r="CH248" s="234"/>
      <c r="CI248" s="234"/>
      <c r="CJ248" s="234"/>
      <c r="CK248" s="234"/>
      <c r="CL248" s="234"/>
      <c r="CM248" s="234"/>
      <c r="CN248" s="234"/>
      <c r="CO248" s="234"/>
      <c r="CP248" s="234"/>
      <c r="CQ248" s="234"/>
      <c r="CR248" s="234"/>
      <c r="CS248" s="234"/>
      <c r="CT248" s="234"/>
      <c r="CU248" s="234"/>
      <c r="CV248" s="234"/>
      <c r="CW248" s="234"/>
      <c r="CX248" s="234"/>
      <c r="CY248" s="234"/>
      <c r="CZ248" s="234"/>
      <c r="DA248" s="234"/>
      <c r="DB248" s="234"/>
      <c r="DC248" s="234"/>
      <c r="DD248" s="234"/>
      <c r="DE248" s="234"/>
      <c r="DF248" s="234"/>
      <c r="DG248" s="234"/>
      <c r="DH248" s="234"/>
      <c r="DI248" s="234"/>
      <c r="DJ248" s="234"/>
      <c r="DK248" s="234"/>
      <c r="DL248" s="234"/>
      <c r="DM248" s="234"/>
      <c r="DN248" s="234"/>
      <c r="DO248" s="234"/>
      <c r="DP248" s="234"/>
      <c r="DQ248" s="234"/>
      <c r="DR248" s="234"/>
      <c r="DS248" s="234"/>
      <c r="DT248" s="234"/>
    </row>
    <row r="249" spans="8:124" s="231" customFormat="1" x14ac:dyDescent="0.25">
      <c r="H249" s="232"/>
      <c r="K249" s="232"/>
      <c r="N249" s="232"/>
      <c r="W249" s="232"/>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4"/>
      <c r="AZ249" s="234"/>
      <c r="BA249" s="234"/>
      <c r="BB249" s="234"/>
      <c r="BC249" s="234"/>
      <c r="BD249" s="234"/>
      <c r="BE249" s="234"/>
      <c r="BF249" s="234"/>
      <c r="BG249" s="234"/>
      <c r="BH249" s="234"/>
      <c r="BI249" s="429"/>
      <c r="BJ249" s="142"/>
      <c r="BK249" s="142"/>
      <c r="BL249" s="31"/>
      <c r="BM249" s="31"/>
      <c r="BN249" s="142"/>
      <c r="BO249" s="142"/>
      <c r="BP249" s="430"/>
      <c r="BQ249" s="234"/>
      <c r="BR249" s="234"/>
      <c r="BS249" s="234"/>
      <c r="BT249" s="234"/>
      <c r="BU249" s="234"/>
      <c r="BV249" s="234"/>
      <c r="BW249" s="234"/>
      <c r="BX249" s="234"/>
      <c r="BY249" s="234"/>
      <c r="BZ249" s="234"/>
      <c r="CA249" s="234"/>
      <c r="CB249" s="234"/>
      <c r="CC249" s="234"/>
      <c r="CD249" s="234"/>
      <c r="CE249" s="234"/>
      <c r="CF249" s="234"/>
      <c r="CG249" s="234"/>
      <c r="CH249" s="234"/>
      <c r="CI249" s="234"/>
      <c r="CJ249" s="234"/>
      <c r="CK249" s="234"/>
      <c r="CL249" s="234"/>
      <c r="CM249" s="234"/>
      <c r="CN249" s="234"/>
      <c r="CO249" s="234"/>
      <c r="CP249" s="234"/>
      <c r="CQ249" s="234"/>
      <c r="CR249" s="234"/>
      <c r="CS249" s="234"/>
      <c r="CT249" s="234"/>
      <c r="CU249" s="234"/>
      <c r="CV249" s="234"/>
      <c r="CW249" s="234"/>
      <c r="CX249" s="234"/>
      <c r="CY249" s="234"/>
      <c r="CZ249" s="234"/>
      <c r="DA249" s="234"/>
      <c r="DB249" s="234"/>
      <c r="DC249" s="234"/>
      <c r="DD249" s="234"/>
      <c r="DE249" s="234"/>
      <c r="DF249" s="234"/>
      <c r="DG249" s="234"/>
      <c r="DH249" s="234"/>
      <c r="DI249" s="234"/>
      <c r="DJ249" s="234"/>
      <c r="DK249" s="234"/>
      <c r="DL249" s="234"/>
      <c r="DM249" s="234"/>
      <c r="DN249" s="234"/>
      <c r="DO249" s="234"/>
      <c r="DP249" s="234"/>
      <c r="DQ249" s="234"/>
      <c r="DR249" s="234"/>
      <c r="DS249" s="234"/>
      <c r="DT249" s="234"/>
    </row>
    <row r="250" spans="8:124" s="231" customFormat="1" x14ac:dyDescent="0.25">
      <c r="H250" s="232"/>
      <c r="K250" s="232"/>
      <c r="N250" s="232"/>
      <c r="W250" s="232"/>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4"/>
      <c r="AZ250" s="234"/>
      <c r="BA250" s="234"/>
      <c r="BB250" s="234"/>
      <c r="BC250" s="234"/>
      <c r="BD250" s="234"/>
      <c r="BE250" s="234"/>
      <c r="BF250" s="234"/>
      <c r="BG250" s="234"/>
      <c r="BH250" s="234"/>
      <c r="BI250" s="429"/>
      <c r="BJ250" s="148" t="s">
        <v>21</v>
      </c>
      <c r="BK250" s="422" t="e">
        <f ca="1">BK252+BK253+BK254+BK255</f>
        <v>#DIV/0!</v>
      </c>
      <c r="BL250" s="31"/>
      <c r="BM250" s="31"/>
      <c r="BN250" s="148" t="s">
        <v>21</v>
      </c>
      <c r="BO250" s="422" t="e">
        <f ca="1">BO252+BO253+BO254+BO255</f>
        <v>#DIV/0!</v>
      </c>
      <c r="BP250" s="430"/>
      <c r="BQ250" s="234"/>
      <c r="BR250" s="234"/>
      <c r="BS250" s="234"/>
      <c r="BT250" s="234"/>
      <c r="BU250" s="234"/>
      <c r="BV250" s="234"/>
      <c r="BW250" s="234"/>
      <c r="BX250" s="234"/>
      <c r="BY250" s="234"/>
      <c r="BZ250" s="234"/>
      <c r="CA250" s="234"/>
      <c r="CB250" s="234"/>
      <c r="CC250" s="234"/>
      <c r="CD250" s="234"/>
      <c r="CE250" s="234"/>
      <c r="CF250" s="234"/>
      <c r="CG250" s="234"/>
      <c r="CH250" s="234"/>
      <c r="CI250" s="234"/>
      <c r="CJ250" s="234"/>
      <c r="CK250" s="234"/>
      <c r="CL250" s="234"/>
      <c r="CM250" s="234"/>
      <c r="CN250" s="234"/>
      <c r="CO250" s="234"/>
      <c r="CP250" s="234"/>
      <c r="CQ250" s="234"/>
      <c r="CR250" s="234"/>
      <c r="CS250" s="234"/>
      <c r="CT250" s="234"/>
      <c r="CU250" s="234"/>
      <c r="CV250" s="234"/>
      <c r="CW250" s="234"/>
      <c r="CX250" s="234"/>
      <c r="CY250" s="234"/>
      <c r="CZ250" s="234"/>
      <c r="DA250" s="234"/>
      <c r="DB250" s="234"/>
      <c r="DC250" s="234"/>
      <c r="DD250" s="234"/>
      <c r="DE250" s="234"/>
      <c r="DF250" s="234"/>
      <c r="DG250" s="234"/>
      <c r="DH250" s="234"/>
      <c r="DI250" s="234"/>
      <c r="DJ250" s="234"/>
      <c r="DK250" s="234"/>
      <c r="DL250" s="234"/>
      <c r="DM250" s="234"/>
      <c r="DN250" s="234"/>
      <c r="DO250" s="234"/>
      <c r="DP250" s="234"/>
      <c r="DQ250" s="234"/>
      <c r="DR250" s="234"/>
      <c r="DS250" s="234"/>
      <c r="DT250" s="234"/>
    </row>
    <row r="251" spans="8:124" s="231" customFormat="1" x14ac:dyDescent="0.25">
      <c r="H251" s="232"/>
      <c r="K251" s="232"/>
      <c r="N251" s="232"/>
      <c r="W251" s="232"/>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4"/>
      <c r="AZ251" s="234"/>
      <c r="BA251" s="234"/>
      <c r="BB251" s="234"/>
      <c r="BC251" s="234"/>
      <c r="BD251" s="234"/>
      <c r="BE251" s="234"/>
      <c r="BF251" s="234"/>
      <c r="BG251" s="234"/>
      <c r="BH251" s="234"/>
      <c r="BI251" s="429"/>
      <c r="BJ251" s="154" t="s">
        <v>29</v>
      </c>
      <c r="BK251" s="156"/>
      <c r="BL251" s="31"/>
      <c r="BM251" s="31"/>
      <c r="BN251" s="154" t="s">
        <v>29</v>
      </c>
      <c r="BO251" s="156"/>
      <c r="BP251" s="430"/>
      <c r="BQ251" s="234"/>
      <c r="BR251" s="234"/>
      <c r="BS251" s="234"/>
      <c r="BT251" s="234"/>
      <c r="BU251" s="234"/>
      <c r="BV251" s="234"/>
      <c r="BW251" s="234"/>
      <c r="BX251" s="234"/>
      <c r="BY251" s="234"/>
      <c r="BZ251" s="234"/>
      <c r="CA251" s="234"/>
      <c r="CB251" s="234"/>
      <c r="CC251" s="234"/>
      <c r="CD251" s="234"/>
      <c r="CE251" s="234"/>
      <c r="CF251" s="234"/>
      <c r="CG251" s="234"/>
      <c r="CH251" s="234"/>
      <c r="CI251" s="234"/>
      <c r="CJ251" s="234"/>
      <c r="CK251" s="234"/>
      <c r="CL251" s="234"/>
      <c r="CM251" s="234"/>
      <c r="CN251" s="234"/>
      <c r="CO251" s="234"/>
      <c r="CP251" s="234"/>
      <c r="CQ251" s="234"/>
      <c r="CR251" s="234"/>
      <c r="CS251" s="234"/>
      <c r="CT251" s="234"/>
      <c r="CU251" s="234"/>
      <c r="CV251" s="234"/>
      <c r="CW251" s="234"/>
      <c r="CX251" s="234"/>
      <c r="CY251" s="234"/>
      <c r="CZ251" s="234"/>
      <c r="DA251" s="234"/>
      <c r="DB251" s="234"/>
      <c r="DC251" s="234"/>
      <c r="DD251" s="234"/>
      <c r="DE251" s="234"/>
      <c r="DF251" s="234"/>
      <c r="DG251" s="234"/>
      <c r="DH251" s="234"/>
      <c r="DI251" s="234"/>
      <c r="DJ251" s="234"/>
      <c r="DK251" s="234"/>
      <c r="DL251" s="234"/>
      <c r="DM251" s="234"/>
      <c r="DN251" s="234"/>
      <c r="DO251" s="234"/>
      <c r="DP251" s="234"/>
      <c r="DQ251" s="234"/>
      <c r="DR251" s="234"/>
      <c r="DS251" s="234"/>
      <c r="DT251" s="234"/>
    </row>
    <row r="252" spans="8:124" s="231" customFormat="1" x14ac:dyDescent="0.25">
      <c r="H252" s="232"/>
      <c r="K252" s="232"/>
      <c r="N252" s="232"/>
      <c r="W252" s="232"/>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4"/>
      <c r="AZ252" s="234"/>
      <c r="BA252" s="234"/>
      <c r="BB252" s="234"/>
      <c r="BC252" s="234"/>
      <c r="BD252" s="234"/>
      <c r="BE252" s="234"/>
      <c r="BF252" s="234"/>
      <c r="BG252" s="234"/>
      <c r="BH252" s="234"/>
      <c r="BI252" s="429"/>
      <c r="BJ252" s="51" t="s">
        <v>22</v>
      </c>
      <c r="BK252" s="150" t="e">
        <f ca="1">BK230/50</f>
        <v>#DIV/0!</v>
      </c>
      <c r="BL252" s="31"/>
      <c r="BM252" s="31"/>
      <c r="BN252" s="51" t="s">
        <v>22</v>
      </c>
      <c r="BO252" s="150" t="e">
        <f ca="1">BO230/50</f>
        <v>#DIV/0!</v>
      </c>
      <c r="BP252" s="430"/>
      <c r="BQ252" s="234"/>
      <c r="BR252" s="234"/>
      <c r="BS252" s="234"/>
      <c r="BT252" s="234"/>
      <c r="BU252" s="234"/>
      <c r="BV252" s="234"/>
      <c r="BW252" s="234"/>
      <c r="BX252" s="234"/>
      <c r="BY252" s="234"/>
      <c r="BZ252" s="234"/>
      <c r="CA252" s="234"/>
      <c r="CB252" s="234"/>
      <c r="CC252" s="234"/>
      <c r="CD252" s="234"/>
      <c r="CE252" s="234"/>
      <c r="CF252" s="234"/>
      <c r="CG252" s="234"/>
      <c r="CH252" s="234"/>
      <c r="CI252" s="234"/>
      <c r="CJ252" s="234"/>
      <c r="CK252" s="234"/>
      <c r="CL252" s="234"/>
      <c r="CM252" s="234"/>
      <c r="CN252" s="234"/>
      <c r="CO252" s="234"/>
      <c r="CP252" s="234"/>
      <c r="CQ252" s="234"/>
      <c r="CR252" s="234"/>
      <c r="CS252" s="234"/>
      <c r="CT252" s="234"/>
      <c r="CU252" s="234"/>
      <c r="CV252" s="234"/>
      <c r="CW252" s="234"/>
      <c r="CX252" s="234"/>
      <c r="CY252" s="234"/>
      <c r="CZ252" s="234"/>
      <c r="DA252" s="234"/>
      <c r="DB252" s="234"/>
      <c r="DC252" s="234"/>
      <c r="DD252" s="234"/>
      <c r="DE252" s="234"/>
      <c r="DF252" s="234"/>
      <c r="DG252" s="234"/>
      <c r="DH252" s="234"/>
      <c r="DI252" s="234"/>
      <c r="DJ252" s="234"/>
      <c r="DK252" s="234"/>
      <c r="DL252" s="234"/>
      <c r="DM252" s="234"/>
      <c r="DN252" s="234"/>
      <c r="DO252" s="234"/>
      <c r="DP252" s="234"/>
      <c r="DQ252" s="234"/>
      <c r="DR252" s="234"/>
      <c r="DS252" s="234"/>
      <c r="DT252" s="234"/>
    </row>
    <row r="253" spans="8:124" s="231" customFormat="1" ht="15.75" x14ac:dyDescent="0.25">
      <c r="H253" s="232"/>
      <c r="K253" s="232"/>
      <c r="N253" s="232"/>
      <c r="W253" s="232"/>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4"/>
      <c r="AZ253" s="234"/>
      <c r="BA253" s="234"/>
      <c r="BB253" s="234"/>
      <c r="BC253" s="234"/>
      <c r="BD253" s="234"/>
      <c r="BE253" s="234"/>
      <c r="BF253" s="234"/>
      <c r="BG253" s="234"/>
      <c r="BH253" s="234"/>
      <c r="BI253" s="429"/>
      <c r="BJ253" s="160" t="s">
        <v>23</v>
      </c>
      <c r="BK253" s="150" t="e">
        <f t="shared" ref="BK253:BK255" si="290">BK231/50</f>
        <v>#DIV/0!</v>
      </c>
      <c r="BL253" s="31"/>
      <c r="BM253" s="31"/>
      <c r="BN253" s="160" t="s">
        <v>23</v>
      </c>
      <c r="BO253" s="150" t="e">
        <f t="shared" ref="BO253:BO254" si="291">BO231/50</f>
        <v>#DIV/0!</v>
      </c>
      <c r="BP253" s="430"/>
      <c r="BQ253" s="234"/>
      <c r="BR253" s="234"/>
      <c r="BS253" s="234"/>
      <c r="BT253" s="234"/>
      <c r="BU253" s="234"/>
      <c r="BV253" s="234"/>
      <c r="BW253" s="234"/>
      <c r="BX253" s="234"/>
      <c r="BY253" s="234"/>
      <c r="BZ253" s="234"/>
      <c r="CA253" s="234"/>
      <c r="CB253" s="234"/>
      <c r="CC253" s="234"/>
      <c r="CD253" s="234"/>
      <c r="CE253" s="234"/>
      <c r="CF253" s="234"/>
      <c r="CG253" s="234"/>
      <c r="CH253" s="234"/>
      <c r="CI253" s="234"/>
      <c r="CJ253" s="234"/>
      <c r="CK253" s="234"/>
      <c r="CL253" s="234"/>
      <c r="CM253" s="234"/>
      <c r="CN253" s="234"/>
      <c r="CO253" s="234"/>
      <c r="CP253" s="234"/>
      <c r="CQ253" s="234"/>
      <c r="CR253" s="234"/>
      <c r="CS253" s="234"/>
      <c r="CT253" s="234"/>
      <c r="CU253" s="234"/>
      <c r="CV253" s="234"/>
      <c r="CW253" s="234"/>
      <c r="CX253" s="234"/>
      <c r="CY253" s="234"/>
      <c r="CZ253" s="234"/>
      <c r="DA253" s="234"/>
      <c r="DB253" s="234"/>
      <c r="DC253" s="234"/>
      <c r="DD253" s="234"/>
      <c r="DE253" s="234"/>
      <c r="DF253" s="234"/>
      <c r="DG253" s="234"/>
      <c r="DH253" s="234"/>
      <c r="DI253" s="234"/>
      <c r="DJ253" s="234"/>
      <c r="DK253" s="234"/>
      <c r="DL253" s="234"/>
      <c r="DM253" s="234"/>
      <c r="DN253" s="234"/>
      <c r="DO253" s="234"/>
      <c r="DP253" s="234"/>
      <c r="DQ253" s="234"/>
      <c r="DR253" s="234"/>
      <c r="DS253" s="234"/>
      <c r="DT253" s="234"/>
    </row>
    <row r="254" spans="8:124" s="231" customFormat="1" ht="15.75" x14ac:dyDescent="0.25">
      <c r="H254" s="232"/>
      <c r="K254" s="232"/>
      <c r="N254" s="232"/>
      <c r="W254" s="232"/>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4"/>
      <c r="AZ254" s="234"/>
      <c r="BA254" s="234"/>
      <c r="BB254" s="234"/>
      <c r="BC254" s="234"/>
      <c r="BD254" s="234"/>
      <c r="BE254" s="234"/>
      <c r="BF254" s="234"/>
      <c r="BG254" s="234"/>
      <c r="BH254" s="234"/>
      <c r="BI254" s="429"/>
      <c r="BJ254" s="160" t="s">
        <v>24</v>
      </c>
      <c r="BK254" s="150" t="e">
        <f t="shared" si="290"/>
        <v>#DIV/0!</v>
      </c>
      <c r="BL254" s="31"/>
      <c r="BM254" s="31"/>
      <c r="BN254" s="160" t="s">
        <v>24</v>
      </c>
      <c r="BO254" s="150" t="e">
        <f t="shared" si="291"/>
        <v>#DIV/0!</v>
      </c>
      <c r="BP254" s="430"/>
      <c r="BQ254" s="234"/>
      <c r="BR254" s="234"/>
      <c r="BS254" s="234"/>
      <c r="BT254" s="234"/>
      <c r="BU254" s="234"/>
      <c r="BV254" s="234"/>
      <c r="BW254" s="234"/>
      <c r="BX254" s="234"/>
      <c r="BY254" s="234"/>
      <c r="BZ254" s="234"/>
      <c r="CA254" s="234"/>
      <c r="CB254" s="234"/>
      <c r="CC254" s="234"/>
      <c r="CD254" s="234"/>
      <c r="CE254" s="234"/>
      <c r="CF254" s="234"/>
      <c r="CG254" s="234"/>
      <c r="CH254" s="234"/>
      <c r="CI254" s="234"/>
      <c r="CJ254" s="234"/>
      <c r="CK254" s="234"/>
      <c r="CL254" s="234"/>
      <c r="CM254" s="234"/>
      <c r="CN254" s="234"/>
      <c r="CO254" s="234"/>
      <c r="CP254" s="234"/>
      <c r="CQ254" s="234"/>
      <c r="CR254" s="234"/>
      <c r="CS254" s="234"/>
      <c r="CT254" s="234"/>
      <c r="CU254" s="234"/>
      <c r="CV254" s="234"/>
      <c r="CW254" s="234"/>
      <c r="CX254" s="234"/>
      <c r="CY254" s="234"/>
      <c r="CZ254" s="234"/>
      <c r="DA254" s="234"/>
      <c r="DB254" s="234"/>
      <c r="DC254" s="234"/>
      <c r="DD254" s="234"/>
      <c r="DE254" s="234"/>
      <c r="DF254" s="234"/>
      <c r="DG254" s="234"/>
      <c r="DH254" s="234"/>
      <c r="DI254" s="234"/>
      <c r="DJ254" s="234"/>
      <c r="DK254" s="234"/>
      <c r="DL254" s="234"/>
      <c r="DM254" s="234"/>
      <c r="DN254" s="234"/>
      <c r="DO254" s="234"/>
      <c r="DP254" s="234"/>
      <c r="DQ254" s="234"/>
      <c r="DR254" s="234"/>
      <c r="DS254" s="234"/>
      <c r="DT254" s="234"/>
    </row>
    <row r="255" spans="8:124" s="231" customFormat="1" ht="15.75" x14ac:dyDescent="0.25">
      <c r="H255" s="232"/>
      <c r="K255" s="232"/>
      <c r="N255" s="232"/>
      <c r="W255" s="232"/>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4"/>
      <c r="AZ255" s="234"/>
      <c r="BA255" s="234"/>
      <c r="BB255" s="234"/>
      <c r="BC255" s="234"/>
      <c r="BD255" s="234"/>
      <c r="BE255" s="234"/>
      <c r="BF255" s="234"/>
      <c r="BG255" s="234"/>
      <c r="BH255" s="234"/>
      <c r="BI255" s="429"/>
      <c r="BJ255" s="160" t="s">
        <v>18</v>
      </c>
      <c r="BK255" s="150" t="e">
        <f t="shared" si="290"/>
        <v>#DIV/0!</v>
      </c>
      <c r="BL255" s="31"/>
      <c r="BM255" s="31"/>
      <c r="BN255" s="160" t="s">
        <v>18</v>
      </c>
      <c r="BO255" s="150" t="e">
        <f>BO233/50</f>
        <v>#DIV/0!</v>
      </c>
      <c r="BP255" s="430"/>
      <c r="BQ255" s="234"/>
      <c r="BR255" s="234"/>
      <c r="BS255" s="234"/>
      <c r="BT255" s="234"/>
      <c r="BU255" s="234"/>
      <c r="BV255" s="234"/>
      <c r="BW255" s="234"/>
      <c r="BX255" s="234"/>
      <c r="BY255" s="234"/>
      <c r="BZ255" s="234"/>
      <c r="CA255" s="234"/>
      <c r="CB255" s="234"/>
      <c r="CC255" s="234"/>
      <c r="CD255" s="234"/>
      <c r="CE255" s="234"/>
      <c r="CF255" s="234"/>
      <c r="CG255" s="234"/>
      <c r="CH255" s="234"/>
      <c r="CI255" s="234"/>
      <c r="CJ255" s="234"/>
      <c r="CK255" s="234"/>
      <c r="CL255" s="234"/>
      <c r="CM255" s="234"/>
      <c r="CN255" s="234"/>
      <c r="CO255" s="234"/>
      <c r="CP255" s="234"/>
      <c r="CQ255" s="234"/>
      <c r="CR255" s="234"/>
      <c r="CS255" s="234"/>
      <c r="CT255" s="234"/>
      <c r="CU255" s="234"/>
      <c r="CV255" s="234"/>
      <c r="CW255" s="234"/>
      <c r="CX255" s="234"/>
      <c r="CY255" s="234"/>
      <c r="CZ255" s="234"/>
      <c r="DA255" s="234"/>
      <c r="DB255" s="234"/>
      <c r="DC255" s="234"/>
      <c r="DD255" s="234"/>
      <c r="DE255" s="234"/>
      <c r="DF255" s="234"/>
      <c r="DG255" s="234"/>
      <c r="DH255" s="234"/>
      <c r="DI255" s="234"/>
      <c r="DJ255" s="234"/>
      <c r="DK255" s="234"/>
      <c r="DL255" s="234"/>
      <c r="DM255" s="234"/>
      <c r="DN255" s="234"/>
      <c r="DO255" s="234"/>
      <c r="DP255" s="234"/>
      <c r="DQ255" s="234"/>
      <c r="DR255" s="234"/>
      <c r="DS255" s="234"/>
      <c r="DT255" s="234"/>
    </row>
    <row r="256" spans="8:124" s="231" customFormat="1" x14ac:dyDescent="0.25">
      <c r="H256" s="232"/>
      <c r="K256" s="232"/>
      <c r="N256" s="232"/>
      <c r="W256" s="232"/>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4"/>
      <c r="AZ256" s="234"/>
      <c r="BA256" s="234"/>
      <c r="BB256" s="234"/>
      <c r="BC256" s="234"/>
      <c r="BD256" s="234"/>
      <c r="BE256" s="234"/>
      <c r="BF256" s="234"/>
      <c r="BG256" s="234"/>
      <c r="BH256" s="234"/>
      <c r="BI256" s="432"/>
      <c r="BJ256" s="433"/>
      <c r="BK256" s="433"/>
      <c r="BL256" s="433"/>
      <c r="BM256" s="433"/>
      <c r="BN256" s="433"/>
      <c r="BO256" s="433"/>
      <c r="BP256" s="185"/>
      <c r="BQ256" s="234"/>
      <c r="BR256" s="234"/>
      <c r="BS256" s="234"/>
      <c r="BT256" s="234"/>
      <c r="BU256" s="234"/>
      <c r="BV256" s="234"/>
      <c r="BW256" s="234"/>
      <c r="BX256" s="234"/>
      <c r="BY256" s="234"/>
      <c r="BZ256" s="234"/>
      <c r="CA256" s="234"/>
      <c r="CB256" s="234"/>
      <c r="CC256" s="234"/>
      <c r="CD256" s="234"/>
      <c r="CE256" s="234"/>
      <c r="CF256" s="234"/>
      <c r="CG256" s="234"/>
      <c r="CH256" s="234"/>
      <c r="CI256" s="234"/>
      <c r="CJ256" s="234"/>
      <c r="CK256" s="234"/>
      <c r="CL256" s="234"/>
      <c r="CM256" s="234"/>
      <c r="CN256" s="234"/>
      <c r="CO256" s="234"/>
      <c r="CP256" s="234"/>
      <c r="CQ256" s="234"/>
      <c r="CR256" s="234"/>
      <c r="CS256" s="234"/>
      <c r="CT256" s="234"/>
      <c r="CU256" s="234"/>
      <c r="CV256" s="234"/>
      <c r="CW256" s="234"/>
      <c r="CX256" s="234"/>
      <c r="CY256" s="234"/>
      <c r="CZ256" s="234"/>
      <c r="DA256" s="234"/>
      <c r="DB256" s="234"/>
      <c r="DC256" s="234"/>
      <c r="DD256" s="234"/>
      <c r="DE256" s="234"/>
      <c r="DF256" s="234"/>
      <c r="DG256" s="234"/>
      <c r="DH256" s="234"/>
      <c r="DI256" s="234"/>
      <c r="DJ256" s="234"/>
      <c r="DK256" s="234"/>
      <c r="DL256" s="234"/>
      <c r="DM256" s="234"/>
      <c r="DN256" s="234"/>
      <c r="DO256" s="234"/>
      <c r="DP256" s="234"/>
      <c r="DQ256" s="234"/>
      <c r="DR256" s="234"/>
      <c r="DS256" s="234"/>
      <c r="DT256" s="234"/>
    </row>
    <row r="257" spans="8:124" s="231" customFormat="1" x14ac:dyDescent="0.25">
      <c r="H257" s="232"/>
      <c r="K257" s="232"/>
      <c r="N257" s="232"/>
      <c r="W257" s="232"/>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4"/>
      <c r="AZ257" s="234"/>
      <c r="BA257" s="234"/>
      <c r="BB257" s="234"/>
      <c r="BC257" s="234"/>
      <c r="BD257" s="234"/>
      <c r="BE257" s="234"/>
      <c r="BF257" s="234"/>
      <c r="BG257" s="234"/>
      <c r="BH257" s="234"/>
      <c r="BI257" s="234"/>
      <c r="BJ257" s="234"/>
      <c r="BK257" s="234"/>
      <c r="BL257" s="234"/>
      <c r="BM257" s="234"/>
      <c r="BN257" s="234"/>
      <c r="BO257" s="234"/>
      <c r="BP257" s="234"/>
      <c r="BQ257" s="234"/>
      <c r="BR257" s="234"/>
      <c r="BS257" s="234"/>
      <c r="BT257" s="234"/>
      <c r="BU257" s="234"/>
      <c r="BV257" s="234"/>
      <c r="BW257" s="234"/>
      <c r="BX257" s="234"/>
      <c r="BY257" s="234"/>
      <c r="BZ257" s="234"/>
      <c r="CA257" s="234"/>
      <c r="CB257" s="234"/>
      <c r="CC257" s="234"/>
      <c r="CD257" s="234"/>
      <c r="CE257" s="234"/>
      <c r="CF257" s="234"/>
      <c r="CG257" s="234"/>
      <c r="CH257" s="234"/>
      <c r="CI257" s="234"/>
      <c r="CJ257" s="234"/>
      <c r="CK257" s="234"/>
      <c r="CL257" s="234"/>
      <c r="CM257" s="234"/>
      <c r="CN257" s="234"/>
      <c r="CO257" s="234"/>
      <c r="CP257" s="234"/>
      <c r="CQ257" s="234"/>
      <c r="CR257" s="234"/>
      <c r="CS257" s="234"/>
      <c r="CT257" s="234"/>
      <c r="CU257" s="234"/>
      <c r="CV257" s="234"/>
      <c r="CW257" s="234"/>
      <c r="CX257" s="234"/>
      <c r="CY257" s="234"/>
      <c r="CZ257" s="234"/>
      <c r="DA257" s="234"/>
      <c r="DB257" s="234"/>
      <c r="DC257" s="234"/>
      <c r="DD257" s="234"/>
      <c r="DE257" s="234"/>
      <c r="DF257" s="234"/>
      <c r="DG257" s="234"/>
      <c r="DH257" s="234"/>
      <c r="DI257" s="234"/>
      <c r="DJ257" s="234"/>
      <c r="DK257" s="234"/>
      <c r="DL257" s="234"/>
      <c r="DM257" s="234"/>
      <c r="DN257" s="234"/>
      <c r="DO257" s="234"/>
      <c r="DP257" s="234"/>
      <c r="DQ257" s="234"/>
      <c r="DR257" s="234"/>
      <c r="DS257" s="234"/>
      <c r="DT257" s="234"/>
    </row>
    <row r="258" spans="8:124" s="231" customFormat="1" x14ac:dyDescent="0.25">
      <c r="H258" s="232"/>
      <c r="K258" s="232"/>
      <c r="N258" s="232"/>
      <c r="W258" s="232"/>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4"/>
      <c r="AZ258" s="234"/>
      <c r="BA258" s="234"/>
      <c r="BB258" s="234"/>
      <c r="BC258" s="234"/>
      <c r="BD258" s="234"/>
      <c r="BE258" s="234"/>
      <c r="BF258" s="234"/>
      <c r="BG258" s="234"/>
      <c r="BH258" s="234"/>
      <c r="BI258" s="234"/>
      <c r="BJ258" s="234"/>
      <c r="BK258" s="234"/>
      <c r="BL258" s="234"/>
      <c r="BM258" s="234"/>
      <c r="BN258" s="234"/>
      <c r="BO258" s="234"/>
      <c r="BP258" s="234"/>
      <c r="BQ258" s="234"/>
      <c r="BR258" s="234"/>
      <c r="BS258" s="234"/>
      <c r="BT258" s="234"/>
      <c r="BU258" s="234"/>
      <c r="BV258" s="234"/>
      <c r="BW258" s="234"/>
      <c r="BX258" s="234"/>
      <c r="BY258" s="234"/>
      <c r="BZ258" s="234"/>
      <c r="CA258" s="234"/>
      <c r="CB258" s="234"/>
      <c r="CC258" s="234"/>
      <c r="CD258" s="234"/>
      <c r="CE258" s="234"/>
      <c r="CF258" s="234"/>
      <c r="CG258" s="234"/>
      <c r="CH258" s="234"/>
      <c r="CI258" s="234"/>
      <c r="CJ258" s="234"/>
      <c r="CK258" s="234"/>
      <c r="CL258" s="234"/>
      <c r="CM258" s="234"/>
      <c r="CN258" s="234"/>
      <c r="CO258" s="234"/>
      <c r="CP258" s="234"/>
      <c r="CQ258" s="234"/>
      <c r="CR258" s="234"/>
      <c r="CS258" s="234"/>
      <c r="CT258" s="234"/>
      <c r="CU258" s="234"/>
      <c r="CV258" s="234"/>
      <c r="CW258" s="234"/>
      <c r="CX258" s="234"/>
      <c r="CY258" s="234"/>
      <c r="CZ258" s="234"/>
      <c r="DA258" s="234"/>
      <c r="DB258" s="234"/>
      <c r="DC258" s="234"/>
      <c r="DD258" s="234"/>
      <c r="DE258" s="234"/>
      <c r="DF258" s="234"/>
      <c r="DG258" s="234"/>
      <c r="DH258" s="234"/>
      <c r="DI258" s="234"/>
      <c r="DJ258" s="234"/>
      <c r="DK258" s="234"/>
      <c r="DL258" s="234"/>
      <c r="DM258" s="234"/>
      <c r="DN258" s="234"/>
      <c r="DO258" s="234"/>
      <c r="DP258" s="234"/>
      <c r="DQ258" s="234"/>
      <c r="DR258" s="234"/>
      <c r="DS258" s="234"/>
      <c r="DT258" s="234"/>
    </row>
    <row r="259" spans="8:124" s="231" customFormat="1" x14ac:dyDescent="0.25">
      <c r="H259" s="232"/>
      <c r="K259" s="232"/>
      <c r="N259" s="232"/>
      <c r="W259" s="232"/>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4"/>
      <c r="AZ259" s="234"/>
      <c r="BA259" s="234"/>
      <c r="BB259" s="234"/>
      <c r="BC259" s="234"/>
      <c r="BD259" s="234"/>
      <c r="BE259" s="234"/>
      <c r="BF259" s="234"/>
      <c r="BG259" s="234"/>
      <c r="BH259" s="234"/>
      <c r="BI259" s="234"/>
      <c r="BJ259" s="234"/>
      <c r="BK259" s="234"/>
      <c r="BL259" s="234"/>
      <c r="BM259" s="234"/>
      <c r="BN259" s="234"/>
      <c r="BO259" s="234"/>
      <c r="BP259" s="234"/>
      <c r="BQ259" s="234"/>
      <c r="BR259" s="234"/>
      <c r="BS259" s="234"/>
      <c r="BT259" s="234"/>
      <c r="BU259" s="234"/>
      <c r="BV259" s="234"/>
      <c r="BW259" s="234"/>
      <c r="BX259" s="234"/>
      <c r="BY259" s="234"/>
      <c r="BZ259" s="234"/>
      <c r="CA259" s="234"/>
      <c r="CB259" s="234"/>
      <c r="CC259" s="234"/>
      <c r="CD259" s="234"/>
      <c r="CE259" s="234"/>
      <c r="CF259" s="234"/>
      <c r="CG259" s="234"/>
      <c r="CH259" s="234"/>
      <c r="CI259" s="234"/>
      <c r="CJ259" s="234"/>
      <c r="CK259" s="234"/>
      <c r="CL259" s="234"/>
      <c r="CM259" s="234"/>
      <c r="CN259" s="234"/>
      <c r="CO259" s="234"/>
      <c r="CP259" s="234"/>
      <c r="CQ259" s="234"/>
      <c r="CR259" s="234"/>
      <c r="CS259" s="234"/>
      <c r="CT259" s="234"/>
      <c r="CU259" s="234"/>
      <c r="CV259" s="234"/>
      <c r="CW259" s="234"/>
      <c r="CX259" s="234"/>
      <c r="CY259" s="234"/>
      <c r="CZ259" s="234"/>
      <c r="DA259" s="234"/>
      <c r="DB259" s="234"/>
      <c r="DC259" s="234"/>
      <c r="DD259" s="234"/>
      <c r="DE259" s="234"/>
      <c r="DF259" s="234"/>
      <c r="DG259" s="234"/>
      <c r="DH259" s="234"/>
      <c r="DI259" s="234"/>
      <c r="DJ259" s="234"/>
      <c r="DK259" s="234"/>
      <c r="DL259" s="234"/>
      <c r="DM259" s="234"/>
      <c r="DN259" s="234"/>
      <c r="DO259" s="234"/>
      <c r="DP259" s="234"/>
      <c r="DQ259" s="234"/>
      <c r="DR259" s="234"/>
      <c r="DS259" s="234"/>
      <c r="DT259" s="234"/>
    </row>
    <row r="260" spans="8:124" s="231" customFormat="1" x14ac:dyDescent="0.25">
      <c r="H260" s="232"/>
      <c r="K260" s="232"/>
      <c r="N260" s="232"/>
      <c r="W260" s="232"/>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4"/>
      <c r="AZ260" s="234"/>
      <c r="BA260" s="234"/>
      <c r="BB260" s="234"/>
      <c r="BC260" s="234"/>
      <c r="BD260" s="234"/>
      <c r="BE260" s="234"/>
      <c r="BF260" s="234"/>
      <c r="BG260" s="234"/>
      <c r="BH260" s="234"/>
      <c r="BI260" s="234"/>
      <c r="BJ260" s="234"/>
      <c r="BK260" s="234"/>
      <c r="BL260" s="234"/>
      <c r="BM260" s="234"/>
      <c r="BN260" s="234"/>
      <c r="BO260" s="234"/>
      <c r="BP260" s="234"/>
      <c r="BQ260" s="234"/>
      <c r="BR260" s="234"/>
      <c r="BS260" s="234"/>
      <c r="BT260" s="234"/>
      <c r="BU260" s="234"/>
      <c r="BV260" s="234"/>
      <c r="BW260" s="234"/>
      <c r="BX260" s="234"/>
      <c r="BY260" s="234"/>
      <c r="BZ260" s="234"/>
      <c r="CA260" s="234"/>
      <c r="CB260" s="234"/>
      <c r="CC260" s="234"/>
      <c r="CD260" s="234"/>
      <c r="CE260" s="234"/>
      <c r="CF260" s="234"/>
      <c r="CG260" s="234"/>
      <c r="CH260" s="234"/>
      <c r="CI260" s="234"/>
      <c r="CJ260" s="234"/>
      <c r="CK260" s="234"/>
      <c r="CL260" s="234"/>
      <c r="CM260" s="234"/>
      <c r="CN260" s="234"/>
      <c r="CO260" s="234"/>
      <c r="CP260" s="234"/>
      <c r="CQ260" s="234"/>
      <c r="CR260" s="234"/>
      <c r="CS260" s="234"/>
      <c r="CT260" s="234"/>
      <c r="CU260" s="234"/>
      <c r="CV260" s="234"/>
      <c r="CW260" s="234"/>
      <c r="CX260" s="234"/>
      <c r="CY260" s="234"/>
      <c r="CZ260" s="234"/>
      <c r="DA260" s="234"/>
      <c r="DB260" s="234"/>
      <c r="DC260" s="234"/>
      <c r="DD260" s="234"/>
      <c r="DE260" s="234"/>
      <c r="DF260" s="234"/>
      <c r="DG260" s="234"/>
      <c r="DH260" s="234"/>
      <c r="DI260" s="234"/>
      <c r="DJ260" s="234"/>
      <c r="DK260" s="234"/>
      <c r="DL260" s="234"/>
      <c r="DM260" s="234"/>
      <c r="DN260" s="234"/>
      <c r="DO260" s="234"/>
      <c r="DP260" s="234"/>
      <c r="DQ260" s="234"/>
      <c r="DR260" s="234"/>
      <c r="DS260" s="234"/>
      <c r="DT260" s="234"/>
    </row>
    <row r="261" spans="8:124" s="231" customFormat="1" x14ac:dyDescent="0.25">
      <c r="H261" s="232"/>
      <c r="K261" s="232"/>
      <c r="N261" s="232"/>
      <c r="W261" s="232"/>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4"/>
      <c r="AZ261" s="234"/>
      <c r="BA261" s="234"/>
      <c r="BB261" s="234"/>
      <c r="BC261" s="234"/>
      <c r="BD261" s="234"/>
      <c r="BE261" s="234"/>
      <c r="BF261" s="234"/>
      <c r="BG261" s="234"/>
      <c r="BH261" s="234"/>
      <c r="BI261" s="234"/>
      <c r="BJ261" s="234"/>
      <c r="BK261" s="234"/>
      <c r="BL261" s="234"/>
      <c r="BM261" s="234"/>
      <c r="BN261" s="234"/>
      <c r="BO261" s="234"/>
      <c r="BP261" s="234"/>
      <c r="BQ261" s="234"/>
      <c r="BR261" s="234"/>
      <c r="BS261" s="234"/>
      <c r="BT261" s="234"/>
      <c r="BU261" s="234"/>
      <c r="BV261" s="234"/>
      <c r="BW261" s="234"/>
      <c r="BX261" s="234"/>
      <c r="BY261" s="234"/>
      <c r="BZ261" s="234"/>
      <c r="CA261" s="234"/>
      <c r="CB261" s="234"/>
      <c r="CC261" s="234"/>
      <c r="CD261" s="234"/>
      <c r="CE261" s="234"/>
      <c r="CF261" s="234"/>
      <c r="CG261" s="234"/>
      <c r="CH261" s="234"/>
      <c r="CI261" s="234"/>
      <c r="CJ261" s="234"/>
      <c r="CK261" s="234"/>
      <c r="CL261" s="234"/>
      <c r="CM261" s="234"/>
      <c r="CN261" s="234"/>
      <c r="CO261" s="234"/>
      <c r="CP261" s="234"/>
      <c r="CQ261" s="234"/>
      <c r="CR261" s="234"/>
      <c r="CS261" s="234"/>
      <c r="CT261" s="234"/>
      <c r="CU261" s="234"/>
      <c r="CV261" s="234"/>
      <c r="CW261" s="234"/>
      <c r="CX261" s="234"/>
      <c r="CY261" s="234"/>
      <c r="CZ261" s="234"/>
      <c r="DA261" s="234"/>
      <c r="DB261" s="234"/>
      <c r="DC261" s="234"/>
      <c r="DD261" s="234"/>
      <c r="DE261" s="234"/>
      <c r="DF261" s="234"/>
      <c r="DG261" s="234"/>
      <c r="DH261" s="234"/>
      <c r="DI261" s="234"/>
      <c r="DJ261" s="234"/>
      <c r="DK261" s="234"/>
      <c r="DL261" s="234"/>
      <c r="DM261" s="234"/>
      <c r="DN261" s="234"/>
      <c r="DO261" s="234"/>
      <c r="DP261" s="234"/>
      <c r="DQ261" s="234"/>
      <c r="DR261" s="234"/>
      <c r="DS261" s="234"/>
      <c r="DT261" s="234"/>
    </row>
    <row r="262" spans="8:124" s="231" customFormat="1" x14ac:dyDescent="0.25">
      <c r="H262" s="232"/>
      <c r="K262" s="232"/>
      <c r="N262" s="232"/>
      <c r="W262" s="232"/>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4"/>
      <c r="AZ262" s="234"/>
      <c r="BA262" s="234"/>
      <c r="BB262" s="234"/>
      <c r="BC262" s="234"/>
      <c r="BD262" s="234"/>
      <c r="BE262" s="234"/>
      <c r="BF262" s="234"/>
      <c r="BG262" s="234"/>
      <c r="BH262" s="234"/>
      <c r="BI262" s="234"/>
      <c r="BJ262" s="234"/>
      <c r="BK262" s="234"/>
      <c r="BL262" s="234"/>
      <c r="BM262" s="234"/>
      <c r="BN262" s="234"/>
      <c r="BO262" s="234"/>
      <c r="BP262" s="234"/>
      <c r="BQ262" s="234"/>
      <c r="BR262" s="234"/>
      <c r="BS262" s="234"/>
      <c r="BT262" s="234"/>
      <c r="BU262" s="234"/>
      <c r="BV262" s="234"/>
      <c r="BW262" s="234"/>
      <c r="BX262" s="234"/>
      <c r="BY262" s="234"/>
      <c r="BZ262" s="234"/>
      <c r="CA262" s="234"/>
      <c r="CB262" s="234"/>
      <c r="CC262" s="234"/>
      <c r="CD262" s="234"/>
      <c r="CE262" s="234"/>
      <c r="CF262" s="234"/>
      <c r="CG262" s="234"/>
      <c r="CH262" s="234"/>
      <c r="CI262" s="234"/>
      <c r="CJ262" s="234"/>
      <c r="CK262" s="234"/>
      <c r="CL262" s="234"/>
      <c r="CM262" s="234"/>
      <c r="CN262" s="234"/>
      <c r="CO262" s="234"/>
      <c r="CP262" s="234"/>
      <c r="CQ262" s="234"/>
      <c r="CR262" s="234"/>
      <c r="CS262" s="234"/>
      <c r="CT262" s="234"/>
      <c r="CU262" s="234"/>
      <c r="CV262" s="234"/>
      <c r="CW262" s="234"/>
      <c r="CX262" s="234"/>
      <c r="CY262" s="234"/>
      <c r="CZ262" s="234"/>
      <c r="DA262" s="234"/>
      <c r="DB262" s="234"/>
      <c r="DC262" s="234"/>
      <c r="DD262" s="234"/>
      <c r="DE262" s="234"/>
      <c r="DF262" s="234"/>
      <c r="DG262" s="234"/>
      <c r="DH262" s="234"/>
      <c r="DI262" s="234"/>
      <c r="DJ262" s="234"/>
      <c r="DK262" s="234"/>
      <c r="DL262" s="234"/>
      <c r="DM262" s="234"/>
      <c r="DN262" s="234"/>
      <c r="DO262" s="234"/>
      <c r="DP262" s="234"/>
      <c r="DQ262" s="234"/>
      <c r="DR262" s="234"/>
      <c r="DS262" s="234"/>
      <c r="DT262" s="234"/>
    </row>
    <row r="263" spans="8:124" s="231" customFormat="1" x14ac:dyDescent="0.25">
      <c r="H263" s="232"/>
      <c r="K263" s="232"/>
      <c r="N263" s="232"/>
      <c r="W263" s="232"/>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4"/>
      <c r="AZ263" s="234"/>
      <c r="BA263" s="234"/>
      <c r="BB263" s="234"/>
      <c r="BC263" s="234"/>
      <c r="BD263" s="234"/>
      <c r="BE263" s="234"/>
      <c r="BF263" s="234"/>
      <c r="BG263" s="234"/>
      <c r="BH263" s="234"/>
      <c r="BI263" s="234"/>
      <c r="BJ263" s="234"/>
      <c r="BK263" s="234"/>
      <c r="BL263" s="234"/>
      <c r="BM263" s="234"/>
      <c r="BN263" s="234"/>
      <c r="BO263" s="234"/>
      <c r="BP263" s="234"/>
      <c r="BQ263" s="234"/>
      <c r="BR263" s="234"/>
      <c r="BS263" s="234"/>
      <c r="BT263" s="234"/>
      <c r="BU263" s="234"/>
      <c r="BV263" s="234"/>
      <c r="BW263" s="234"/>
      <c r="BX263" s="234"/>
      <c r="BY263" s="234"/>
      <c r="BZ263" s="234"/>
      <c r="CA263" s="234"/>
      <c r="CB263" s="234"/>
      <c r="CC263" s="234"/>
      <c r="CD263" s="234"/>
      <c r="CE263" s="234"/>
      <c r="CF263" s="234"/>
      <c r="CG263" s="234"/>
      <c r="CH263" s="234"/>
      <c r="CI263" s="234"/>
      <c r="CJ263" s="234"/>
      <c r="CK263" s="234"/>
      <c r="CL263" s="234"/>
      <c r="CM263" s="234"/>
      <c r="CN263" s="234"/>
      <c r="CO263" s="234"/>
      <c r="CP263" s="234"/>
      <c r="CQ263" s="234"/>
      <c r="CR263" s="234"/>
      <c r="CS263" s="234"/>
      <c r="CT263" s="234"/>
      <c r="CU263" s="234"/>
      <c r="CV263" s="234"/>
      <c r="CW263" s="234"/>
      <c r="CX263" s="234"/>
      <c r="CY263" s="234"/>
      <c r="CZ263" s="234"/>
      <c r="DA263" s="234"/>
      <c r="DB263" s="234"/>
      <c r="DC263" s="234"/>
      <c r="DD263" s="234"/>
      <c r="DE263" s="234"/>
      <c r="DF263" s="234"/>
      <c r="DG263" s="234"/>
      <c r="DH263" s="234"/>
      <c r="DI263" s="234"/>
      <c r="DJ263" s="234"/>
      <c r="DK263" s="234"/>
      <c r="DL263" s="234"/>
      <c r="DM263" s="234"/>
      <c r="DN263" s="234"/>
      <c r="DO263" s="234"/>
      <c r="DP263" s="234"/>
      <c r="DQ263" s="234"/>
      <c r="DR263" s="234"/>
      <c r="DS263" s="234"/>
      <c r="DT263" s="234"/>
    </row>
    <row r="264" spans="8:124" s="231" customFormat="1" x14ac:dyDescent="0.25">
      <c r="H264" s="232"/>
      <c r="K264" s="232"/>
      <c r="N264" s="232"/>
      <c r="W264" s="232"/>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4"/>
      <c r="AZ264" s="234"/>
      <c r="BA264" s="234"/>
      <c r="BB264" s="234"/>
      <c r="BC264" s="234"/>
      <c r="BD264" s="234"/>
      <c r="BE264" s="234"/>
      <c r="BF264" s="234"/>
      <c r="BG264" s="234"/>
      <c r="BH264" s="234"/>
      <c r="BI264" s="234"/>
      <c r="BJ264" s="234"/>
      <c r="BK264" s="234"/>
      <c r="BL264" s="234"/>
      <c r="BM264" s="234"/>
      <c r="BN264" s="234"/>
      <c r="BO264" s="234"/>
      <c r="BP264" s="234"/>
      <c r="BQ264" s="234"/>
      <c r="BR264" s="234"/>
      <c r="BS264" s="234"/>
      <c r="BT264" s="234"/>
      <c r="BU264" s="234"/>
      <c r="BV264" s="234"/>
      <c r="BW264" s="234"/>
      <c r="BX264" s="234"/>
      <c r="BY264" s="234"/>
      <c r="BZ264" s="234"/>
      <c r="CA264" s="234"/>
      <c r="CB264" s="234"/>
      <c r="CC264" s="234"/>
      <c r="CD264" s="234"/>
      <c r="CE264" s="234"/>
      <c r="CF264" s="234"/>
      <c r="CG264" s="234"/>
      <c r="CH264" s="234"/>
      <c r="CI264" s="234"/>
      <c r="CJ264" s="234"/>
      <c r="CK264" s="234"/>
      <c r="CL264" s="234"/>
      <c r="CM264" s="234"/>
      <c r="CN264" s="234"/>
      <c r="CO264" s="234"/>
      <c r="CP264" s="234"/>
      <c r="CQ264" s="234"/>
      <c r="CR264" s="234"/>
      <c r="CS264" s="234"/>
      <c r="CT264" s="234"/>
      <c r="CU264" s="234"/>
      <c r="CV264" s="234"/>
      <c r="CW264" s="234"/>
      <c r="CX264" s="234"/>
      <c r="CY264" s="234"/>
      <c r="CZ264" s="234"/>
      <c r="DA264" s="234"/>
      <c r="DB264" s="234"/>
      <c r="DC264" s="234"/>
      <c r="DD264" s="234"/>
      <c r="DE264" s="234"/>
      <c r="DF264" s="234"/>
      <c r="DG264" s="234"/>
      <c r="DH264" s="234"/>
      <c r="DI264" s="234"/>
      <c r="DJ264" s="234"/>
      <c r="DK264" s="234"/>
      <c r="DL264" s="234"/>
      <c r="DM264" s="234"/>
      <c r="DN264" s="234"/>
      <c r="DO264" s="234"/>
      <c r="DP264" s="234"/>
      <c r="DQ264" s="234"/>
      <c r="DR264" s="234"/>
      <c r="DS264" s="234"/>
      <c r="DT264" s="234"/>
    </row>
    <row r="265" spans="8:124" s="231" customFormat="1" x14ac:dyDescent="0.25">
      <c r="H265" s="232"/>
      <c r="K265" s="232"/>
      <c r="N265" s="232"/>
      <c r="W265" s="232"/>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4"/>
      <c r="AZ265" s="234"/>
      <c r="BA265" s="234"/>
      <c r="BB265" s="234"/>
      <c r="BC265" s="234"/>
      <c r="BD265" s="234"/>
      <c r="BE265" s="234"/>
      <c r="BF265" s="234"/>
      <c r="BG265" s="234"/>
      <c r="BH265" s="234"/>
      <c r="BI265" s="234"/>
      <c r="BJ265" s="234"/>
      <c r="BK265" s="234"/>
      <c r="BL265" s="234"/>
      <c r="BM265" s="234"/>
      <c r="BN265" s="234"/>
      <c r="BO265" s="234"/>
      <c r="BP265" s="234"/>
      <c r="BQ265" s="234"/>
      <c r="BR265" s="234"/>
      <c r="BS265" s="234"/>
      <c r="BT265" s="234"/>
      <c r="BU265" s="234"/>
      <c r="BV265" s="234"/>
      <c r="BW265" s="234"/>
      <c r="BX265" s="234"/>
      <c r="BY265" s="234"/>
      <c r="BZ265" s="234"/>
      <c r="CA265" s="234"/>
      <c r="CB265" s="234"/>
      <c r="CC265" s="234"/>
      <c r="CD265" s="234"/>
      <c r="CE265" s="234"/>
      <c r="CF265" s="234"/>
      <c r="CG265" s="234"/>
      <c r="CH265" s="234"/>
      <c r="CI265" s="234"/>
      <c r="CJ265" s="234"/>
      <c r="CK265" s="234"/>
      <c r="CL265" s="234"/>
      <c r="CM265" s="234"/>
      <c r="CN265" s="234"/>
      <c r="CO265" s="234"/>
      <c r="CP265" s="234"/>
      <c r="CQ265" s="234"/>
      <c r="CR265" s="234"/>
      <c r="CS265" s="234"/>
      <c r="CT265" s="234"/>
      <c r="CU265" s="234"/>
      <c r="CV265" s="234"/>
      <c r="CW265" s="234"/>
      <c r="CX265" s="234"/>
      <c r="CY265" s="234"/>
      <c r="CZ265" s="234"/>
      <c r="DA265" s="234"/>
      <c r="DB265" s="234"/>
      <c r="DC265" s="234"/>
      <c r="DD265" s="234"/>
      <c r="DE265" s="234"/>
      <c r="DF265" s="234"/>
      <c r="DG265" s="234"/>
      <c r="DH265" s="234"/>
      <c r="DI265" s="234"/>
      <c r="DJ265" s="234"/>
      <c r="DK265" s="234"/>
      <c r="DL265" s="234"/>
      <c r="DM265" s="234"/>
      <c r="DN265" s="234"/>
      <c r="DO265" s="234"/>
      <c r="DP265" s="234"/>
      <c r="DQ265" s="234"/>
      <c r="DR265" s="234"/>
      <c r="DS265" s="234"/>
      <c r="DT265" s="234"/>
    </row>
    <row r="266" spans="8:124" s="231" customFormat="1" x14ac:dyDescent="0.25">
      <c r="H266" s="232"/>
      <c r="K266" s="232"/>
      <c r="N266" s="232"/>
      <c r="W266" s="232"/>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4"/>
      <c r="AZ266" s="234"/>
      <c r="BA266" s="234"/>
      <c r="BB266" s="234"/>
      <c r="BC266" s="234"/>
      <c r="BD266" s="234"/>
      <c r="BE266" s="234"/>
      <c r="BF266" s="234"/>
      <c r="BG266" s="234"/>
      <c r="BH266" s="234"/>
      <c r="BI266" s="234"/>
      <c r="BJ266" s="234"/>
      <c r="BK266" s="234"/>
      <c r="BL266" s="234"/>
      <c r="BM266" s="234"/>
      <c r="BN266" s="234"/>
      <c r="BO266" s="234"/>
      <c r="BP266" s="234"/>
      <c r="BQ266" s="234"/>
      <c r="BR266" s="234"/>
      <c r="BS266" s="234"/>
      <c r="BT266" s="234"/>
      <c r="BU266" s="234"/>
      <c r="BV266" s="234"/>
      <c r="BW266" s="234"/>
      <c r="BX266" s="234"/>
      <c r="BY266" s="234"/>
      <c r="BZ266" s="234"/>
      <c r="CA266" s="234"/>
      <c r="CB266" s="234"/>
      <c r="CC266" s="234"/>
      <c r="CD266" s="234"/>
      <c r="CE266" s="234"/>
      <c r="CF266" s="234"/>
      <c r="CG266" s="234"/>
      <c r="CH266" s="234"/>
      <c r="CI266" s="234"/>
      <c r="CJ266" s="234"/>
      <c r="CK266" s="234"/>
      <c r="CL266" s="234"/>
      <c r="CM266" s="234"/>
      <c r="CN266" s="234"/>
      <c r="CO266" s="234"/>
      <c r="CP266" s="234"/>
      <c r="CQ266" s="234"/>
      <c r="CR266" s="234"/>
      <c r="CS266" s="234"/>
      <c r="CT266" s="234"/>
      <c r="CU266" s="234"/>
      <c r="CV266" s="234"/>
      <c r="CW266" s="234"/>
      <c r="CX266" s="234"/>
      <c r="CY266" s="234"/>
      <c r="CZ266" s="234"/>
      <c r="DA266" s="234"/>
      <c r="DB266" s="234"/>
      <c r="DC266" s="234"/>
      <c r="DD266" s="234"/>
      <c r="DE266" s="234"/>
      <c r="DF266" s="234"/>
      <c r="DG266" s="234"/>
      <c r="DH266" s="234"/>
      <c r="DI266" s="234"/>
      <c r="DJ266" s="234"/>
      <c r="DK266" s="234"/>
      <c r="DL266" s="234"/>
      <c r="DM266" s="234"/>
      <c r="DN266" s="234"/>
      <c r="DO266" s="234"/>
      <c r="DP266" s="234"/>
      <c r="DQ266" s="234"/>
      <c r="DR266" s="234"/>
      <c r="DS266" s="234"/>
      <c r="DT266" s="234"/>
    </row>
    <row r="267" spans="8:124" s="231" customFormat="1" x14ac:dyDescent="0.25">
      <c r="H267" s="232"/>
      <c r="K267" s="232"/>
      <c r="N267" s="232"/>
      <c r="W267" s="232"/>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4"/>
      <c r="AZ267" s="234"/>
      <c r="BA267" s="234"/>
      <c r="BB267" s="234"/>
      <c r="BC267" s="234"/>
      <c r="BD267" s="234"/>
      <c r="BE267" s="234"/>
      <c r="BF267" s="234"/>
      <c r="BG267" s="234"/>
      <c r="BH267" s="234"/>
      <c r="BI267" s="234"/>
      <c r="BJ267" s="234"/>
      <c r="BK267" s="234"/>
      <c r="BL267" s="234"/>
      <c r="BM267" s="234"/>
      <c r="BN267" s="234"/>
      <c r="BO267" s="234"/>
      <c r="BP267" s="234"/>
      <c r="BQ267" s="234"/>
      <c r="BR267" s="234"/>
      <c r="BS267" s="234"/>
      <c r="BT267" s="234"/>
      <c r="BU267" s="234"/>
      <c r="BV267" s="234"/>
      <c r="BW267" s="234"/>
      <c r="BX267" s="234"/>
      <c r="BY267" s="234"/>
      <c r="BZ267" s="234"/>
      <c r="CA267" s="234"/>
      <c r="CB267" s="234"/>
      <c r="CC267" s="234"/>
      <c r="CD267" s="234"/>
      <c r="CE267" s="234"/>
      <c r="CF267" s="234"/>
      <c r="CG267" s="234"/>
      <c r="CH267" s="234"/>
      <c r="CI267" s="234"/>
      <c r="CJ267" s="234"/>
      <c r="CK267" s="234"/>
      <c r="CL267" s="234"/>
      <c r="CM267" s="234"/>
      <c r="CN267" s="234"/>
      <c r="CO267" s="234"/>
      <c r="CP267" s="234"/>
      <c r="CQ267" s="234"/>
      <c r="CR267" s="234"/>
      <c r="CS267" s="234"/>
      <c r="CT267" s="234"/>
      <c r="CU267" s="234"/>
      <c r="CV267" s="234"/>
      <c r="CW267" s="234"/>
      <c r="CX267" s="234"/>
      <c r="CY267" s="234"/>
      <c r="CZ267" s="234"/>
      <c r="DA267" s="234"/>
      <c r="DB267" s="234"/>
      <c r="DC267" s="234"/>
      <c r="DD267" s="234"/>
      <c r="DE267" s="234"/>
      <c r="DF267" s="234"/>
      <c r="DG267" s="234"/>
      <c r="DH267" s="234"/>
      <c r="DI267" s="234"/>
      <c r="DJ267" s="234"/>
      <c r="DK267" s="234"/>
      <c r="DL267" s="234"/>
      <c r="DM267" s="234"/>
      <c r="DN267" s="234"/>
      <c r="DO267" s="234"/>
      <c r="DP267" s="234"/>
      <c r="DQ267" s="234"/>
      <c r="DR267" s="234"/>
      <c r="DS267" s="234"/>
      <c r="DT267" s="234"/>
    </row>
    <row r="268" spans="8:124" s="231" customFormat="1" x14ac:dyDescent="0.25">
      <c r="H268" s="232"/>
      <c r="K268" s="232"/>
      <c r="N268" s="232"/>
      <c r="W268" s="232"/>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4"/>
      <c r="AZ268" s="234"/>
      <c r="BA268" s="234"/>
      <c r="BB268" s="234"/>
      <c r="BC268" s="234"/>
      <c r="BD268" s="234"/>
      <c r="BE268" s="234"/>
      <c r="BF268" s="234"/>
      <c r="BG268" s="234"/>
      <c r="BH268" s="234"/>
      <c r="BI268" s="234"/>
      <c r="BJ268" s="234"/>
      <c r="BK268" s="234"/>
      <c r="BL268" s="234"/>
      <c r="BM268" s="234"/>
      <c r="BN268" s="234"/>
      <c r="BO268" s="234"/>
      <c r="BP268" s="234"/>
      <c r="BQ268" s="234"/>
      <c r="BR268" s="234"/>
      <c r="BS268" s="234"/>
      <c r="BT268" s="234"/>
      <c r="BU268" s="234"/>
      <c r="BV268" s="234"/>
      <c r="BW268" s="234"/>
      <c r="BX268" s="234"/>
      <c r="BY268" s="234"/>
      <c r="BZ268" s="234"/>
      <c r="CA268" s="234"/>
      <c r="CB268" s="234"/>
      <c r="CC268" s="234"/>
      <c r="CD268" s="234"/>
      <c r="CE268" s="234"/>
      <c r="CF268" s="234"/>
      <c r="CG268" s="234"/>
      <c r="CH268" s="234"/>
      <c r="CI268" s="234"/>
      <c r="CJ268" s="234"/>
      <c r="CK268" s="234"/>
      <c r="CL268" s="234"/>
      <c r="CM268" s="234"/>
      <c r="CN268" s="234"/>
      <c r="CO268" s="234"/>
      <c r="CP268" s="234"/>
      <c r="CQ268" s="234"/>
      <c r="CR268" s="234"/>
      <c r="CS268" s="234"/>
      <c r="CT268" s="234"/>
      <c r="CU268" s="234"/>
      <c r="CV268" s="234"/>
      <c r="CW268" s="234"/>
      <c r="CX268" s="234"/>
      <c r="CY268" s="234"/>
      <c r="CZ268" s="234"/>
      <c r="DA268" s="234"/>
      <c r="DB268" s="234"/>
      <c r="DC268" s="234"/>
      <c r="DD268" s="234"/>
      <c r="DE268" s="234"/>
      <c r="DF268" s="234"/>
      <c r="DG268" s="234"/>
      <c r="DH268" s="234"/>
      <c r="DI268" s="234"/>
      <c r="DJ268" s="234"/>
      <c r="DK268" s="234"/>
      <c r="DL268" s="234"/>
      <c r="DM268" s="234"/>
      <c r="DN268" s="234"/>
      <c r="DO268" s="234"/>
      <c r="DP268" s="234"/>
      <c r="DQ268" s="234"/>
      <c r="DR268" s="234"/>
      <c r="DS268" s="234"/>
      <c r="DT268" s="234"/>
    </row>
    <row r="269" spans="8:124" s="231" customFormat="1" x14ac:dyDescent="0.25">
      <c r="H269" s="232"/>
      <c r="K269" s="232"/>
      <c r="N269" s="232"/>
      <c r="W269" s="232"/>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4"/>
      <c r="AZ269" s="234"/>
      <c r="BA269" s="234"/>
      <c r="BB269" s="234"/>
      <c r="BC269" s="234"/>
      <c r="BD269" s="234"/>
      <c r="BE269" s="234"/>
      <c r="BF269" s="234"/>
      <c r="BG269" s="234"/>
      <c r="BH269" s="234"/>
      <c r="BI269" s="234"/>
      <c r="BJ269" s="234"/>
      <c r="BK269" s="234"/>
      <c r="BL269" s="234"/>
      <c r="BM269" s="234"/>
      <c r="BN269" s="234"/>
      <c r="BO269" s="234"/>
      <c r="BP269" s="234"/>
      <c r="BQ269" s="234"/>
      <c r="BR269" s="234"/>
      <c r="BS269" s="234"/>
      <c r="BT269" s="234"/>
      <c r="BU269" s="234"/>
      <c r="BV269" s="234"/>
      <c r="BW269" s="234"/>
      <c r="BX269" s="234"/>
      <c r="BY269" s="234"/>
      <c r="BZ269" s="234"/>
      <c r="CA269" s="234"/>
      <c r="CB269" s="234"/>
      <c r="CC269" s="234"/>
      <c r="CD269" s="234"/>
      <c r="CE269" s="234"/>
      <c r="CF269" s="234"/>
      <c r="CG269" s="234"/>
      <c r="CH269" s="234"/>
      <c r="CI269" s="234"/>
      <c r="CJ269" s="234"/>
      <c r="CK269" s="234"/>
      <c r="CL269" s="234"/>
      <c r="CM269" s="234"/>
      <c r="CN269" s="234"/>
      <c r="CO269" s="234"/>
      <c r="CP269" s="234"/>
      <c r="CQ269" s="234"/>
      <c r="CR269" s="234"/>
      <c r="CS269" s="234"/>
      <c r="CT269" s="234"/>
      <c r="CU269" s="234"/>
      <c r="CV269" s="234"/>
      <c r="CW269" s="234"/>
      <c r="CX269" s="234"/>
      <c r="CY269" s="234"/>
      <c r="CZ269" s="234"/>
      <c r="DA269" s="234"/>
      <c r="DB269" s="234"/>
      <c r="DC269" s="234"/>
      <c r="DD269" s="234"/>
      <c r="DE269" s="234"/>
      <c r="DF269" s="234"/>
      <c r="DG269" s="234"/>
      <c r="DH269" s="234"/>
      <c r="DI269" s="234"/>
      <c r="DJ269" s="234"/>
      <c r="DK269" s="234"/>
      <c r="DL269" s="234"/>
      <c r="DM269" s="234"/>
      <c r="DN269" s="234"/>
      <c r="DO269" s="234"/>
      <c r="DP269" s="234"/>
      <c r="DQ269" s="234"/>
      <c r="DR269" s="234"/>
      <c r="DS269" s="234"/>
      <c r="DT269" s="234"/>
    </row>
    <row r="270" spans="8:124" s="231" customFormat="1" x14ac:dyDescent="0.25">
      <c r="H270" s="232"/>
      <c r="K270" s="232"/>
      <c r="N270" s="232"/>
      <c r="W270" s="232"/>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4"/>
      <c r="AZ270" s="234"/>
      <c r="BA270" s="234"/>
      <c r="BB270" s="234"/>
      <c r="BC270" s="234"/>
      <c r="BD270" s="234"/>
      <c r="BE270" s="234"/>
      <c r="BF270" s="234"/>
      <c r="BG270" s="234"/>
      <c r="BH270" s="234"/>
      <c r="BI270" s="234"/>
      <c r="BJ270" s="234"/>
      <c r="BK270" s="234"/>
      <c r="BL270" s="234"/>
      <c r="BM270" s="234"/>
      <c r="BN270" s="234"/>
      <c r="BO270" s="234"/>
      <c r="BP270" s="234"/>
      <c r="BQ270" s="234"/>
      <c r="BR270" s="234"/>
      <c r="BS270" s="234"/>
      <c r="BT270" s="234"/>
      <c r="BU270" s="234"/>
      <c r="BV270" s="234"/>
      <c r="BW270" s="234"/>
      <c r="BX270" s="234"/>
      <c r="BY270" s="234"/>
      <c r="BZ270" s="234"/>
      <c r="CA270" s="234"/>
      <c r="CB270" s="234"/>
      <c r="CC270" s="234"/>
      <c r="CD270" s="234"/>
      <c r="CE270" s="234"/>
      <c r="CF270" s="234"/>
      <c r="CG270" s="234"/>
      <c r="CH270" s="234"/>
      <c r="CI270" s="234"/>
      <c r="CJ270" s="234"/>
      <c r="CK270" s="234"/>
      <c r="CL270" s="234"/>
      <c r="CM270" s="234"/>
      <c r="CN270" s="234"/>
      <c r="CO270" s="234"/>
      <c r="CP270" s="234"/>
      <c r="CQ270" s="234"/>
      <c r="CR270" s="234"/>
      <c r="CS270" s="234"/>
      <c r="CT270" s="234"/>
      <c r="CU270" s="234"/>
      <c r="CV270" s="234"/>
      <c r="CW270" s="234"/>
      <c r="CX270" s="234"/>
      <c r="CY270" s="234"/>
      <c r="CZ270" s="234"/>
      <c r="DA270" s="234"/>
      <c r="DB270" s="234"/>
      <c r="DC270" s="234"/>
      <c r="DD270" s="234"/>
      <c r="DE270" s="234"/>
      <c r="DF270" s="234"/>
      <c r="DG270" s="234"/>
      <c r="DH270" s="234"/>
      <c r="DI270" s="234"/>
      <c r="DJ270" s="234"/>
      <c r="DK270" s="234"/>
      <c r="DL270" s="234"/>
      <c r="DM270" s="234"/>
      <c r="DN270" s="234"/>
      <c r="DO270" s="234"/>
      <c r="DP270" s="234"/>
      <c r="DQ270" s="234"/>
      <c r="DR270" s="234"/>
      <c r="DS270" s="234"/>
      <c r="DT270" s="234"/>
    </row>
    <row r="271" spans="8:124" s="231" customFormat="1" x14ac:dyDescent="0.25">
      <c r="H271" s="232"/>
      <c r="K271" s="232"/>
      <c r="N271" s="232"/>
      <c r="W271" s="232"/>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4"/>
      <c r="AZ271" s="234"/>
      <c r="BA271" s="234"/>
      <c r="BB271" s="234"/>
      <c r="BC271" s="234"/>
      <c r="BD271" s="234"/>
      <c r="BE271" s="234"/>
      <c r="BF271" s="234"/>
      <c r="BG271" s="234"/>
      <c r="BH271" s="234"/>
      <c r="BI271" s="234"/>
      <c r="BJ271" s="234"/>
      <c r="BK271" s="234"/>
      <c r="BL271" s="234"/>
      <c r="BM271" s="234"/>
      <c r="BN271" s="234"/>
      <c r="BO271" s="234"/>
      <c r="BP271" s="234"/>
      <c r="BQ271" s="234"/>
      <c r="BR271" s="234"/>
      <c r="BS271" s="234"/>
      <c r="BT271" s="234"/>
      <c r="BU271" s="234"/>
      <c r="BV271" s="234"/>
      <c r="BW271" s="234"/>
      <c r="BX271" s="234"/>
      <c r="BY271" s="234"/>
      <c r="BZ271" s="234"/>
      <c r="CA271" s="234"/>
      <c r="CB271" s="234"/>
      <c r="CC271" s="234"/>
      <c r="CD271" s="234"/>
      <c r="CE271" s="234"/>
      <c r="CF271" s="234"/>
      <c r="CG271" s="234"/>
      <c r="CH271" s="234"/>
      <c r="CI271" s="234"/>
      <c r="CJ271" s="234"/>
      <c r="CK271" s="234"/>
      <c r="CL271" s="234"/>
      <c r="CM271" s="234"/>
      <c r="CN271" s="234"/>
      <c r="CO271" s="234"/>
      <c r="CP271" s="234"/>
      <c r="CQ271" s="234"/>
      <c r="CR271" s="234"/>
      <c r="CS271" s="234"/>
      <c r="CT271" s="234"/>
      <c r="CU271" s="234"/>
      <c r="CV271" s="234"/>
      <c r="CW271" s="234"/>
      <c r="CX271" s="234"/>
      <c r="CY271" s="234"/>
      <c r="CZ271" s="234"/>
      <c r="DA271" s="234"/>
      <c r="DB271" s="234"/>
      <c r="DC271" s="234"/>
      <c r="DD271" s="234"/>
      <c r="DE271" s="234"/>
      <c r="DF271" s="234"/>
      <c r="DG271" s="234"/>
      <c r="DH271" s="234"/>
      <c r="DI271" s="234"/>
      <c r="DJ271" s="234"/>
      <c r="DK271" s="234"/>
      <c r="DL271" s="234"/>
      <c r="DM271" s="234"/>
      <c r="DN271" s="234"/>
      <c r="DO271" s="234"/>
      <c r="DP271" s="234"/>
      <c r="DQ271" s="234"/>
      <c r="DR271" s="234"/>
      <c r="DS271" s="234"/>
      <c r="DT271" s="234"/>
    </row>
    <row r="272" spans="8:124" s="231" customFormat="1" x14ac:dyDescent="0.25">
      <c r="H272" s="232"/>
      <c r="K272" s="232"/>
      <c r="N272" s="232"/>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4"/>
      <c r="AZ272" s="234"/>
      <c r="BA272" s="234"/>
      <c r="BB272" s="234"/>
      <c r="BC272" s="234"/>
      <c r="BD272" s="234"/>
      <c r="BE272" s="234"/>
      <c r="BF272" s="234"/>
      <c r="BG272" s="234"/>
      <c r="BH272" s="234"/>
      <c r="BI272" s="234"/>
      <c r="BJ272" s="234"/>
      <c r="BK272" s="234"/>
      <c r="BL272" s="234"/>
      <c r="BM272" s="234"/>
      <c r="BN272" s="234"/>
      <c r="BO272" s="234"/>
      <c r="BP272" s="234"/>
      <c r="BQ272" s="234"/>
      <c r="BR272" s="234"/>
      <c r="BS272" s="234"/>
      <c r="BT272" s="234"/>
      <c r="BU272" s="234"/>
      <c r="BV272" s="234"/>
      <c r="BW272" s="234"/>
      <c r="BX272" s="234"/>
      <c r="BY272" s="234"/>
      <c r="BZ272" s="234"/>
      <c r="CA272" s="234"/>
      <c r="CB272" s="234"/>
      <c r="CC272" s="234"/>
      <c r="CD272" s="234"/>
      <c r="CE272" s="234"/>
      <c r="CF272" s="234"/>
      <c r="CG272" s="234"/>
      <c r="CH272" s="234"/>
      <c r="CI272" s="234"/>
      <c r="CJ272" s="234"/>
      <c r="CK272" s="234"/>
      <c r="CL272" s="234"/>
      <c r="CM272" s="234"/>
      <c r="CN272" s="234"/>
      <c r="CO272" s="234"/>
      <c r="CP272" s="234"/>
      <c r="CQ272" s="234"/>
      <c r="CR272" s="234"/>
      <c r="CS272" s="234"/>
      <c r="CT272" s="234"/>
      <c r="CU272" s="234"/>
      <c r="CV272" s="234"/>
      <c r="CW272" s="234"/>
      <c r="CX272" s="234"/>
      <c r="CY272" s="234"/>
      <c r="CZ272" s="234"/>
      <c r="DA272" s="234"/>
      <c r="DB272" s="234"/>
      <c r="DC272" s="234"/>
      <c r="DD272" s="234"/>
      <c r="DE272" s="234"/>
      <c r="DF272" s="234"/>
      <c r="DG272" s="234"/>
      <c r="DH272" s="234"/>
      <c r="DI272" s="234"/>
      <c r="DJ272" s="234"/>
      <c r="DK272" s="234"/>
      <c r="DL272" s="234"/>
      <c r="DM272" s="234"/>
      <c r="DN272" s="234"/>
      <c r="DO272" s="234"/>
      <c r="DP272" s="234"/>
      <c r="DQ272" s="234"/>
      <c r="DR272" s="234"/>
      <c r="DS272" s="234"/>
      <c r="DT272" s="234"/>
    </row>
    <row r="273" spans="1:156" s="231" customFormat="1" x14ac:dyDescent="0.25">
      <c r="H273" s="232"/>
      <c r="K273" s="232"/>
      <c r="N273" s="232"/>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4"/>
      <c r="AZ273" s="234"/>
      <c r="BA273" s="234"/>
      <c r="BB273" s="234"/>
      <c r="BC273" s="234"/>
      <c r="BD273" s="234"/>
      <c r="BE273" s="234"/>
      <c r="BF273" s="234"/>
      <c r="BG273" s="234"/>
      <c r="BH273" s="234"/>
      <c r="BI273" s="234"/>
      <c r="BJ273" s="234"/>
      <c r="BK273" s="234"/>
      <c r="BL273" s="234"/>
      <c r="BM273" s="234"/>
      <c r="BN273" s="234"/>
      <c r="BO273" s="234"/>
      <c r="BP273" s="234"/>
      <c r="BQ273" s="234"/>
      <c r="BR273" s="234"/>
      <c r="BS273" s="234"/>
      <c r="BT273" s="234"/>
      <c r="BU273" s="234"/>
      <c r="BV273" s="234"/>
      <c r="BW273" s="234"/>
      <c r="BX273" s="234"/>
      <c r="BY273" s="234"/>
      <c r="BZ273" s="234"/>
      <c r="CA273" s="234"/>
      <c r="CB273" s="234"/>
      <c r="CC273" s="234"/>
      <c r="CD273" s="234"/>
      <c r="CE273" s="234"/>
      <c r="CF273" s="234"/>
      <c r="CG273" s="234"/>
      <c r="CH273" s="234"/>
      <c r="CI273" s="234"/>
      <c r="CJ273" s="234"/>
      <c r="CK273" s="234"/>
      <c r="CL273" s="234"/>
      <c r="CM273" s="234"/>
      <c r="CN273" s="234"/>
      <c r="CO273" s="234"/>
      <c r="CP273" s="234"/>
      <c r="CQ273" s="234"/>
      <c r="CR273" s="234"/>
      <c r="CS273" s="234"/>
      <c r="CT273" s="234"/>
      <c r="CU273" s="234"/>
      <c r="CV273" s="234"/>
      <c r="CW273" s="234"/>
      <c r="CX273" s="234"/>
      <c r="CY273" s="234"/>
      <c r="CZ273" s="234"/>
      <c r="DA273" s="234"/>
      <c r="DB273" s="234"/>
      <c r="DC273" s="234"/>
      <c r="DD273" s="234"/>
      <c r="DE273" s="234"/>
      <c r="DF273" s="234"/>
      <c r="DG273" s="234"/>
      <c r="DH273" s="234"/>
      <c r="DI273" s="234"/>
      <c r="DJ273" s="234"/>
      <c r="DK273" s="234"/>
      <c r="DL273" s="234"/>
      <c r="DM273" s="234"/>
      <c r="DN273" s="234"/>
      <c r="DO273" s="234"/>
      <c r="DP273" s="234"/>
      <c r="DQ273" s="234"/>
      <c r="DR273" s="234"/>
      <c r="DS273" s="234"/>
      <c r="DT273" s="234"/>
    </row>
    <row r="274" spans="1:156" s="231" customFormat="1" x14ac:dyDescent="0.25">
      <c r="H274" s="232"/>
      <c r="K274" s="232"/>
      <c r="N274" s="232"/>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4"/>
      <c r="AZ274" s="234"/>
      <c r="BA274" s="234"/>
      <c r="BB274" s="234"/>
      <c r="BC274" s="234"/>
      <c r="BD274" s="234"/>
      <c r="BE274" s="234"/>
      <c r="BF274" s="234"/>
      <c r="BG274" s="234"/>
      <c r="BH274" s="234"/>
      <c r="BI274" s="234"/>
      <c r="BJ274" s="234"/>
      <c r="BK274" s="234"/>
      <c r="BL274" s="234"/>
      <c r="BM274" s="234"/>
      <c r="BN274" s="234"/>
      <c r="BO274" s="234"/>
      <c r="BP274" s="234"/>
      <c r="BQ274" s="234"/>
      <c r="BR274" s="234"/>
      <c r="BS274" s="234"/>
      <c r="BT274" s="234"/>
      <c r="BU274" s="234"/>
      <c r="BV274" s="234"/>
      <c r="BW274" s="234"/>
      <c r="BX274" s="234"/>
      <c r="BY274" s="234"/>
      <c r="BZ274" s="234"/>
      <c r="CA274" s="234"/>
      <c r="CB274" s="234"/>
      <c r="CC274" s="234"/>
      <c r="CD274" s="234"/>
      <c r="CE274" s="234"/>
      <c r="CF274" s="234"/>
      <c r="CG274" s="234"/>
      <c r="CH274" s="234"/>
      <c r="CI274" s="234"/>
      <c r="CJ274" s="234"/>
      <c r="CK274" s="234"/>
      <c r="CL274" s="234"/>
      <c r="CM274" s="234"/>
      <c r="CN274" s="234"/>
      <c r="CO274" s="234"/>
      <c r="CP274" s="234"/>
      <c r="CQ274" s="234"/>
      <c r="CR274" s="234"/>
      <c r="CS274" s="234"/>
      <c r="CT274" s="234"/>
      <c r="CU274" s="234"/>
      <c r="CV274" s="234"/>
      <c r="CW274" s="234"/>
      <c r="CX274" s="234"/>
      <c r="CY274" s="234"/>
      <c r="CZ274" s="234"/>
      <c r="DA274" s="234"/>
      <c r="DB274" s="234"/>
      <c r="DC274" s="234"/>
      <c r="DD274" s="234"/>
      <c r="DE274" s="234"/>
      <c r="DF274" s="234"/>
      <c r="DG274" s="234"/>
      <c r="DH274" s="234"/>
      <c r="DI274" s="234"/>
      <c r="DJ274" s="234"/>
      <c r="DK274" s="234"/>
      <c r="DL274" s="234"/>
      <c r="DM274" s="234"/>
      <c r="DN274" s="234"/>
      <c r="DO274" s="234"/>
      <c r="DP274" s="234"/>
      <c r="DQ274" s="234"/>
      <c r="DR274" s="234"/>
      <c r="DS274" s="234"/>
      <c r="DT274" s="234"/>
    </row>
    <row r="275" spans="1:156" s="231" customFormat="1" x14ac:dyDescent="0.25">
      <c r="H275" s="232"/>
      <c r="K275" s="232"/>
      <c r="N275" s="232"/>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4"/>
      <c r="AZ275" s="234"/>
      <c r="BA275" s="234"/>
      <c r="BB275" s="234"/>
      <c r="BC275" s="234"/>
      <c r="BD275" s="234"/>
      <c r="BE275" s="234"/>
      <c r="BF275" s="234"/>
      <c r="BG275" s="234"/>
      <c r="BH275" s="234"/>
      <c r="BI275" s="234"/>
      <c r="BJ275" s="234"/>
      <c r="BK275" s="234"/>
      <c r="BL275" s="234"/>
      <c r="BM275" s="234"/>
      <c r="BN275" s="234"/>
      <c r="BO275" s="234"/>
      <c r="BP275" s="234"/>
      <c r="BQ275" s="234"/>
      <c r="BR275" s="234"/>
      <c r="BS275" s="234"/>
      <c r="BT275" s="234"/>
      <c r="BU275" s="234"/>
      <c r="BV275" s="234"/>
      <c r="BW275" s="234"/>
      <c r="BX275" s="234"/>
      <c r="BY275" s="234"/>
      <c r="BZ275" s="234"/>
      <c r="CA275" s="234"/>
      <c r="CB275" s="234"/>
      <c r="CC275" s="234"/>
      <c r="CD275" s="234"/>
      <c r="CE275" s="234"/>
      <c r="CF275" s="234"/>
      <c r="CG275" s="234"/>
      <c r="CH275" s="234"/>
      <c r="CI275" s="234"/>
      <c r="CJ275" s="234"/>
      <c r="CK275" s="234"/>
      <c r="CL275" s="234"/>
      <c r="CM275" s="234"/>
      <c r="CN275" s="234"/>
      <c r="CO275" s="234"/>
      <c r="CP275" s="234"/>
      <c r="CQ275" s="234"/>
      <c r="CR275" s="234"/>
      <c r="CS275" s="234"/>
      <c r="CT275" s="234"/>
      <c r="CU275" s="234"/>
      <c r="CV275" s="234"/>
      <c r="CW275" s="234"/>
      <c r="CX275" s="234"/>
      <c r="CY275" s="234"/>
      <c r="CZ275" s="234"/>
      <c r="DA275" s="234"/>
      <c r="DB275" s="234"/>
      <c r="DC275" s="234"/>
      <c r="DD275" s="234"/>
      <c r="DE275" s="234"/>
      <c r="DF275" s="234"/>
      <c r="DG275" s="234"/>
      <c r="DH275" s="234"/>
      <c r="DI275" s="234"/>
      <c r="DJ275" s="234"/>
      <c r="DK275" s="234"/>
      <c r="DL275" s="234"/>
      <c r="DM275" s="234"/>
      <c r="DN275" s="234"/>
      <c r="DO275" s="234"/>
      <c r="DP275" s="234"/>
      <c r="DQ275" s="234"/>
      <c r="DR275" s="234"/>
      <c r="DS275" s="234"/>
      <c r="DT275" s="234"/>
    </row>
    <row r="276" spans="1:156" s="231" customFormat="1" x14ac:dyDescent="0.25">
      <c r="H276" s="232"/>
      <c r="K276" s="232"/>
      <c r="N276" s="232"/>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4"/>
      <c r="AZ276" s="234"/>
      <c r="BA276" s="234"/>
      <c r="BB276" s="234"/>
      <c r="BC276" s="234"/>
      <c r="BD276" s="234"/>
      <c r="BE276" s="234"/>
      <c r="BF276" s="234"/>
      <c r="BG276" s="234"/>
      <c r="BH276" s="234"/>
      <c r="BI276" s="234"/>
      <c r="BJ276" s="234"/>
      <c r="BK276" s="234"/>
      <c r="BL276" s="234"/>
      <c r="BM276" s="234"/>
      <c r="BN276" s="234"/>
      <c r="BO276" s="234"/>
      <c r="BP276" s="234"/>
      <c r="BQ276" s="234"/>
      <c r="BR276" s="234"/>
      <c r="BS276" s="234"/>
      <c r="BT276" s="234"/>
      <c r="BU276" s="234"/>
      <c r="BV276" s="234"/>
      <c r="BW276" s="234"/>
      <c r="BX276" s="234"/>
      <c r="BY276" s="234"/>
      <c r="BZ276" s="234"/>
      <c r="CA276" s="234"/>
      <c r="CB276" s="234"/>
      <c r="CC276" s="234"/>
      <c r="CD276" s="234"/>
      <c r="CE276" s="234"/>
      <c r="CF276" s="234"/>
      <c r="CG276" s="234"/>
      <c r="CH276" s="234"/>
      <c r="CI276" s="234"/>
      <c r="CJ276" s="234"/>
      <c r="CK276" s="234"/>
      <c r="CL276" s="234"/>
      <c r="CM276" s="234"/>
      <c r="CN276" s="234"/>
      <c r="CO276" s="234"/>
      <c r="CP276" s="234"/>
      <c r="CQ276" s="234"/>
      <c r="CR276" s="234"/>
      <c r="CS276" s="234"/>
      <c r="CT276" s="234"/>
      <c r="CU276" s="234"/>
      <c r="CV276" s="234"/>
      <c r="CW276" s="234"/>
      <c r="CX276" s="234"/>
      <c r="CY276" s="234"/>
      <c r="CZ276" s="234"/>
      <c r="DA276" s="234"/>
      <c r="DB276" s="234"/>
      <c r="DC276" s="234"/>
      <c r="DD276" s="234"/>
      <c r="DE276" s="234"/>
      <c r="DF276" s="234"/>
      <c r="DG276" s="234"/>
      <c r="DH276" s="234"/>
      <c r="DI276" s="234"/>
      <c r="DJ276" s="234"/>
      <c r="DK276" s="234"/>
      <c r="DL276" s="234"/>
      <c r="DM276" s="234"/>
      <c r="DN276" s="234"/>
      <c r="DO276" s="234"/>
      <c r="DP276" s="234"/>
      <c r="DQ276" s="234"/>
      <c r="DR276" s="234"/>
      <c r="DS276" s="234"/>
      <c r="DT276" s="234"/>
    </row>
    <row r="277" spans="1:156" s="231" customFormat="1" x14ac:dyDescent="0.25">
      <c r="H277" s="232"/>
      <c r="K277" s="232"/>
      <c r="N277" s="232"/>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4"/>
      <c r="AZ277" s="234"/>
      <c r="BA277" s="234"/>
      <c r="BB277" s="234"/>
      <c r="BC277" s="234"/>
      <c r="BD277" s="234"/>
      <c r="BE277" s="234"/>
      <c r="BF277" s="234"/>
      <c r="BG277" s="234"/>
      <c r="BH277" s="234"/>
      <c r="BI277" s="234"/>
      <c r="BJ277" s="234"/>
      <c r="BK277" s="234"/>
      <c r="BL277" s="234"/>
      <c r="BM277" s="234"/>
      <c r="BN277" s="234"/>
      <c r="BO277" s="234"/>
      <c r="BP277" s="234"/>
      <c r="BQ277" s="234"/>
      <c r="BR277" s="234"/>
      <c r="BS277" s="234"/>
      <c r="BT277" s="234"/>
      <c r="BU277" s="234"/>
      <c r="BV277" s="234"/>
      <c r="BW277" s="234"/>
      <c r="BX277" s="234"/>
      <c r="BY277" s="234"/>
      <c r="BZ277" s="234"/>
      <c r="CA277" s="234"/>
      <c r="CB277" s="234"/>
      <c r="CC277" s="234"/>
      <c r="CD277" s="234"/>
      <c r="CE277" s="234"/>
      <c r="CF277" s="234"/>
      <c r="CG277" s="234"/>
      <c r="CH277" s="234"/>
      <c r="CI277" s="234"/>
      <c r="CJ277" s="234"/>
      <c r="CK277" s="234"/>
      <c r="CL277" s="234"/>
      <c r="CM277" s="234"/>
      <c r="CN277" s="234"/>
      <c r="CO277" s="234"/>
      <c r="CP277" s="234"/>
      <c r="CQ277" s="234"/>
      <c r="CR277" s="234"/>
      <c r="CS277" s="234"/>
      <c r="CT277" s="234"/>
      <c r="CU277" s="234"/>
      <c r="CV277" s="234"/>
      <c r="CW277" s="234"/>
      <c r="CX277" s="234"/>
      <c r="CY277" s="234"/>
      <c r="CZ277" s="234"/>
      <c r="DA277" s="234"/>
      <c r="DB277" s="234"/>
      <c r="DC277" s="234"/>
      <c r="DD277" s="234"/>
      <c r="DE277" s="234"/>
      <c r="DF277" s="234"/>
      <c r="DG277" s="234"/>
      <c r="DH277" s="234"/>
      <c r="DI277" s="234"/>
      <c r="DJ277" s="234"/>
      <c r="DK277" s="234"/>
      <c r="DL277" s="234"/>
      <c r="DM277" s="234"/>
      <c r="DN277" s="234"/>
      <c r="DO277" s="234"/>
      <c r="DP277" s="234"/>
      <c r="DQ277" s="234"/>
      <c r="DR277" s="234"/>
      <c r="DS277" s="234"/>
      <c r="DT277" s="234"/>
    </row>
    <row r="278" spans="1:156" s="231" customFormat="1" x14ac:dyDescent="0.25">
      <c r="H278" s="232"/>
      <c r="K278" s="232"/>
      <c r="N278" s="232"/>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4"/>
      <c r="AZ278" s="234"/>
      <c r="BA278" s="234"/>
      <c r="BB278" s="234"/>
      <c r="BC278" s="234"/>
      <c r="BD278" s="234"/>
      <c r="BE278" s="234"/>
      <c r="BF278" s="234"/>
      <c r="BG278" s="234"/>
      <c r="BH278" s="234"/>
      <c r="BI278" s="234"/>
      <c r="BJ278" s="234"/>
      <c r="BK278" s="234"/>
      <c r="BL278" s="234"/>
      <c r="BM278" s="234"/>
      <c r="BN278" s="234"/>
      <c r="BO278" s="234"/>
      <c r="BP278" s="234"/>
      <c r="BQ278" s="234"/>
      <c r="BR278" s="234"/>
      <c r="BS278" s="234"/>
      <c r="BT278" s="234"/>
      <c r="BU278" s="234"/>
      <c r="BV278" s="234"/>
      <c r="BW278" s="234"/>
      <c r="BX278" s="234"/>
      <c r="BY278" s="234"/>
      <c r="BZ278" s="234"/>
      <c r="CA278" s="234"/>
      <c r="CB278" s="234"/>
      <c r="CC278" s="234"/>
      <c r="CD278" s="234"/>
      <c r="CE278" s="234"/>
      <c r="CF278" s="234"/>
      <c r="CG278" s="234"/>
      <c r="CH278" s="234"/>
      <c r="CI278" s="234"/>
      <c r="CJ278" s="234"/>
      <c r="CK278" s="234"/>
      <c r="CL278" s="234"/>
      <c r="CM278" s="234"/>
      <c r="CN278" s="234"/>
      <c r="CO278" s="234"/>
      <c r="CP278" s="234"/>
      <c r="CQ278" s="234"/>
      <c r="CR278" s="234"/>
      <c r="CS278" s="234"/>
      <c r="CT278" s="234"/>
      <c r="CU278" s="234"/>
      <c r="CV278" s="234"/>
      <c r="CW278" s="234"/>
      <c r="CX278" s="234"/>
      <c r="CY278" s="234"/>
      <c r="CZ278" s="234"/>
      <c r="DA278" s="234"/>
      <c r="DB278" s="234"/>
      <c r="DC278" s="234"/>
      <c r="DD278" s="234"/>
      <c r="DE278" s="234"/>
      <c r="DF278" s="234"/>
      <c r="DG278" s="234"/>
      <c r="DH278" s="234"/>
      <c r="DI278" s="234"/>
      <c r="DJ278" s="234"/>
      <c r="DK278" s="234"/>
      <c r="DL278" s="234"/>
      <c r="DM278" s="234"/>
      <c r="DN278" s="234"/>
      <c r="DO278" s="234"/>
      <c r="DP278" s="234"/>
      <c r="DQ278" s="234"/>
      <c r="DR278" s="234"/>
      <c r="DS278" s="234"/>
      <c r="DT278" s="234"/>
    </row>
    <row r="279" spans="1:156" s="231" customFormat="1" x14ac:dyDescent="0.25">
      <c r="H279" s="232"/>
      <c r="K279" s="232"/>
      <c r="N279" s="232"/>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4"/>
      <c r="AZ279" s="234"/>
      <c r="BA279" s="234"/>
      <c r="BB279" s="234"/>
      <c r="BC279" s="234"/>
      <c r="BD279" s="234"/>
      <c r="BE279" s="234"/>
      <c r="BF279" s="234"/>
      <c r="BG279" s="234"/>
      <c r="BH279" s="234"/>
      <c r="BI279" s="234"/>
      <c r="BJ279" s="234"/>
      <c r="BK279" s="234"/>
      <c r="BL279" s="234"/>
      <c r="BM279" s="234"/>
      <c r="BN279" s="234"/>
      <c r="BO279" s="234"/>
      <c r="BP279" s="234"/>
      <c r="BQ279" s="234"/>
      <c r="BR279" s="234"/>
      <c r="BS279" s="234"/>
      <c r="BT279" s="234"/>
      <c r="BU279" s="234"/>
      <c r="BV279" s="234"/>
      <c r="BW279" s="234"/>
      <c r="BX279" s="234"/>
      <c r="BY279" s="234"/>
      <c r="BZ279" s="234"/>
      <c r="CA279" s="234"/>
      <c r="CB279" s="234"/>
      <c r="CC279" s="234"/>
      <c r="CD279" s="234"/>
      <c r="CE279" s="234"/>
      <c r="CF279" s="234"/>
      <c r="CG279" s="234"/>
      <c r="CH279" s="234"/>
      <c r="CI279" s="234"/>
      <c r="CJ279" s="234"/>
      <c r="CK279" s="234"/>
      <c r="CL279" s="234"/>
      <c r="CM279" s="234"/>
      <c r="CN279" s="234"/>
      <c r="CO279" s="234"/>
      <c r="CP279" s="234"/>
      <c r="CQ279" s="234"/>
      <c r="CR279" s="234"/>
      <c r="CS279" s="234"/>
      <c r="CT279" s="234"/>
      <c r="CU279" s="234"/>
      <c r="CV279" s="234"/>
      <c r="CW279" s="234"/>
      <c r="CX279" s="234"/>
      <c r="CY279" s="234"/>
      <c r="CZ279" s="234"/>
      <c r="DA279" s="234"/>
      <c r="DB279" s="234"/>
      <c r="DC279" s="234"/>
      <c r="DD279" s="234"/>
      <c r="DE279" s="234"/>
      <c r="DF279" s="234"/>
      <c r="DG279" s="234"/>
      <c r="DH279" s="234"/>
      <c r="DI279" s="234"/>
      <c r="DJ279" s="234"/>
      <c r="DK279" s="234"/>
      <c r="DL279" s="234"/>
      <c r="DM279" s="234"/>
      <c r="DN279" s="234"/>
      <c r="DO279" s="234"/>
      <c r="DP279" s="234"/>
      <c r="DQ279" s="234"/>
      <c r="DR279" s="234"/>
      <c r="DS279" s="234"/>
      <c r="DT279" s="234"/>
    </row>
    <row r="280" spans="1:156" s="231" customFormat="1" x14ac:dyDescent="0.25">
      <c r="H280" s="232"/>
      <c r="K280" s="232"/>
      <c r="N280" s="232"/>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4"/>
      <c r="AZ280" s="234"/>
      <c r="BA280" s="234"/>
      <c r="BB280" s="234"/>
      <c r="BC280" s="234"/>
      <c r="BD280" s="234"/>
      <c r="BE280" s="234"/>
      <c r="BF280" s="234"/>
      <c r="BG280" s="234"/>
      <c r="BH280" s="234"/>
      <c r="BI280" s="234"/>
      <c r="BJ280" s="234"/>
      <c r="BK280" s="234"/>
      <c r="BL280" s="234"/>
      <c r="BM280" s="234"/>
      <c r="BN280" s="234"/>
      <c r="BO280" s="234"/>
      <c r="BP280" s="234"/>
      <c r="BQ280" s="234"/>
      <c r="BR280" s="234"/>
      <c r="BS280" s="234"/>
      <c r="BT280" s="234"/>
      <c r="BU280" s="234"/>
      <c r="BV280" s="234"/>
      <c r="BW280" s="234"/>
      <c r="BX280" s="234"/>
      <c r="BY280" s="234"/>
      <c r="BZ280" s="234"/>
      <c r="CA280" s="234"/>
      <c r="CB280" s="234"/>
      <c r="CC280" s="234"/>
      <c r="CD280" s="234"/>
      <c r="CE280" s="234"/>
      <c r="CF280" s="234"/>
      <c r="CG280" s="234"/>
      <c r="CH280" s="234"/>
      <c r="CI280" s="234"/>
      <c r="CJ280" s="234"/>
      <c r="CK280" s="234"/>
      <c r="CL280" s="234"/>
      <c r="CM280" s="234"/>
      <c r="CN280" s="234"/>
      <c r="CO280" s="234"/>
      <c r="CP280" s="234"/>
      <c r="CQ280" s="234"/>
      <c r="CR280" s="234"/>
      <c r="CS280" s="234"/>
      <c r="CT280" s="234"/>
      <c r="CU280" s="234"/>
      <c r="CV280" s="234"/>
      <c r="CW280" s="234"/>
      <c r="CX280" s="234"/>
      <c r="CY280" s="234"/>
      <c r="CZ280" s="234"/>
      <c r="DA280" s="234"/>
      <c r="DB280" s="234"/>
      <c r="DC280" s="234"/>
      <c r="DD280" s="234"/>
      <c r="DE280" s="234"/>
      <c r="DF280" s="234"/>
      <c r="DG280" s="234"/>
      <c r="DH280" s="234"/>
      <c r="DI280" s="234"/>
      <c r="DJ280" s="234"/>
      <c r="DK280" s="234"/>
      <c r="DL280" s="234"/>
      <c r="DM280" s="234"/>
      <c r="DN280" s="234"/>
      <c r="DO280" s="234"/>
      <c r="DP280" s="234"/>
      <c r="DQ280" s="234"/>
      <c r="DR280" s="234"/>
      <c r="DS280" s="234"/>
      <c r="DT280" s="234"/>
    </row>
    <row r="281" spans="1:156" s="231" customFormat="1" x14ac:dyDescent="0.25">
      <c r="H281" s="232"/>
      <c r="K281" s="232"/>
      <c r="N281" s="232"/>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4"/>
      <c r="AZ281" s="234"/>
      <c r="BA281" s="234"/>
      <c r="BB281" s="234"/>
      <c r="BC281" s="234"/>
      <c r="BD281" s="234"/>
      <c r="BE281" s="234"/>
      <c r="BF281" s="234"/>
      <c r="BG281" s="234"/>
      <c r="BH281" s="234"/>
      <c r="BI281" s="234"/>
      <c r="BJ281" s="234"/>
      <c r="BK281" s="234"/>
      <c r="BL281" s="234"/>
      <c r="BM281" s="234"/>
      <c r="BN281" s="234"/>
      <c r="BO281" s="234"/>
      <c r="BP281" s="234"/>
      <c r="BQ281" s="234"/>
      <c r="BR281" s="234"/>
      <c r="BS281" s="234"/>
      <c r="BT281" s="234"/>
      <c r="BU281" s="234"/>
      <c r="BV281" s="234"/>
      <c r="BW281" s="234"/>
      <c r="BX281" s="234"/>
      <c r="BY281" s="234"/>
      <c r="BZ281" s="234"/>
      <c r="CA281" s="234"/>
      <c r="CB281" s="234"/>
      <c r="CC281" s="234"/>
      <c r="CD281" s="234"/>
      <c r="CE281" s="234"/>
      <c r="CF281" s="234"/>
      <c r="CG281" s="234"/>
      <c r="CH281" s="234"/>
      <c r="CI281" s="234"/>
      <c r="CJ281" s="234"/>
      <c r="CK281" s="234"/>
      <c r="CL281" s="234"/>
      <c r="CM281" s="234"/>
      <c r="CN281" s="234"/>
      <c r="CO281" s="234"/>
      <c r="CP281" s="234"/>
      <c r="CQ281" s="234"/>
      <c r="CR281" s="234"/>
      <c r="CS281" s="234"/>
      <c r="CT281" s="234"/>
      <c r="CU281" s="234"/>
      <c r="CV281" s="234"/>
      <c r="CW281" s="234"/>
      <c r="CX281" s="234"/>
      <c r="CY281" s="234"/>
      <c r="CZ281" s="234"/>
      <c r="DA281" s="234"/>
      <c r="DB281" s="234"/>
      <c r="DC281" s="234"/>
      <c r="DD281" s="234"/>
      <c r="DE281" s="234"/>
      <c r="DF281" s="234"/>
      <c r="DG281" s="234"/>
      <c r="DH281" s="234"/>
      <c r="DI281" s="234"/>
      <c r="DJ281" s="234"/>
      <c r="DK281" s="234"/>
      <c r="DL281" s="234"/>
      <c r="DM281" s="234"/>
      <c r="DN281" s="234"/>
      <c r="DO281" s="234"/>
      <c r="DP281" s="234"/>
      <c r="DQ281" s="234"/>
      <c r="DR281" s="234"/>
      <c r="DS281" s="234"/>
      <c r="DT281" s="234"/>
    </row>
    <row r="282" spans="1:156" s="231" customFormat="1" x14ac:dyDescent="0.25">
      <c r="H282" s="232"/>
      <c r="K282" s="232"/>
      <c r="N282" s="232"/>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4"/>
      <c r="AZ282" s="234"/>
      <c r="BA282" s="234"/>
      <c r="BB282" s="234"/>
      <c r="BC282" s="234"/>
      <c r="BD282" s="234"/>
      <c r="BE282" s="234"/>
      <c r="BF282" s="234"/>
      <c r="BG282" s="234"/>
      <c r="BH282" s="234"/>
      <c r="BI282" s="234"/>
      <c r="BJ282" s="234"/>
      <c r="BK282" s="234"/>
      <c r="BL282" s="234"/>
      <c r="BM282" s="234"/>
      <c r="BN282" s="234"/>
      <c r="BO282" s="234"/>
      <c r="BP282" s="234"/>
      <c r="BQ282" s="234"/>
      <c r="BR282" s="234"/>
      <c r="BS282" s="234"/>
      <c r="BT282" s="234"/>
      <c r="BU282" s="234"/>
      <c r="BV282" s="234"/>
      <c r="BW282" s="234"/>
      <c r="BX282" s="234"/>
      <c r="BY282" s="234"/>
      <c r="BZ282" s="234"/>
      <c r="CA282" s="234"/>
      <c r="CB282" s="234"/>
      <c r="CC282" s="234"/>
      <c r="CD282" s="234"/>
      <c r="CE282" s="234"/>
      <c r="CF282" s="234"/>
      <c r="CG282" s="234"/>
      <c r="CH282" s="234"/>
      <c r="CI282" s="234"/>
      <c r="CJ282" s="234"/>
      <c r="CK282" s="234"/>
      <c r="CL282" s="234"/>
      <c r="CM282" s="234"/>
      <c r="CN282" s="234"/>
      <c r="CO282" s="234"/>
      <c r="CP282" s="234"/>
      <c r="CQ282" s="234"/>
      <c r="CR282" s="234"/>
      <c r="CS282" s="234"/>
      <c r="CT282" s="234"/>
      <c r="CU282" s="234"/>
      <c r="CV282" s="234"/>
      <c r="CW282" s="234"/>
      <c r="CX282" s="234"/>
      <c r="CY282" s="234"/>
      <c r="CZ282" s="234"/>
      <c r="DA282" s="234"/>
      <c r="DB282" s="234"/>
      <c r="DC282" s="234"/>
      <c r="DD282" s="234"/>
      <c r="DE282" s="234"/>
      <c r="DF282" s="234"/>
      <c r="DG282" s="234"/>
      <c r="DH282" s="234"/>
      <c r="DI282" s="234"/>
      <c r="DJ282" s="234"/>
      <c r="DK282" s="234"/>
      <c r="DL282" s="234"/>
      <c r="DM282" s="234"/>
      <c r="DN282" s="234"/>
      <c r="DO282" s="234"/>
      <c r="DP282" s="234"/>
      <c r="DQ282" s="234"/>
      <c r="DR282" s="234"/>
      <c r="DS282" s="234"/>
      <c r="DT282" s="234"/>
    </row>
    <row r="283" spans="1:156" s="231" customFormat="1" x14ac:dyDescent="0.25">
      <c r="H283" s="232"/>
      <c r="K283" s="232"/>
      <c r="N283" s="232"/>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4"/>
      <c r="AZ283" s="234"/>
      <c r="BA283" s="234"/>
      <c r="BB283" s="234"/>
      <c r="BC283" s="234"/>
      <c r="BD283" s="234"/>
      <c r="BE283" s="234"/>
      <c r="BF283" s="234"/>
      <c r="BG283" s="234"/>
      <c r="BH283" s="234"/>
      <c r="BI283" s="234"/>
      <c r="BJ283" s="234"/>
      <c r="BK283" s="234"/>
      <c r="BL283" s="234"/>
      <c r="BM283" s="234"/>
      <c r="BN283" s="234"/>
      <c r="BO283" s="234"/>
      <c r="BP283" s="234"/>
      <c r="BQ283" s="234"/>
      <c r="BR283" s="234"/>
      <c r="BS283" s="234"/>
      <c r="BT283" s="234"/>
      <c r="BU283" s="234"/>
      <c r="BV283" s="234"/>
      <c r="BW283" s="234"/>
      <c r="BX283" s="234"/>
      <c r="BY283" s="234"/>
      <c r="BZ283" s="234"/>
      <c r="CA283" s="234"/>
      <c r="CB283" s="234"/>
      <c r="CC283" s="234"/>
      <c r="CD283" s="234"/>
      <c r="CE283" s="234"/>
      <c r="CF283" s="234"/>
      <c r="CG283" s="234"/>
      <c r="CH283" s="234"/>
      <c r="CI283" s="234"/>
      <c r="CJ283" s="234"/>
      <c r="CK283" s="234"/>
      <c r="CL283" s="234"/>
      <c r="CM283" s="234"/>
      <c r="CN283" s="234"/>
      <c r="CO283" s="234"/>
      <c r="CP283" s="234"/>
      <c r="CQ283" s="234"/>
      <c r="CR283" s="234"/>
      <c r="CS283" s="234"/>
      <c r="CT283" s="234"/>
      <c r="CU283" s="234"/>
      <c r="CV283" s="234"/>
      <c r="CW283" s="234"/>
      <c r="CX283" s="234"/>
      <c r="CY283" s="234"/>
      <c r="CZ283" s="234"/>
      <c r="DA283" s="234"/>
      <c r="DB283" s="234"/>
      <c r="DC283" s="234"/>
      <c r="DD283" s="234"/>
      <c r="DE283" s="234"/>
      <c r="DF283" s="234"/>
      <c r="DG283" s="234"/>
      <c r="DH283" s="234"/>
      <c r="DI283" s="234"/>
      <c r="DJ283" s="234"/>
      <c r="DK283" s="234"/>
      <c r="DL283" s="234"/>
      <c r="DM283" s="234"/>
      <c r="DN283" s="234"/>
      <c r="DO283" s="234"/>
      <c r="DP283" s="234"/>
      <c r="DQ283" s="234"/>
      <c r="DR283" s="234"/>
      <c r="DS283" s="234"/>
      <c r="DT283" s="234"/>
    </row>
    <row r="284" spans="1:156" s="231" customFormat="1" x14ac:dyDescent="0.25">
      <c r="H284" s="232"/>
      <c r="K284" s="232"/>
      <c r="N284" s="232"/>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4"/>
      <c r="AZ284" s="234"/>
      <c r="BA284" s="234"/>
      <c r="BB284" s="234"/>
      <c r="BC284" s="234"/>
      <c r="BD284" s="234"/>
      <c r="BE284" s="234"/>
      <c r="BF284" s="234"/>
      <c r="BG284" s="234"/>
      <c r="BH284" s="234"/>
      <c r="BI284" s="234"/>
      <c r="BJ284" s="234"/>
      <c r="BK284" s="234"/>
      <c r="BL284" s="234"/>
      <c r="BM284" s="234"/>
      <c r="BN284" s="234"/>
      <c r="BO284" s="234"/>
      <c r="BP284" s="234"/>
      <c r="BQ284" s="234"/>
      <c r="BR284" s="234"/>
      <c r="BS284" s="234"/>
      <c r="BT284" s="234"/>
      <c r="BU284" s="234"/>
      <c r="BV284" s="234"/>
      <c r="BW284" s="234"/>
      <c r="BX284" s="234"/>
      <c r="BY284" s="234"/>
      <c r="BZ284" s="234"/>
      <c r="CA284" s="234"/>
      <c r="CB284" s="234"/>
      <c r="CC284" s="234"/>
      <c r="CD284" s="234"/>
      <c r="CE284" s="234"/>
      <c r="CF284" s="234"/>
      <c r="CG284" s="234"/>
      <c r="CH284" s="234"/>
      <c r="CI284" s="234"/>
      <c r="CJ284" s="234"/>
      <c r="CK284" s="234"/>
      <c r="CL284" s="234"/>
      <c r="CM284" s="234"/>
      <c r="CN284" s="234"/>
      <c r="CO284" s="234"/>
      <c r="CP284" s="234"/>
      <c r="CQ284" s="234"/>
      <c r="CR284" s="234"/>
      <c r="CS284" s="234"/>
      <c r="CT284" s="234"/>
      <c r="CU284" s="234"/>
      <c r="CV284" s="234"/>
      <c r="CW284" s="234"/>
      <c r="CX284" s="234"/>
      <c r="CY284" s="234"/>
      <c r="CZ284" s="234"/>
      <c r="DA284" s="234"/>
      <c r="DB284" s="234"/>
      <c r="DC284" s="234"/>
      <c r="DD284" s="234"/>
      <c r="DE284" s="234"/>
      <c r="DF284" s="234"/>
      <c r="DG284" s="234"/>
      <c r="DH284" s="234"/>
      <c r="DI284" s="234"/>
      <c r="DJ284" s="234"/>
      <c r="DK284" s="234"/>
      <c r="DL284" s="234"/>
      <c r="DM284" s="234"/>
      <c r="DN284" s="234"/>
      <c r="DO284" s="234"/>
      <c r="DP284" s="234"/>
      <c r="DQ284" s="234"/>
      <c r="DR284" s="234"/>
      <c r="DS284" s="234"/>
      <c r="DT284" s="234"/>
    </row>
    <row r="285" spans="1:156" s="231" customFormat="1" x14ac:dyDescent="0.25">
      <c r="H285" s="232"/>
      <c r="K285" s="232"/>
      <c r="N285" s="232"/>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4"/>
      <c r="AZ285" s="234"/>
      <c r="BA285" s="234"/>
      <c r="BB285" s="234"/>
      <c r="BC285" s="234"/>
      <c r="BD285" s="234"/>
      <c r="BE285" s="234"/>
      <c r="BF285" s="234"/>
      <c r="BG285" s="234"/>
      <c r="BH285" s="234"/>
      <c r="BI285" s="234"/>
      <c r="BJ285" s="234"/>
      <c r="BK285" s="234"/>
      <c r="BL285" s="234"/>
      <c r="BM285" s="234"/>
      <c r="BN285" s="234"/>
      <c r="BO285" s="234"/>
      <c r="BP285" s="234"/>
      <c r="BQ285" s="234"/>
      <c r="BR285" s="234"/>
      <c r="BS285" s="234"/>
      <c r="BT285" s="234"/>
      <c r="BU285" s="234"/>
      <c r="BV285" s="234"/>
      <c r="BW285" s="234"/>
      <c r="BX285" s="234"/>
      <c r="BY285" s="234"/>
      <c r="BZ285" s="234"/>
      <c r="CA285" s="234"/>
      <c r="CB285" s="234"/>
      <c r="CC285" s="234"/>
      <c r="CD285" s="234"/>
      <c r="CE285" s="234"/>
      <c r="CF285" s="234"/>
      <c r="CG285" s="234"/>
      <c r="CH285" s="234"/>
      <c r="CI285" s="234"/>
      <c r="CJ285" s="234"/>
      <c r="CK285" s="234"/>
      <c r="CL285" s="234"/>
      <c r="CM285" s="234"/>
      <c r="CN285" s="234"/>
      <c r="CO285" s="234"/>
      <c r="CP285" s="234"/>
      <c r="CQ285" s="234"/>
      <c r="CR285" s="234"/>
      <c r="CS285" s="234"/>
      <c r="CT285" s="234"/>
      <c r="CU285" s="234"/>
      <c r="CV285" s="234"/>
      <c r="CW285" s="234"/>
      <c r="CX285" s="234"/>
      <c r="CY285" s="234"/>
      <c r="CZ285" s="234"/>
      <c r="DA285" s="234"/>
      <c r="DB285" s="234"/>
      <c r="DC285" s="234"/>
      <c r="DD285" s="234"/>
      <c r="DE285" s="234"/>
      <c r="DF285" s="234"/>
      <c r="DG285" s="234"/>
      <c r="DH285" s="234"/>
      <c r="DI285" s="234"/>
      <c r="DJ285" s="234"/>
      <c r="DK285" s="234"/>
      <c r="DL285" s="234"/>
      <c r="DM285" s="234"/>
      <c r="DN285" s="234"/>
      <c r="DO285" s="234"/>
      <c r="DP285" s="234"/>
      <c r="DQ285" s="234"/>
      <c r="DR285" s="234"/>
      <c r="DS285" s="234"/>
      <c r="DT285" s="234"/>
    </row>
    <row r="286" spans="1:156" s="231" customFormat="1" x14ac:dyDescent="0.25">
      <c r="H286" s="232"/>
      <c r="K286" s="232"/>
      <c r="N286" s="232"/>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4"/>
      <c r="AZ286" s="234"/>
      <c r="BA286" s="234"/>
      <c r="BB286" s="234"/>
      <c r="BC286" s="234"/>
      <c r="BD286" s="234"/>
      <c r="BE286" s="234"/>
      <c r="BF286" s="234"/>
      <c r="BG286" s="234"/>
      <c r="BH286" s="234"/>
      <c r="BI286" s="234"/>
      <c r="BJ286" s="234"/>
      <c r="BK286" s="234"/>
      <c r="BL286" s="234"/>
      <c r="BM286" s="234"/>
      <c r="BN286" s="234"/>
      <c r="BO286" s="234"/>
      <c r="BP286" s="234"/>
      <c r="BQ286" s="234"/>
      <c r="BR286" s="234"/>
      <c r="BS286" s="234"/>
      <c r="BT286" s="234"/>
      <c r="BU286" s="234"/>
      <c r="BV286" s="234"/>
      <c r="BW286" s="234"/>
      <c r="BX286" s="234"/>
      <c r="BY286" s="234"/>
      <c r="BZ286" s="234"/>
      <c r="CA286" s="234"/>
      <c r="CB286" s="234"/>
      <c r="CC286" s="234"/>
      <c r="CD286" s="234"/>
      <c r="CE286" s="234"/>
      <c r="CF286" s="234"/>
      <c r="CG286" s="234"/>
      <c r="CH286" s="234"/>
      <c r="CI286" s="234"/>
      <c r="CJ286" s="234"/>
      <c r="CK286" s="234"/>
      <c r="CL286" s="234"/>
      <c r="CM286" s="234"/>
      <c r="CN286" s="234"/>
      <c r="CO286" s="234"/>
      <c r="CP286" s="234"/>
      <c r="CQ286" s="234"/>
      <c r="CR286" s="234"/>
      <c r="CS286" s="234"/>
      <c r="CT286" s="234"/>
      <c r="CU286" s="234"/>
      <c r="CV286" s="234"/>
      <c r="CW286" s="234"/>
      <c r="CX286" s="234"/>
      <c r="CY286" s="234"/>
      <c r="CZ286" s="234"/>
      <c r="DA286" s="234"/>
      <c r="DB286" s="234"/>
      <c r="DC286" s="234"/>
      <c r="DD286" s="234"/>
      <c r="DE286" s="234"/>
      <c r="DF286" s="234"/>
      <c r="DG286" s="234"/>
      <c r="DH286" s="234"/>
      <c r="DI286" s="234"/>
      <c r="DJ286" s="234"/>
      <c r="DK286" s="234"/>
      <c r="DL286" s="234"/>
      <c r="DM286" s="234"/>
      <c r="DN286" s="234"/>
      <c r="DO286" s="234"/>
      <c r="DP286" s="234"/>
      <c r="DQ286" s="234"/>
      <c r="DR286" s="234"/>
      <c r="DS286" s="234"/>
      <c r="DT286" s="234"/>
    </row>
    <row r="287" spans="1:156" x14ac:dyDescent="0.25">
      <c r="A287" s="231"/>
      <c r="B287" s="231"/>
      <c r="M287" s="231"/>
      <c r="O287" s="231"/>
      <c r="P287" s="231"/>
      <c r="DU287" s="231"/>
      <c r="DV287" s="231"/>
      <c r="DW287" s="231"/>
      <c r="DX287" s="231"/>
      <c r="DY287" s="231"/>
      <c r="DZ287" s="231"/>
      <c r="EA287" s="231"/>
      <c r="EB287" s="231"/>
      <c r="EC287" s="231"/>
      <c r="ED287" s="231"/>
      <c r="EE287" s="231"/>
      <c r="EF287" s="231"/>
      <c r="EG287" s="231"/>
      <c r="EH287" s="231"/>
      <c r="EI287" s="231"/>
      <c r="EJ287" s="231"/>
      <c r="EK287" s="231"/>
      <c r="EL287" s="231"/>
      <c r="EM287" s="231"/>
      <c r="EN287" s="231"/>
      <c r="EO287" s="231"/>
      <c r="EP287" s="231"/>
      <c r="EQ287" s="231"/>
      <c r="ER287" s="231"/>
      <c r="ES287" s="231"/>
      <c r="ET287" s="231"/>
      <c r="EU287" s="231"/>
      <c r="EV287" s="231"/>
      <c r="EW287" s="231"/>
      <c r="EX287" s="231"/>
      <c r="EY287" s="231"/>
      <c r="EZ287" s="231"/>
    </row>
    <row r="288" spans="1:156" x14ac:dyDescent="0.25">
      <c r="A288" s="231"/>
      <c r="B288" s="231"/>
      <c r="M288" s="231"/>
      <c r="O288" s="231"/>
      <c r="P288" s="231"/>
      <c r="DW288" s="231"/>
      <c r="DX288" s="231"/>
      <c r="DY288" s="231"/>
      <c r="DZ288" s="231"/>
      <c r="EA288" s="231"/>
      <c r="EB288" s="231"/>
      <c r="EC288" s="231"/>
      <c r="ED288" s="231"/>
      <c r="EE288" s="231"/>
      <c r="EF288" s="231"/>
      <c r="EG288" s="231"/>
      <c r="EH288" s="231"/>
      <c r="EI288" s="231"/>
      <c r="EJ288" s="231"/>
      <c r="EK288" s="231"/>
      <c r="EL288" s="231"/>
      <c r="EM288" s="231"/>
      <c r="EN288" s="231"/>
      <c r="EO288" s="231"/>
      <c r="EP288" s="231"/>
      <c r="EQ288" s="231"/>
      <c r="ER288" s="231"/>
      <c r="ES288" s="231"/>
      <c r="ET288" s="231"/>
      <c r="EU288" s="231"/>
      <c r="EV288" s="231"/>
      <c r="EW288" s="231"/>
      <c r="EX288" s="231"/>
      <c r="EY288" s="231"/>
      <c r="EZ288" s="231"/>
    </row>
    <row r="289" spans="1:16" x14ac:dyDescent="0.25">
      <c r="A289" s="231"/>
      <c r="B289" s="231"/>
      <c r="M289" s="231"/>
      <c r="O289" s="231"/>
      <c r="P289" s="231"/>
    </row>
    <row r="290" spans="1:16" x14ac:dyDescent="0.25">
      <c r="A290" s="231"/>
    </row>
  </sheetData>
  <sheetProtection algorithmName="SHA-512" hashValue="LFRfhS3gVyAFqQ72FBnbIYvTmWOyDc+x4Nk63RhNo5JWQbw16rzHtfiBctqp2nAIAaDra7Vj4ez1wL1tDUPVfQ==" saltValue="7KMdhfQ0lETUagE/tMMMug==" spinCount="100000" sheet="1" objects="1" scenarios="1" selectLockedCells="1"/>
  <mergeCells count="19">
    <mergeCell ref="F177:L181"/>
    <mergeCell ref="C131:D133"/>
    <mergeCell ref="C158:D160"/>
    <mergeCell ref="C44:D47"/>
    <mergeCell ref="C82:D85"/>
    <mergeCell ref="C16:D19"/>
    <mergeCell ref="F39:G39"/>
    <mergeCell ref="F153:G153"/>
    <mergeCell ref="F79:G79"/>
    <mergeCell ref="F102:G102"/>
    <mergeCell ref="F128:G128"/>
    <mergeCell ref="C112:D114"/>
    <mergeCell ref="AT42:AT43"/>
    <mergeCell ref="AW42:AW43"/>
    <mergeCell ref="AW16:AW18"/>
    <mergeCell ref="F13:G13"/>
    <mergeCell ref="AU41:AU43"/>
    <mergeCell ref="AU17:AU18"/>
    <mergeCell ref="AT17:AT18"/>
  </mergeCells>
  <conditionalFormatting sqref="O13:P17 O20:P31">
    <cfRule type="expression" dxfId="163" priority="155">
      <formula>$D$14&lt;3</formula>
    </cfRule>
  </conditionalFormatting>
  <conditionalFormatting sqref="L13:M17 L20:M31 L18:L19">
    <cfRule type="expression" dxfId="162" priority="154">
      <formula>$D$14&lt;2</formula>
    </cfRule>
  </conditionalFormatting>
  <conditionalFormatting sqref="L39:M43 L45:M57 L44">
    <cfRule type="expression" dxfId="161" priority="146">
      <formula>$D$40&lt;2</formula>
    </cfRule>
  </conditionalFormatting>
  <conditionalFormatting sqref="O60:P61 O63:P75">
    <cfRule type="expression" dxfId="160" priority="143">
      <formula>$D$40&lt;3</formula>
    </cfRule>
  </conditionalFormatting>
  <conditionalFormatting sqref="L60:M61 L63:M75 L62">
    <cfRule type="expression" dxfId="159" priority="142">
      <formula>$D$40&lt;2</formula>
    </cfRule>
  </conditionalFormatting>
  <conditionalFormatting sqref="O79:P83 O97:P97">
    <cfRule type="expression" dxfId="158" priority="139">
      <formula>$D$80&lt;3</formula>
    </cfRule>
  </conditionalFormatting>
  <conditionalFormatting sqref="I79:J83 I97:J97 I84:I96">
    <cfRule type="expression" dxfId="157" priority="137">
      <formula>$D$80=0</formula>
    </cfRule>
  </conditionalFormatting>
  <conditionalFormatting sqref="O102:P106 O108:P120">
    <cfRule type="expression" dxfId="156" priority="125">
      <formula>$D$103&lt;3</formula>
    </cfRule>
  </conditionalFormatting>
  <conditionalFormatting sqref="L102:M106 L108:M120 L107">
    <cfRule type="expression" dxfId="155" priority="124">
      <formula>$D$103&lt;2</formula>
    </cfRule>
  </conditionalFormatting>
  <conditionalFormatting sqref="U128:V132 U134:V147">
    <cfRule type="expression" dxfId="154" priority="123">
      <formula>$D$129&lt;5</formula>
    </cfRule>
  </conditionalFormatting>
  <conditionalFormatting sqref="I128:J132 I134:J146 I133">
    <cfRule type="expression" dxfId="153" priority="121">
      <formula>$D$129=0</formula>
    </cfRule>
  </conditionalFormatting>
  <conditionalFormatting sqref="O39:P43 O45:P57">
    <cfRule type="expression" dxfId="152" priority="119">
      <formula>$D$40&lt;3</formula>
    </cfRule>
  </conditionalFormatting>
  <conditionalFormatting sqref="I39:J43 I57:J57 I44:I56">
    <cfRule type="expression" dxfId="151" priority="118">
      <formula>$D$40=0</formula>
    </cfRule>
  </conditionalFormatting>
  <conditionalFormatting sqref="I13:J17 I18 I19:J31">
    <cfRule type="expression" dxfId="150" priority="117">
      <formula>$D$14=0</formula>
    </cfRule>
  </conditionalFormatting>
  <conditionalFormatting sqref="I75:J75 I60:I74">
    <cfRule type="expression" dxfId="149" priority="116">
      <formula>$D$40=0</formula>
    </cfRule>
  </conditionalFormatting>
  <conditionalFormatting sqref="I102:J106 I120:J120 I107:I119">
    <cfRule type="expression" dxfId="148" priority="115">
      <formula>$D$103=0</formula>
    </cfRule>
  </conditionalFormatting>
  <conditionalFormatting sqref="O128:P132 O134:P147">
    <cfRule type="expression" dxfId="147" priority="99">
      <formula>$D$129&lt;3</formula>
    </cfRule>
  </conditionalFormatting>
  <conditionalFormatting sqref="R128:S132 R134:S147">
    <cfRule type="expression" dxfId="146" priority="98">
      <formula>$D$129&lt;4</formula>
    </cfRule>
  </conditionalFormatting>
  <conditionalFormatting sqref="F176:L181 C182:D196 C198:D201">
    <cfRule type="expression" dxfId="145" priority="87">
      <formula>$D$177="Mätdata ej tillgänglig"</formula>
    </cfRule>
  </conditionalFormatting>
  <conditionalFormatting sqref="C109:D110">
    <cfRule type="expression" dxfId="144" priority="75">
      <formula>$D$107="Mäts separat"</formula>
    </cfRule>
  </conditionalFormatting>
  <conditionalFormatting sqref="I153:J157 I159:J171 I158">
    <cfRule type="expression" dxfId="143" priority="159">
      <formula>$D$156=0</formula>
    </cfRule>
  </conditionalFormatting>
  <conditionalFormatting sqref="O153:P157 O159:P171">
    <cfRule type="expression" dxfId="142" priority="161">
      <formula>$D$156&lt;3</formula>
    </cfRule>
  </conditionalFormatting>
  <conditionalFormatting sqref="L153:M157 L159:M171">
    <cfRule type="expression" dxfId="141" priority="73">
      <formula>$D$156&lt;2</formula>
    </cfRule>
  </conditionalFormatting>
  <conditionalFormatting sqref="C156:D156 I153:P157 I159:P171 I158">
    <cfRule type="expression" dxfId="140" priority="69">
      <formula>$D$154="Mätdata ej tillgänglig"</formula>
    </cfRule>
  </conditionalFormatting>
  <conditionalFormatting sqref="I18:I31 J31 L18:L31 M31 O20:O31 P31 I44:I57 J57 L44:L57 M57 O45:O57 P57 J75 M75 P75 I84:I97 J97 L97:M97 O97:P97 I107:I120 J120 L107:L120 M120 O108:O120 P120 M171 P171 J146 L134:L146 M146 O134:O146 P146 R134:R146 S146 U134:U146 V146 I62:I75 L62:L75 O63:O75 I158:I171 L159:L171 O159:O171 F7:F9 I133:I146 J171 F147:G150">
    <cfRule type="expression" dxfId="139" priority="162">
      <formula>$Z$4=$Z$5</formula>
    </cfRule>
  </conditionalFormatting>
  <conditionalFormatting sqref="C41:D41">
    <cfRule type="expression" dxfId="138" priority="164">
      <formula>OR($C$20="Kallvattenvolym",$C$20="Tappvarmvattenvolym")</formula>
    </cfRule>
  </conditionalFormatting>
  <conditionalFormatting sqref="C107:D110">
    <cfRule type="expression" dxfId="137" priority="63">
      <formula>$D$105="Finns ej"</formula>
    </cfRule>
  </conditionalFormatting>
  <conditionalFormatting sqref="I75:P75 K62:L62 I60:I74 K63:P74 K60:P61">
    <cfRule type="expression" dxfId="136" priority="65">
      <formula>$D$41="Inkluderad i energi för uppvärmning"</formula>
    </cfRule>
    <cfRule type="expression" dxfId="135" priority="66">
      <formula>$D$41="Inkluderad i energi för tappvarmvatten"</formula>
    </cfRule>
  </conditionalFormatting>
  <conditionalFormatting sqref="L79:M83 L97:M97">
    <cfRule type="expression" dxfId="134" priority="138">
      <formula>$D$80&lt;2</formula>
    </cfRule>
  </conditionalFormatting>
  <conditionalFormatting sqref="L128:M132 L134:M146">
    <cfRule type="expression" dxfId="133" priority="122">
      <formula>$D$129&lt;2</formula>
    </cfRule>
  </conditionalFormatting>
  <conditionalFormatting sqref="J45:J56">
    <cfRule type="expression" dxfId="132" priority="47">
      <formula>$D$14=0</formula>
    </cfRule>
  </conditionalFormatting>
  <conditionalFormatting sqref="J108:J119">
    <cfRule type="expression" dxfId="131" priority="41">
      <formula>$D$14=0</formula>
    </cfRule>
  </conditionalFormatting>
  <conditionalFormatting sqref="O18:P19">
    <cfRule type="expression" dxfId="130" priority="39">
      <formula>$D$14&lt;3</formula>
    </cfRule>
  </conditionalFormatting>
  <conditionalFormatting sqref="M18:M19">
    <cfRule type="expression" dxfId="129" priority="38">
      <formula>$D$14&lt;2</formula>
    </cfRule>
  </conditionalFormatting>
  <conditionalFormatting sqref="O18:O19">
    <cfRule type="expression" dxfId="128" priority="40">
      <formula>$Z$4=$Z$5</formula>
    </cfRule>
  </conditionalFormatting>
  <conditionalFormatting sqref="M44">
    <cfRule type="expression" dxfId="127" priority="36">
      <formula>$D$40&lt;2</formula>
    </cfRule>
  </conditionalFormatting>
  <conditionalFormatting sqref="O44:P44">
    <cfRule type="expression" dxfId="126" priority="35">
      <formula>$D$40&lt;3</formula>
    </cfRule>
  </conditionalFormatting>
  <conditionalFormatting sqref="O44">
    <cfRule type="expression" dxfId="125" priority="37">
      <formula>$Z$4=$Z$5</formula>
    </cfRule>
  </conditionalFormatting>
  <conditionalFormatting sqref="O62:P62">
    <cfRule type="expression" dxfId="124" priority="33">
      <formula>$D$40&lt;3</formula>
    </cfRule>
  </conditionalFormatting>
  <conditionalFormatting sqref="M62:N62">
    <cfRule type="expression" dxfId="123" priority="32">
      <formula>$D$40&lt;2</formula>
    </cfRule>
  </conditionalFormatting>
  <conditionalFormatting sqref="O62">
    <cfRule type="expression" dxfId="122" priority="34">
      <formula>$Z$4=$Z$5</formula>
    </cfRule>
  </conditionalFormatting>
  <conditionalFormatting sqref="M62:P62">
    <cfRule type="expression" dxfId="121" priority="30">
      <formula>$D$41="Inkluderad i energi för uppvärmning"</formula>
    </cfRule>
    <cfRule type="expression" dxfId="120" priority="31">
      <formula>$D$41="Inkluderad i energi för tappvarmvatten"</formula>
    </cfRule>
  </conditionalFormatting>
  <conditionalFormatting sqref="O84:P96">
    <cfRule type="expression" dxfId="119" priority="28">
      <formula>$D$80&lt;3</formula>
    </cfRule>
  </conditionalFormatting>
  <conditionalFormatting sqref="J84:J96">
    <cfRule type="expression" dxfId="118" priority="26">
      <formula>$D$80=0</formula>
    </cfRule>
  </conditionalFormatting>
  <conditionalFormatting sqref="L84:M96">
    <cfRule type="expression" dxfId="117" priority="25">
      <formula>$D$80=0</formula>
    </cfRule>
    <cfRule type="expression" dxfId="116" priority="27">
      <formula>$D$80&lt;2</formula>
    </cfRule>
  </conditionalFormatting>
  <conditionalFormatting sqref="L84:L96 O84:O96">
    <cfRule type="expression" dxfId="115" priority="29">
      <formula>$Z$4=$Z$5</formula>
    </cfRule>
  </conditionalFormatting>
  <conditionalFormatting sqref="O107:P107">
    <cfRule type="expression" dxfId="114" priority="23">
      <formula>$D$103&lt;3</formula>
    </cfRule>
  </conditionalFormatting>
  <conditionalFormatting sqref="M107">
    <cfRule type="expression" dxfId="113" priority="22">
      <formula>$D$103&lt;2</formula>
    </cfRule>
  </conditionalFormatting>
  <conditionalFormatting sqref="O107">
    <cfRule type="expression" dxfId="112" priority="24">
      <formula>$Z$4=$Z$5</formula>
    </cfRule>
  </conditionalFormatting>
  <conditionalFormatting sqref="U133:V133">
    <cfRule type="expression" dxfId="111" priority="20">
      <formula>$D$129&lt;5</formula>
    </cfRule>
  </conditionalFormatting>
  <conditionalFormatting sqref="L133:M133">
    <cfRule type="expression" dxfId="110" priority="15">
      <formula>$D$129=0</formula>
    </cfRule>
    <cfRule type="expression" dxfId="109" priority="19">
      <formula>$D$129&lt;2</formula>
    </cfRule>
  </conditionalFormatting>
  <conditionalFormatting sqref="J133">
    <cfRule type="expression" dxfId="108" priority="18">
      <formula>$D$129=0</formula>
    </cfRule>
  </conditionalFormatting>
  <conditionalFormatting sqref="O133:P133">
    <cfRule type="expression" dxfId="107" priority="17">
      <formula>$D$129&lt;3</formula>
    </cfRule>
  </conditionalFormatting>
  <conditionalFormatting sqref="R133:S133">
    <cfRule type="expression" dxfId="106" priority="16">
      <formula>$D$129&lt;4</formula>
    </cfRule>
  </conditionalFormatting>
  <conditionalFormatting sqref="L133 O133 R133 U133">
    <cfRule type="expression" dxfId="105" priority="21">
      <formula>$Z$4=$Z$5</formula>
    </cfRule>
  </conditionalFormatting>
  <conditionalFormatting sqref="J158">
    <cfRule type="expression" dxfId="104" priority="11">
      <formula>$D$156=0</formula>
    </cfRule>
  </conditionalFormatting>
  <conditionalFormatting sqref="L158:M158">
    <cfRule type="expression" dxfId="103" priority="12">
      <formula>$D$156&lt;2</formula>
    </cfRule>
  </conditionalFormatting>
  <conditionalFormatting sqref="O158:P158">
    <cfRule type="expression" dxfId="102" priority="5">
      <formula>$D$156=0</formula>
    </cfRule>
    <cfRule type="expression" dxfId="101" priority="7">
      <formula>$D$156=0</formula>
    </cfRule>
    <cfRule type="expression" dxfId="100" priority="9">
      <formula>$D$156&lt;2</formula>
    </cfRule>
    <cfRule type="expression" dxfId="99" priority="13">
      <formula>$D$156&lt;3</formula>
    </cfRule>
  </conditionalFormatting>
  <conditionalFormatting sqref="L158:M158">
    <cfRule type="expression" dxfId="98" priority="8">
      <formula>$D$156=0</formula>
    </cfRule>
    <cfRule type="expression" dxfId="97" priority="10">
      <formula>$D$156&lt;2</formula>
    </cfRule>
  </conditionalFormatting>
  <conditionalFormatting sqref="J158:P158">
    <cfRule type="expression" dxfId="96" priority="6">
      <formula>$D$154="Mätdata ej tillgänglig"</formula>
    </cfRule>
  </conditionalFormatting>
  <conditionalFormatting sqref="L158 O158">
    <cfRule type="expression" dxfId="95" priority="14">
      <formula>$Z$4=$Z$5</formula>
    </cfRule>
  </conditionalFormatting>
  <conditionalFormatting sqref="J60:J74">
    <cfRule type="expression" dxfId="94" priority="3">
      <formula>$D$40=0</formula>
    </cfRule>
  </conditionalFormatting>
  <conditionalFormatting sqref="J60:J74">
    <cfRule type="expression" dxfId="93" priority="1">
      <formula>$D$41="Inkluderad i energi för uppvärmning"</formula>
    </cfRule>
    <cfRule type="expression" dxfId="92" priority="2">
      <formula>$D$41="Inkluderad i energi för tappvarmvatten"</formula>
    </cfRule>
  </conditionalFormatting>
  <dataValidations count="25">
    <dataValidation type="list" allowBlank="1" showInputMessage="1" showErrorMessage="1" sqref="D42" xr:uid="{D5076F82-70DC-4B39-A0BD-F7C506991346}">
      <formula1>$EQ$3:$EQ$4</formula1>
    </dataValidation>
    <dataValidation type="list" allowBlank="1" showInputMessage="1" showErrorMessage="1" sqref="G15 H15:H16 D179:D180 H41:H42 H104:H105 H130:H131 H81:H82 H155:H156" xr:uid="{29E9EA9B-F0CC-4D67-8482-8FFF6755DE81}">
      <formula1>$EI$3:$EI$14</formula1>
    </dataValidation>
    <dataValidation type="list" allowBlank="1" showInputMessage="1" showErrorMessage="1" sqref="J16 P16:V16 M82 J82 P42:V42 M42 J42 M16 P82:V82" xr:uid="{57CDF6D4-106D-43A5-9E92-66259801785C}">
      <formula1>$EN$3:$EN$4</formula1>
    </dataValidation>
    <dataValidation type="list" allowBlank="1" showInputMessage="1" showErrorMessage="1" sqref="M104:N104 N155 AB100:AB101 K155 J104:K104 P104:V104 AI101 AB145:AB146" xr:uid="{B8CB1066-C580-4684-AF36-0D76EAAE7B0D}">
      <formula1>$EL$3:$EL$4</formula1>
    </dataValidation>
    <dataValidation type="list" allowBlank="1" showInputMessage="1" showErrorMessage="1" sqref="D177 D154 Q155:V155" xr:uid="{6A5F244C-5210-4A60-A21D-E59E1CDA5FBA}">
      <formula1>$EO$3:$EO$4</formula1>
    </dataValidation>
    <dataValidation type="list" allowBlank="1" showInputMessage="1" showErrorMessage="1" sqref="G14:H14 H103 H40 H154 H80 H129" xr:uid="{188B633C-44EA-4ED4-AFE3-AD543B5198EF}">
      <formula1>$EH$3:$EH$10</formula1>
    </dataValidation>
    <dataValidation type="list" allowBlank="1" showInputMessage="1" showErrorMessage="1" sqref="M80:N80 J80:K80 P80:V80" xr:uid="{BB51C11D-441F-4E4A-ACB9-A365822D463F}">
      <formula1>$EC$3:$EC$4</formula1>
    </dataValidation>
    <dataValidation type="list" allowBlank="1" showInputMessage="1" showErrorMessage="1" sqref="M129 P129 V129 S129 J129" xr:uid="{99B1D768-E6B3-48AA-8357-79D69D15E407}">
      <formula1>$EF$3:$EF$6</formula1>
    </dataValidation>
    <dataValidation type="list" allowBlank="1" showInputMessage="1" showErrorMessage="1" sqref="V130 P130 S130 M130 J130" xr:uid="{E7073C1F-169B-4F16-9B6B-3FEFEFBD7C87}">
      <formula1>$EG$3:$EG$6</formula1>
    </dataValidation>
    <dataValidation type="list" allowBlank="1" showInputMessage="1" showErrorMessage="1" sqref="M103 J103 M154 J154 P103:V103 P154:V154" xr:uid="{5F55D30E-D12F-4A75-915F-6BD20DF2D6F6}">
      <formula1>$EA$3:$EA$7</formula1>
    </dataValidation>
    <dataValidation type="list" allowBlank="1" showInputMessage="1" showErrorMessage="1" sqref="K40 P14:V14 M14:N14 J14:K14 N40" xr:uid="{15F4264C-62F6-497F-989B-A5CE2DF343C0}">
      <formula1>$DY$3:$DY$9</formula1>
    </dataValidation>
    <dataValidation type="list" allowBlank="1" showInputMessage="1" showErrorMessage="1" sqref="P40:V40 J40 M40 R59:V59" xr:uid="{C5E0E2F1-7905-487A-AAB0-CF84BA9FD2F2}">
      <formula1>$DY$3:$DY$7</formula1>
    </dataValidation>
    <dataValidation type="list" allowBlank="1" showInputMessage="1" showErrorMessage="1" sqref="D156 D80" xr:uid="{E0A3A3A4-8B34-4BF2-A9DE-7271FAE066F6}">
      <formula1>$DX$3:$DX$6</formula1>
    </dataValidation>
    <dataValidation type="list" allowBlank="1" showInputMessage="1" showErrorMessage="1" sqref="J131 V131 M131 S131 P131" xr:uid="{65E46C6A-F388-4A7D-8968-B45969D606AD}">
      <formula1>$DW$3:$DW$4</formula1>
    </dataValidation>
    <dataValidation type="list" allowBlank="1" showInputMessage="1" showErrorMessage="1" sqref="D129" xr:uid="{694EAA6E-6D26-41F9-A91C-F9F3398D06FA}">
      <formula1>$DX$3:$DX$8</formula1>
    </dataValidation>
    <dataValidation type="list" allowBlank="1" showInputMessage="1" showErrorMessage="1" sqref="Z4" xr:uid="{889875FA-EBBA-446D-ADFA-1B9FC468AAE7}">
      <formula1>$Z$5:$Z$6</formula1>
    </dataValidation>
    <dataValidation type="list" allowBlank="1" showInputMessage="1" showErrorMessage="1" sqref="D41" xr:uid="{E61B6C00-11A9-454A-9DAC-9AF8B752AFFF}">
      <formula1>$ER$3:$ER$5</formula1>
    </dataValidation>
    <dataValidation type="list" allowBlank="1" showInputMessage="1" showErrorMessage="1" sqref="D14 D40 D103" xr:uid="{D72AA2F6-A93C-4D06-9665-9EF57150D26A}">
      <formula1>$DX$4:$DX$6</formula1>
    </dataValidation>
    <dataValidation type="list" allowBlank="1" showInputMessage="1" showErrorMessage="1" sqref="D107" xr:uid="{80046376-E897-4C80-B960-F2ED4820F4FA}">
      <formula1>$ET$3:$ET$5</formula1>
    </dataValidation>
    <dataValidation type="list" allowBlank="1" showInputMessage="1" showErrorMessage="1" sqref="D105" xr:uid="{484C1C91-8CB0-411A-8A2E-158EDDB3724A}">
      <formula1>$ES$3:$ES$4</formula1>
    </dataValidation>
    <dataValidation type="list" allowBlank="1" showInputMessage="1" showErrorMessage="1" sqref="J155 M155 P155" xr:uid="{BC470753-CAB4-49C4-A710-431960204737}">
      <formula1>$EP$3:$EP$4</formula1>
    </dataValidation>
    <dataValidation type="whole" allowBlank="1" showInputMessage="1" showErrorMessage="1" error="Areaandel ska vara mellan 0 och 100 %!" sqref="D183 D191 D187" xr:uid="{5884032B-0DEE-4A67-A6F7-A3E73E5D5FE2}">
      <formula1>0</formula1>
      <formula2>100</formula2>
    </dataValidation>
    <dataValidation type="decimal" allowBlank="1" showInputMessage="1" showErrorMessage="1" error="Ange mätdata i MWh!" sqref="V134:V145 P85:P96 J45:J56 M19:M30 J85:J96 M45:M56 J19:J30 M63:M74 P45:P56 J63:J74 M85:M96 P63:P74 P19:P30 M108:M119 P108:P119 J134:J145 M134:M145 P134:P145 S134:S145 J108:J119" xr:uid="{7D56A0A3-F489-4DF9-BC2F-F0A3E4817DE5}">
      <formula1>0</formula1>
      <formula2>1000</formula2>
    </dataValidation>
    <dataValidation type="whole" allowBlank="1" showInputMessage="1" showErrorMessage="1" error="Ange mätdata i MWh!" sqref="M159:M170 P159:P170 J159:J170" xr:uid="{650D7CA7-4495-4029-94C6-1180BBCC9099}">
      <formula1>0</formula1>
      <formula2>100</formula2>
    </dataValidation>
    <dataValidation type="decimal" operator="lessThan" allowBlank="1" showInputMessage="1" showErrorMessage="1" error="Ange endast siffror!_x000a_" sqref="D184 D188 D192" xr:uid="{16B8C6C5-8DC0-4CA5-9679-92A848817C9D}">
      <formula1>30</formula1>
    </dataValidation>
  </dataValidations>
  <pageMargins left="0.7" right="0.7" top="0.75" bottom="0.75" header="0.3" footer="0.3"/>
  <pageSetup paperSize="9" scale="1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4" id="{5E7542F4-0437-4DC9-919F-8F548F1602A7}">
            <xm:f>'Indata byggnad och BBR krav'!$C$17=0</xm:f>
            <x14:dxf>
              <font>
                <color theme="0"/>
              </font>
              <fill>
                <patternFill>
                  <bgColor theme="0"/>
                </patternFill>
              </fill>
              <border>
                <left/>
                <right/>
                <top/>
                <bottom/>
                <vertical/>
                <horizontal/>
              </border>
            </x14:dxf>
          </x14:cfRule>
          <xm:sqref>C105:D105 C107:D110</xm:sqref>
        </x14:conditionalFormatting>
        <x14:conditionalFormatting xmlns:xm="http://schemas.microsoft.com/office/excel/2006/main">
          <x14:cfRule type="expression" priority="49" id="{FEAF4D4D-16DE-46AF-9112-D0FB9507B899}">
            <xm:f>'Indata byggnad och BBR krav'!$C$17=0</xm:f>
            <x14:dxf>
              <font>
                <color theme="0"/>
              </font>
              <fill>
                <patternFill>
                  <bgColor theme="0"/>
                </patternFill>
              </fill>
              <border>
                <left/>
                <right/>
                <top/>
                <bottom/>
                <vertical/>
                <horizontal/>
              </border>
            </x14:dxf>
          </x14:cfRule>
          <xm:sqref>C196:D196</xm:sqref>
        </x14:conditionalFormatting>
        <x14:conditionalFormatting xmlns:xm="http://schemas.microsoft.com/office/excel/2006/main">
          <x14:cfRule type="expression" priority="48" id="{7E9E4A22-D0DA-4A2C-B6F0-1EE4A85C19D1}">
            <xm:f>'Indata byggnad och BBR krav'!$C$18=0</xm:f>
            <x14:dxf>
              <font>
                <color theme="0"/>
              </font>
              <fill>
                <patternFill>
                  <bgColor theme="0"/>
                </patternFill>
              </fill>
              <border>
                <left/>
                <right/>
                <top/>
                <bottom/>
                <vertical/>
                <horizontal/>
              </border>
            </x14:dxf>
          </x14:cfRule>
          <xm:sqref>C198:D198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DB5E6-6B14-48FE-90C8-F694C8F1246D}">
  <sheetPr>
    <tabColor theme="5"/>
    <pageSetUpPr fitToPage="1"/>
  </sheetPr>
  <dimension ref="A1:FE290"/>
  <sheetViews>
    <sheetView showGridLines="0" zoomScale="70" zoomScaleNormal="70" workbookViewId="0">
      <selection activeCell="J138" sqref="J138"/>
    </sheetView>
  </sheetViews>
  <sheetFormatPr defaultColWidth="9.140625" defaultRowHeight="15" x14ac:dyDescent="0.25"/>
  <cols>
    <col min="1" max="1" width="3.7109375" style="229" customWidth="1"/>
    <col min="2" max="2" width="3.140625" style="229" customWidth="1"/>
    <col min="3" max="3" width="48.85546875" style="231" customWidth="1"/>
    <col min="4" max="4" width="51.42578125" style="231" customWidth="1"/>
    <col min="5" max="5" width="3" style="231" customWidth="1"/>
    <col min="6" max="6" width="21.28515625" style="231" customWidth="1"/>
    <col min="7" max="7" width="18.85546875" style="231" customWidth="1"/>
    <col min="8" max="8" width="1.85546875" style="232" customWidth="1"/>
    <col min="9" max="9" width="22.7109375" style="231" customWidth="1"/>
    <col min="10" max="10" width="25.85546875" style="231" customWidth="1"/>
    <col min="11" max="11" width="1.7109375" style="232" customWidth="1"/>
    <col min="12" max="12" width="23.42578125" style="231" customWidth="1"/>
    <col min="13" max="13" width="26.85546875" style="229" customWidth="1"/>
    <col min="14" max="14" width="2.42578125" style="232" customWidth="1"/>
    <col min="15" max="15" width="22.5703125" style="229" customWidth="1"/>
    <col min="16" max="16" width="24.85546875" style="229" customWidth="1"/>
    <col min="17" max="17" width="2.85546875" style="231" customWidth="1"/>
    <col min="18" max="19" width="24.85546875" style="231" customWidth="1"/>
    <col min="20" max="20" width="3.7109375" style="231" customWidth="1"/>
    <col min="21" max="22" width="24.85546875" style="231" customWidth="1"/>
    <col min="23" max="23" width="3.140625" style="231" customWidth="1"/>
    <col min="24" max="24" width="75.28515625" style="233" hidden="1" customWidth="1"/>
    <col min="25" max="28" width="15" style="233" hidden="1" customWidth="1"/>
    <col min="29" max="29" width="15.28515625" style="233" hidden="1" customWidth="1"/>
    <col min="30" max="30" width="19.7109375" style="233" hidden="1" customWidth="1"/>
    <col min="31" max="31" width="18.28515625" style="233" hidden="1" customWidth="1"/>
    <col min="32" max="32" width="42.5703125" style="233" hidden="1" customWidth="1"/>
    <col min="33" max="37" width="19.7109375" style="233" hidden="1" customWidth="1"/>
    <col min="38" max="38" width="24.7109375" style="233" hidden="1" customWidth="1"/>
    <col min="39" max="39" width="26.42578125" style="233" hidden="1" customWidth="1"/>
    <col min="40" max="45" width="19.7109375" style="233" hidden="1" customWidth="1"/>
    <col min="46" max="46" width="24" style="233" hidden="1" customWidth="1"/>
    <col min="47" max="48" width="19.7109375" style="233" hidden="1" customWidth="1"/>
    <col min="49" max="49" width="29.28515625" style="233" hidden="1" customWidth="1"/>
    <col min="50" max="50" width="24" style="233" hidden="1" customWidth="1"/>
    <col min="51" max="51" width="26.5703125" style="234" hidden="1" customWidth="1"/>
    <col min="52" max="53" width="19.7109375" style="234" hidden="1" customWidth="1"/>
    <col min="54" max="54" width="25.140625" style="234" hidden="1" customWidth="1"/>
    <col min="55" max="57" width="19.7109375" style="234" hidden="1" customWidth="1"/>
    <col min="58" max="58" width="24.140625" style="234" hidden="1" customWidth="1"/>
    <col min="59" max="59" width="17.85546875" style="234" hidden="1" customWidth="1"/>
    <col min="60" max="60" width="19.7109375" style="234" hidden="1" customWidth="1"/>
    <col min="61" max="61" width="23.85546875" style="234" hidden="1" customWidth="1"/>
    <col min="62" max="62" width="19.7109375" style="234" hidden="1" customWidth="1"/>
    <col min="63" max="63" width="18.28515625" style="234" hidden="1" customWidth="1"/>
    <col min="64" max="64" width="15" style="234" hidden="1" customWidth="1"/>
    <col min="65" max="65" width="19.42578125" style="234" hidden="1" customWidth="1"/>
    <col min="66" max="67" width="15" style="234" hidden="1" customWidth="1"/>
    <col min="68" max="70" width="18.7109375" style="234" hidden="1" customWidth="1"/>
    <col min="71" max="76" width="20.42578125" style="234" hidden="1" customWidth="1"/>
    <col min="77" max="77" width="13.42578125" style="234" hidden="1" customWidth="1"/>
    <col min="78" max="86" width="15" style="234" hidden="1" customWidth="1"/>
    <col min="87" max="87" width="20.140625" style="234" hidden="1" customWidth="1"/>
    <col min="88" max="115" width="15" style="234" hidden="1" customWidth="1"/>
    <col min="116" max="116" width="40.140625" style="234" hidden="1" customWidth="1"/>
    <col min="117" max="122" width="15.7109375" style="234" hidden="1" customWidth="1"/>
    <col min="123" max="123" width="13.85546875" style="234" hidden="1" customWidth="1"/>
    <col min="124" max="124" width="15" style="234" hidden="1" customWidth="1"/>
    <col min="125" max="129" width="15" style="229" hidden="1" customWidth="1"/>
    <col min="130" max="130" width="22.7109375" style="229" hidden="1" customWidth="1"/>
    <col min="131" max="131" width="15.28515625" style="229" hidden="1" customWidth="1"/>
    <col min="132" max="133" width="9.140625" style="229" hidden="1" customWidth="1"/>
    <col min="134" max="134" width="13.85546875" style="229" hidden="1" customWidth="1"/>
    <col min="135" max="141" width="9.140625" style="229" hidden="1" customWidth="1"/>
    <col min="142" max="142" width="19.42578125" style="229" hidden="1" customWidth="1"/>
    <col min="143" max="143" width="26.7109375" style="229" hidden="1" customWidth="1"/>
    <col min="144" max="144" width="19.42578125" style="229" hidden="1" customWidth="1"/>
    <col min="145" max="145" width="28.85546875" style="229" hidden="1" customWidth="1"/>
    <col min="146" max="146" width="19.42578125" style="229" hidden="1" customWidth="1"/>
    <col min="147" max="147" width="38.140625" style="229" hidden="1" customWidth="1"/>
    <col min="148" max="148" width="35.28515625" style="229" hidden="1" customWidth="1"/>
    <col min="149" max="149" width="32.42578125" style="229" hidden="1" customWidth="1"/>
    <col min="150" max="155" width="27.42578125" style="229" hidden="1" customWidth="1"/>
    <col min="156" max="156" width="9.140625" style="229" hidden="1" customWidth="1"/>
    <col min="157" max="161" width="15.42578125" style="229" hidden="1" customWidth="1"/>
    <col min="162" max="529" width="9.140625" style="229" customWidth="1"/>
    <col min="530" max="16384" width="9.140625" style="229"/>
  </cols>
  <sheetData>
    <row r="1" spans="1:161" ht="32.25" customHeight="1" x14ac:dyDescent="0.25">
      <c r="D1" s="229"/>
      <c r="F1" s="235"/>
      <c r="G1" s="235"/>
      <c r="X1" s="233" t="s">
        <v>1457</v>
      </c>
      <c r="Y1" s="233" t="s">
        <v>1457</v>
      </c>
      <c r="Z1" s="233" t="s">
        <v>1457</v>
      </c>
      <c r="AA1" s="233" t="s">
        <v>1457</v>
      </c>
      <c r="AB1" s="233" t="s">
        <v>1457</v>
      </c>
      <c r="AC1" s="233" t="s">
        <v>1457</v>
      </c>
      <c r="AD1" s="233" t="s">
        <v>1457</v>
      </c>
      <c r="AE1" s="233" t="s">
        <v>1457</v>
      </c>
      <c r="AF1" s="233" t="s">
        <v>1457</v>
      </c>
      <c r="AG1" s="233" t="s">
        <v>1457</v>
      </c>
      <c r="AH1" s="233" t="s">
        <v>1457</v>
      </c>
      <c r="AI1" s="233" t="s">
        <v>1457</v>
      </c>
      <c r="AJ1" s="233" t="s">
        <v>1457</v>
      </c>
      <c r="AK1" s="233" t="s">
        <v>1457</v>
      </c>
      <c r="AL1" s="233" t="s">
        <v>1457</v>
      </c>
      <c r="AM1" s="233" t="s">
        <v>1457</v>
      </c>
      <c r="AN1" s="233" t="s">
        <v>1457</v>
      </c>
      <c r="AO1" s="233" t="s">
        <v>1457</v>
      </c>
      <c r="AP1" s="233" t="s">
        <v>1457</v>
      </c>
      <c r="AQ1" s="233" t="s">
        <v>1457</v>
      </c>
      <c r="AR1" s="233" t="s">
        <v>1457</v>
      </c>
      <c r="AS1" s="233" t="s">
        <v>1457</v>
      </c>
      <c r="AT1" s="233" t="s">
        <v>1457</v>
      </c>
      <c r="AU1" s="233" t="s">
        <v>1457</v>
      </c>
      <c r="AV1" s="233" t="s">
        <v>1457</v>
      </c>
      <c r="AW1" s="233" t="s">
        <v>1457</v>
      </c>
      <c r="AX1" s="233" t="s">
        <v>1457</v>
      </c>
      <c r="AY1" s="234" t="s">
        <v>1457</v>
      </c>
      <c r="AZ1" s="234" t="s">
        <v>1457</v>
      </c>
      <c r="BA1" s="234" t="s">
        <v>1457</v>
      </c>
      <c r="BB1" s="234" t="s">
        <v>1457</v>
      </c>
      <c r="BC1" s="234" t="s">
        <v>1457</v>
      </c>
      <c r="BD1" s="234" t="s">
        <v>1457</v>
      </c>
      <c r="BE1" s="234" t="s">
        <v>1457</v>
      </c>
      <c r="BF1" s="234" t="s">
        <v>1457</v>
      </c>
      <c r="BG1" s="234" t="s">
        <v>1457</v>
      </c>
      <c r="BH1" s="234" t="s">
        <v>1457</v>
      </c>
      <c r="BI1" s="234" t="s">
        <v>1457</v>
      </c>
      <c r="BJ1" s="234" t="s">
        <v>1457</v>
      </c>
      <c r="BK1" s="234" t="s">
        <v>1457</v>
      </c>
      <c r="BL1" s="234" t="s">
        <v>1457</v>
      </c>
      <c r="BM1" s="234" t="s">
        <v>1457</v>
      </c>
      <c r="BN1" s="234" t="s">
        <v>1457</v>
      </c>
      <c r="BO1" s="234" t="s">
        <v>1457</v>
      </c>
      <c r="BP1" s="234" t="s">
        <v>1457</v>
      </c>
      <c r="BQ1" s="234" t="s">
        <v>1457</v>
      </c>
      <c r="BR1" s="234" t="s">
        <v>1457</v>
      </c>
      <c r="BS1" s="234" t="s">
        <v>1457</v>
      </c>
      <c r="BT1" s="234" t="s">
        <v>1457</v>
      </c>
      <c r="BU1" s="234" t="s">
        <v>1457</v>
      </c>
      <c r="BV1" s="234" t="s">
        <v>1457</v>
      </c>
      <c r="BW1" s="234" t="s">
        <v>1457</v>
      </c>
      <c r="BX1" s="234" t="s">
        <v>1457</v>
      </c>
      <c r="BY1" s="234" t="s">
        <v>1457</v>
      </c>
      <c r="BZ1" s="234" t="s">
        <v>1457</v>
      </c>
      <c r="CA1" s="234" t="s">
        <v>1457</v>
      </c>
      <c r="CB1" s="234" t="s">
        <v>1457</v>
      </c>
      <c r="CC1" s="234" t="s">
        <v>1457</v>
      </c>
      <c r="CD1" s="234" t="s">
        <v>1457</v>
      </c>
      <c r="CE1" s="234" t="s">
        <v>1457</v>
      </c>
      <c r="CF1" s="234" t="s">
        <v>1457</v>
      </c>
      <c r="CG1" s="234" t="s">
        <v>1457</v>
      </c>
      <c r="CH1" s="234" t="s">
        <v>1457</v>
      </c>
      <c r="CI1" s="234" t="s">
        <v>1457</v>
      </c>
      <c r="CJ1" s="234" t="s">
        <v>1457</v>
      </c>
      <c r="CK1" s="234" t="s">
        <v>1457</v>
      </c>
      <c r="CL1" s="234" t="s">
        <v>1457</v>
      </c>
      <c r="CM1" s="234" t="s">
        <v>1457</v>
      </c>
      <c r="CN1" s="234" t="s">
        <v>1457</v>
      </c>
      <c r="CO1" s="234" t="s">
        <v>1457</v>
      </c>
      <c r="CP1" s="234" t="s">
        <v>1457</v>
      </c>
      <c r="CQ1" s="234" t="s">
        <v>1457</v>
      </c>
      <c r="CR1" s="234" t="s">
        <v>1457</v>
      </c>
      <c r="CS1" s="234" t="s">
        <v>1457</v>
      </c>
      <c r="CT1" s="234" t="s">
        <v>1457</v>
      </c>
      <c r="CU1" s="234" t="s">
        <v>1457</v>
      </c>
      <c r="CV1" s="234" t="s">
        <v>1457</v>
      </c>
      <c r="CW1" s="234" t="s">
        <v>1457</v>
      </c>
      <c r="CX1" s="234" t="s">
        <v>1457</v>
      </c>
      <c r="CY1" s="234" t="s">
        <v>1457</v>
      </c>
      <c r="CZ1" s="234" t="s">
        <v>1457</v>
      </c>
      <c r="DA1" s="234" t="s">
        <v>1457</v>
      </c>
      <c r="DB1" s="234" t="s">
        <v>1457</v>
      </c>
      <c r="DC1" s="234" t="s">
        <v>1457</v>
      </c>
      <c r="DD1" s="234" t="s">
        <v>1457</v>
      </c>
      <c r="DE1" s="234" t="s">
        <v>1457</v>
      </c>
      <c r="DF1" s="234" t="s">
        <v>1457</v>
      </c>
      <c r="DG1" s="234" t="s">
        <v>1457</v>
      </c>
      <c r="DH1" s="234" t="s">
        <v>1457</v>
      </c>
      <c r="DI1" s="234" t="s">
        <v>1457</v>
      </c>
      <c r="DJ1" s="234" t="s">
        <v>1457</v>
      </c>
      <c r="DK1" s="234" t="s">
        <v>1457</v>
      </c>
      <c r="DL1" s="234" t="s">
        <v>1457</v>
      </c>
      <c r="DM1" s="234" t="s">
        <v>1457</v>
      </c>
      <c r="DN1" s="234" t="s">
        <v>1457</v>
      </c>
      <c r="DO1" s="234" t="s">
        <v>1457</v>
      </c>
      <c r="DP1" s="234" t="s">
        <v>1457</v>
      </c>
      <c r="DQ1" s="234" t="s">
        <v>1457</v>
      </c>
      <c r="DR1" s="234" t="s">
        <v>1457</v>
      </c>
      <c r="DS1" s="234" t="s">
        <v>1457</v>
      </c>
      <c r="DT1" s="234" t="s">
        <v>1457</v>
      </c>
      <c r="DU1" s="229" t="s">
        <v>1457</v>
      </c>
      <c r="DV1" s="229" t="s">
        <v>1457</v>
      </c>
      <c r="DW1" s="229" t="s">
        <v>1457</v>
      </c>
      <c r="DX1" s="229" t="s">
        <v>1457</v>
      </c>
      <c r="DY1" s="229" t="s">
        <v>1457</v>
      </c>
      <c r="DZ1" s="229" t="s">
        <v>1457</v>
      </c>
      <c r="EA1" s="229" t="s">
        <v>1457</v>
      </c>
      <c r="EB1" s="229" t="s">
        <v>1457</v>
      </c>
      <c r="EC1" s="229" t="s">
        <v>1457</v>
      </c>
      <c r="ED1" s="229" t="s">
        <v>1457</v>
      </c>
      <c r="EE1" s="229" t="s">
        <v>1457</v>
      </c>
      <c r="EF1" s="229" t="s">
        <v>1457</v>
      </c>
      <c r="EG1" s="229" t="s">
        <v>1457</v>
      </c>
      <c r="EH1" s="229" t="s">
        <v>1457</v>
      </c>
      <c r="EI1" s="229" t="s">
        <v>1457</v>
      </c>
      <c r="EJ1" s="229" t="s">
        <v>1457</v>
      </c>
      <c r="EK1" s="229" t="s">
        <v>1457</v>
      </c>
      <c r="EL1" s="229" t="s">
        <v>1457</v>
      </c>
      <c r="EM1" s="229" t="s">
        <v>1457</v>
      </c>
      <c r="EN1" s="229" t="s">
        <v>1457</v>
      </c>
      <c r="EO1" s="229" t="s">
        <v>1457</v>
      </c>
      <c r="EP1" s="229" t="s">
        <v>1457</v>
      </c>
      <c r="EQ1" s="229" t="s">
        <v>1457</v>
      </c>
      <c r="ER1" s="229" t="s">
        <v>1457</v>
      </c>
      <c r="ES1" s="229" t="s">
        <v>1457</v>
      </c>
      <c r="ET1" s="229" t="s">
        <v>1457</v>
      </c>
      <c r="EU1" s="229" t="s">
        <v>1457</v>
      </c>
      <c r="EV1" s="229" t="s">
        <v>1457</v>
      </c>
      <c r="EW1" s="355" t="s">
        <v>1268</v>
      </c>
      <c r="EX1" s="300" t="s">
        <v>1269</v>
      </c>
      <c r="EY1" s="355" t="s">
        <v>1270</v>
      </c>
      <c r="FA1" s="231" t="s">
        <v>1399</v>
      </c>
      <c r="FB1" s="250"/>
      <c r="FC1" s="231"/>
      <c r="FD1" s="229" t="s">
        <v>1457</v>
      </c>
      <c r="FE1" s="397" t="s">
        <v>1457</v>
      </c>
    </row>
    <row r="2" spans="1:161" ht="24" customHeight="1" x14ac:dyDescent="0.4">
      <c r="C2" s="229"/>
      <c r="D2" s="356" t="s">
        <v>8</v>
      </c>
      <c r="F2" s="235"/>
      <c r="G2" s="235"/>
      <c r="BN2" s="38" t="s">
        <v>1101</v>
      </c>
      <c r="BO2" s="39"/>
      <c r="DV2" s="237" t="s">
        <v>1212</v>
      </c>
      <c r="DW2" s="238" t="s">
        <v>1127</v>
      </c>
      <c r="DX2" s="239" t="s">
        <v>1051</v>
      </c>
      <c r="DY2" s="240" t="s">
        <v>1052</v>
      </c>
      <c r="DZ2" s="240" t="s">
        <v>1093</v>
      </c>
      <c r="EA2" s="240" t="s">
        <v>1093</v>
      </c>
      <c r="EB2" s="240" t="s">
        <v>1073</v>
      </c>
      <c r="EC2" s="240" t="s">
        <v>1074</v>
      </c>
      <c r="ED2" s="240" t="s">
        <v>1093</v>
      </c>
      <c r="EE2" s="240" t="s">
        <v>1073</v>
      </c>
      <c r="EF2" s="240" t="s">
        <v>1077</v>
      </c>
      <c r="EG2" s="240" t="s">
        <v>1086</v>
      </c>
      <c r="EH2" s="240" t="s">
        <v>1059</v>
      </c>
      <c r="EI2" s="240" t="s">
        <v>1060</v>
      </c>
      <c r="EJ2" s="240" t="s">
        <v>1173</v>
      </c>
      <c r="EK2" s="239" t="s">
        <v>1177</v>
      </c>
      <c r="EL2" s="240" t="s">
        <v>1078</v>
      </c>
      <c r="EM2" s="240" t="s">
        <v>1112</v>
      </c>
      <c r="EN2" s="240" t="s">
        <v>1137</v>
      </c>
      <c r="EO2" s="357" t="s">
        <v>1281</v>
      </c>
      <c r="EP2" s="357" t="s">
        <v>1281</v>
      </c>
      <c r="EQ2" s="240" t="s">
        <v>20</v>
      </c>
      <c r="ER2" s="239" t="s">
        <v>1255</v>
      </c>
      <c r="ES2" s="240" t="s">
        <v>1267</v>
      </c>
      <c r="ET2" s="239" t="s">
        <v>1271</v>
      </c>
      <c r="EU2" s="239" t="s">
        <v>1272</v>
      </c>
      <c r="EV2" s="239" t="s">
        <v>1273</v>
      </c>
      <c r="EW2" s="34" t="s">
        <v>1061</v>
      </c>
      <c r="EX2" s="34">
        <v>129.06</v>
      </c>
      <c r="EY2" s="358">
        <v>0.12906000000000001</v>
      </c>
      <c r="FA2" s="300" t="s">
        <v>1364</v>
      </c>
      <c r="FB2" s="301" t="s">
        <v>1366</v>
      </c>
      <c r="FC2" s="302" t="s">
        <v>1398</v>
      </c>
    </row>
    <row r="3" spans="1:161" x14ac:dyDescent="0.25">
      <c r="C3" s="229"/>
      <c r="D3" s="229"/>
      <c r="F3" s="235"/>
      <c r="G3" s="235"/>
      <c r="BN3" s="234" t="s">
        <v>1117</v>
      </c>
      <c r="BO3" s="39">
        <f>IF(D196="",0,D196)</f>
        <v>0</v>
      </c>
      <c r="BP3" s="234" t="s">
        <v>1116</v>
      </c>
      <c r="DV3" s="229" t="s">
        <v>1213</v>
      </c>
      <c r="DW3" s="232" t="s">
        <v>1141</v>
      </c>
      <c r="DX3" s="34">
        <v>0</v>
      </c>
      <c r="DY3" s="229" t="s">
        <v>14</v>
      </c>
      <c r="DZ3" s="229" t="s">
        <v>14</v>
      </c>
      <c r="EA3" s="229" t="s">
        <v>1085</v>
      </c>
      <c r="EB3" s="35">
        <v>1.8</v>
      </c>
      <c r="EC3" s="35" t="s">
        <v>26</v>
      </c>
      <c r="ED3" s="229" t="s">
        <v>1085</v>
      </c>
      <c r="EE3" s="35">
        <v>1.8</v>
      </c>
      <c r="EF3" s="229" t="s">
        <v>17</v>
      </c>
      <c r="EG3" s="35" t="s">
        <v>1087</v>
      </c>
      <c r="EH3" s="36">
        <v>2015</v>
      </c>
      <c r="EI3" s="36" t="s">
        <v>1061</v>
      </c>
      <c r="EJ3" s="36">
        <v>1</v>
      </c>
      <c r="EK3" s="37">
        <v>744</v>
      </c>
      <c r="EL3" s="34" t="s">
        <v>1091</v>
      </c>
      <c r="EM3" s="34" t="s">
        <v>1217</v>
      </c>
      <c r="EN3" s="36" t="s">
        <v>1075</v>
      </c>
      <c r="EO3" s="61" t="s">
        <v>1280</v>
      </c>
      <c r="EP3" s="61" t="s">
        <v>1283</v>
      </c>
      <c r="EQ3" s="36" t="s">
        <v>1252</v>
      </c>
      <c r="ER3" s="231" t="s">
        <v>1256</v>
      </c>
      <c r="ES3" s="36" t="s">
        <v>1252</v>
      </c>
      <c r="ET3" s="231" t="s">
        <v>1265</v>
      </c>
      <c r="EU3" s="231" t="s">
        <v>1265</v>
      </c>
      <c r="EV3" s="231" t="s">
        <v>1265</v>
      </c>
      <c r="EW3" s="34" t="s">
        <v>1062</v>
      </c>
      <c r="EX3" s="34">
        <v>114.74</v>
      </c>
      <c r="EY3" s="358">
        <f t="shared" ref="EY3:EY13" si="0">EX3/1000</f>
        <v>0.11473999999999999</v>
      </c>
      <c r="FA3" s="229" t="str">
        <f>'Indata byggnad och BBR krav'!Y8</f>
        <v>El</v>
      </c>
      <c r="FB3" s="229" t="str">
        <f>'Indata byggnad och BBR krav'!Z8</f>
        <v>Generisk data</v>
      </c>
      <c r="FC3" s="229">
        <f>'Indata byggnad och BBR krav'!AA8</f>
        <v>2.1999999999999999E-2</v>
      </c>
    </row>
    <row r="4" spans="1:161" ht="16.5" customHeight="1" x14ac:dyDescent="0.25">
      <c r="C4" s="229"/>
      <c r="D4" s="229"/>
      <c r="F4" s="235"/>
      <c r="Y4" s="236" t="s">
        <v>1204</v>
      </c>
      <c r="Z4" s="396" t="s">
        <v>1206</v>
      </c>
      <c r="BN4" s="234" t="s">
        <v>1118</v>
      </c>
      <c r="BO4" s="39">
        <f>IF(D198="",0,D198)</f>
        <v>21</v>
      </c>
      <c r="BP4" s="234" t="s">
        <v>1121</v>
      </c>
      <c r="CB4" s="38"/>
      <c r="CF4" s="41"/>
      <c r="DV4" s="229" t="s">
        <v>1214</v>
      </c>
      <c r="DW4" s="232" t="s">
        <v>1142</v>
      </c>
      <c r="DX4" s="34">
        <v>1</v>
      </c>
      <c r="DY4" s="229" t="s">
        <v>15</v>
      </c>
      <c r="DZ4" s="229" t="s">
        <v>1085</v>
      </c>
      <c r="EA4" s="229" t="s">
        <v>14</v>
      </c>
      <c r="EB4" s="35">
        <v>0.7</v>
      </c>
      <c r="EC4" s="35" t="s">
        <v>25</v>
      </c>
      <c r="ED4" s="229" t="s">
        <v>25</v>
      </c>
      <c r="EE4" s="35">
        <v>0.6</v>
      </c>
      <c r="EF4" s="229" t="s">
        <v>16</v>
      </c>
      <c r="EG4" s="35" t="s">
        <v>1088</v>
      </c>
      <c r="EH4" s="36">
        <v>2016</v>
      </c>
      <c r="EI4" s="36" t="s">
        <v>1062</v>
      </c>
      <c r="EJ4" s="36">
        <v>2</v>
      </c>
      <c r="EK4" s="37">
        <v>672</v>
      </c>
      <c r="EL4" s="34" t="s">
        <v>1080</v>
      </c>
      <c r="EM4" s="34" t="s">
        <v>1218</v>
      </c>
      <c r="EN4" s="36" t="s">
        <v>1046</v>
      </c>
      <c r="EO4" s="61" t="s">
        <v>1282</v>
      </c>
      <c r="EP4" s="61" t="s">
        <v>1157</v>
      </c>
      <c r="EQ4" s="36" t="s">
        <v>1222</v>
      </c>
      <c r="ER4" s="231" t="s">
        <v>1257</v>
      </c>
      <c r="ES4" s="36" t="s">
        <v>1222</v>
      </c>
      <c r="ET4" s="231" t="s">
        <v>1274</v>
      </c>
      <c r="EU4" s="231" t="s">
        <v>1274</v>
      </c>
      <c r="EV4" s="231" t="s">
        <v>1274</v>
      </c>
      <c r="EW4" s="34" t="s">
        <v>1063</v>
      </c>
      <c r="EX4" s="34">
        <v>115.59</v>
      </c>
      <c r="EY4" s="358">
        <f t="shared" si="0"/>
        <v>0.11559</v>
      </c>
      <c r="FA4" s="229" t="str">
        <f>'Indata byggnad och BBR krav'!Y9</f>
        <v>Fjärrvärme</v>
      </c>
      <c r="FB4" s="229" t="str">
        <f>'Indata byggnad och BBR krav'!Z9</f>
        <v>Generisk data</v>
      </c>
      <c r="FC4" s="229">
        <f>'Indata byggnad och BBR krav'!AA9</f>
        <v>0.06</v>
      </c>
    </row>
    <row r="5" spans="1:161" ht="16.5" customHeight="1" x14ac:dyDescent="0.25">
      <c r="C5" s="229"/>
      <c r="D5" s="229"/>
      <c r="F5" s="235"/>
      <c r="Z5" s="233" t="s">
        <v>1206</v>
      </c>
      <c r="BN5" s="234" t="s">
        <v>1122</v>
      </c>
      <c r="BO5" s="39">
        <f>'Indata byggnad och BBR krav'!C17</f>
        <v>0</v>
      </c>
      <c r="BP5" s="234" t="s">
        <v>1129</v>
      </c>
      <c r="CY5" s="31"/>
      <c r="DC5" s="42"/>
      <c r="DD5" s="42"/>
      <c r="DE5" s="42"/>
      <c r="DF5" s="42"/>
      <c r="DL5" s="42"/>
      <c r="DM5" s="42"/>
      <c r="DN5" s="42"/>
      <c r="DO5" s="42"/>
      <c r="DW5" s="232"/>
      <c r="DX5" s="34">
        <v>2</v>
      </c>
      <c r="DY5" s="229" t="s">
        <v>1053</v>
      </c>
      <c r="DZ5" s="229" t="s">
        <v>1085</v>
      </c>
      <c r="EA5" s="229" t="s">
        <v>1095</v>
      </c>
      <c r="EB5" s="241">
        <v>0.6</v>
      </c>
      <c r="EC5" s="35"/>
      <c r="ED5" s="35"/>
      <c r="EE5" s="35"/>
      <c r="EF5" s="229" t="s">
        <v>1076</v>
      </c>
      <c r="EG5" s="229" t="s">
        <v>1089</v>
      </c>
      <c r="EH5" s="36">
        <v>2017</v>
      </c>
      <c r="EI5" s="36" t="s">
        <v>1063</v>
      </c>
      <c r="EJ5" s="36">
        <v>3</v>
      </c>
      <c r="EK5" s="37">
        <v>744</v>
      </c>
      <c r="ER5" s="231" t="s">
        <v>1254</v>
      </c>
      <c r="ET5" s="231" t="s">
        <v>1254</v>
      </c>
      <c r="EU5" s="231" t="s">
        <v>1254</v>
      </c>
      <c r="EV5" s="231" t="s">
        <v>1254</v>
      </c>
      <c r="EW5" s="34" t="s">
        <v>1064</v>
      </c>
      <c r="EX5" s="34">
        <v>98.08</v>
      </c>
      <c r="EY5" s="358">
        <f t="shared" si="0"/>
        <v>9.8080000000000001E-2</v>
      </c>
      <c r="FA5" s="229" t="str">
        <f>'Indata byggnad och BBR krav'!Y10</f>
        <v>Biobränsle</v>
      </c>
      <c r="FB5" s="229" t="str">
        <f>'Indata byggnad och BBR krav'!Z10</f>
        <v>Generisk data</v>
      </c>
      <c r="FC5" s="229">
        <f>'Indata byggnad och BBR krav'!AA10</f>
        <v>2.1999999999999999E-2</v>
      </c>
    </row>
    <row r="6" spans="1:161" s="231" customFormat="1" ht="16.5" customHeight="1" x14ac:dyDescent="0.25">
      <c r="F6" s="235"/>
      <c r="H6" s="232"/>
      <c r="K6" s="232"/>
      <c r="N6" s="232"/>
      <c r="X6" s="233"/>
      <c r="Y6" s="233"/>
      <c r="Z6" s="233" t="s">
        <v>1205</v>
      </c>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4"/>
      <c r="AZ6" s="38"/>
      <c r="BA6" s="234"/>
      <c r="BB6" s="234"/>
      <c r="BC6" s="234"/>
      <c r="BD6" s="234"/>
      <c r="BE6" s="234"/>
      <c r="BF6" s="234"/>
      <c r="BG6" s="234"/>
      <c r="BH6" s="234"/>
      <c r="BI6" s="234"/>
      <c r="BJ6" s="234"/>
      <c r="BK6" s="234"/>
      <c r="BL6" s="234"/>
      <c r="BM6" s="234"/>
      <c r="BN6" s="42" t="s">
        <v>1123</v>
      </c>
      <c r="BO6" s="39">
        <f>'Indata byggnad och BBR krav'!C18</f>
        <v>0</v>
      </c>
      <c r="BP6" s="234" t="s">
        <v>1129</v>
      </c>
      <c r="BQ6" s="234"/>
      <c r="BR6" s="234"/>
      <c r="BS6" s="234"/>
      <c r="BT6" s="234"/>
      <c r="BU6" s="234"/>
      <c r="BV6" s="234"/>
      <c r="BW6" s="234"/>
      <c r="BX6" s="234"/>
      <c r="BY6" s="234"/>
      <c r="BZ6" s="234"/>
      <c r="CA6" s="234"/>
      <c r="CB6" s="234"/>
      <c r="CC6" s="41"/>
      <c r="CD6" s="234"/>
      <c r="CE6" s="234"/>
      <c r="CF6" s="234"/>
      <c r="CG6" s="234"/>
      <c r="CH6" s="234"/>
      <c r="CI6" s="234"/>
      <c r="CJ6" s="234"/>
      <c r="CK6" s="234"/>
      <c r="CL6" s="234"/>
      <c r="CM6" s="234"/>
      <c r="CN6" s="234"/>
      <c r="CO6" s="234"/>
      <c r="CP6" s="234"/>
      <c r="CQ6" s="234"/>
      <c r="CR6" s="234"/>
      <c r="CS6" s="234"/>
      <c r="CT6" s="234"/>
      <c r="CU6" s="234"/>
      <c r="CV6" s="234"/>
      <c r="CW6" s="234"/>
      <c r="CX6" s="234"/>
      <c r="CY6" s="31"/>
      <c r="CZ6" s="234"/>
      <c r="DA6" s="234"/>
      <c r="DB6" s="234"/>
      <c r="DC6" s="234"/>
      <c r="DD6" s="38"/>
      <c r="DE6" s="234"/>
      <c r="DF6" s="234"/>
      <c r="DG6" s="234"/>
      <c r="DH6" s="234"/>
      <c r="DI6" s="234"/>
      <c r="DJ6" s="234"/>
      <c r="DK6" s="234"/>
      <c r="DL6" s="234"/>
      <c r="DM6" s="38"/>
      <c r="DN6" s="234"/>
      <c r="DO6" s="234"/>
      <c r="DP6" s="234"/>
      <c r="DQ6" s="234"/>
      <c r="DR6" s="234"/>
      <c r="DS6" s="234"/>
      <c r="DT6" s="234"/>
      <c r="DU6" s="229"/>
      <c r="DV6" s="229"/>
      <c r="DW6" s="232"/>
      <c r="DX6" s="34">
        <v>3</v>
      </c>
      <c r="DY6" s="229" t="s">
        <v>1054</v>
      </c>
      <c r="DZ6" s="229" t="s">
        <v>1095</v>
      </c>
      <c r="EA6" s="229" t="s">
        <v>1096</v>
      </c>
      <c r="EB6" s="35">
        <v>1.8</v>
      </c>
      <c r="EC6" s="35"/>
      <c r="ED6" s="35"/>
      <c r="EE6" s="35"/>
      <c r="EF6" s="229" t="s">
        <v>1083</v>
      </c>
      <c r="EG6" s="229" t="s">
        <v>1090</v>
      </c>
      <c r="EH6" s="36">
        <v>2018</v>
      </c>
      <c r="EI6" s="36" t="s">
        <v>1064</v>
      </c>
      <c r="EJ6" s="36">
        <v>4</v>
      </c>
      <c r="EK6" s="37">
        <v>720</v>
      </c>
      <c r="EL6" s="229"/>
      <c r="EM6" s="229"/>
      <c r="EN6" s="229"/>
      <c r="EO6" s="229"/>
      <c r="EP6" s="229"/>
      <c r="EQ6" s="229"/>
      <c r="ER6" s="229"/>
      <c r="ES6" s="229"/>
      <c r="EW6" s="34" t="s">
        <v>1065</v>
      </c>
      <c r="EX6" s="34">
        <v>68.42</v>
      </c>
      <c r="EY6" s="358">
        <f t="shared" si="0"/>
        <v>6.8420000000000009E-2</v>
      </c>
      <c r="EZ6" s="229"/>
      <c r="FA6" s="229" t="str">
        <f>'Indata byggnad och BBR krav'!Y11</f>
        <v>Gas (Naturgas)</v>
      </c>
      <c r="FB6" s="229" t="str">
        <f>'Indata byggnad och BBR krav'!Z11</f>
        <v>Generisk data</v>
      </c>
      <c r="FC6" s="229">
        <f>'Indata byggnad och BBR krav'!AA11</f>
        <v>0.26369999999999999</v>
      </c>
    </row>
    <row r="7" spans="1:161" s="231" customFormat="1" ht="28.5" customHeight="1" x14ac:dyDescent="0.25">
      <c r="F7" s="235"/>
      <c r="H7" s="232"/>
      <c r="K7" s="37"/>
      <c r="L7" s="34"/>
      <c r="N7" s="232"/>
      <c r="X7" s="233"/>
      <c r="Y7" s="242"/>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4"/>
      <c r="AZ7" s="38"/>
      <c r="BA7" s="234"/>
      <c r="BB7" s="234"/>
      <c r="BC7" s="234"/>
      <c r="BD7" s="234"/>
      <c r="BE7" s="234"/>
      <c r="BF7" s="234"/>
      <c r="BG7" s="234"/>
      <c r="BH7" s="234"/>
      <c r="BI7" s="234"/>
      <c r="BJ7" s="234"/>
      <c r="BK7" s="234"/>
      <c r="BL7" s="234"/>
      <c r="BM7" s="234"/>
      <c r="BN7" s="41" t="s">
        <v>1247</v>
      </c>
      <c r="BO7" s="39">
        <f>(BO5*BO3+BO6*BO4)/100</f>
        <v>0</v>
      </c>
      <c r="BP7" s="234" t="s">
        <v>1124</v>
      </c>
      <c r="BQ7" s="234"/>
      <c r="BR7" s="234"/>
      <c r="BS7" s="234"/>
      <c r="BT7" s="234"/>
      <c r="BU7" s="234"/>
      <c r="BV7" s="234"/>
      <c r="BW7" s="234"/>
      <c r="BX7" s="234"/>
      <c r="BY7" s="234"/>
      <c r="BZ7" s="234"/>
      <c r="CA7" s="234"/>
      <c r="CB7" s="234"/>
      <c r="CC7" s="41"/>
      <c r="CD7" s="39"/>
      <c r="CE7" s="234"/>
      <c r="CF7" s="234"/>
      <c r="CG7" s="234"/>
      <c r="CH7" s="234"/>
      <c r="CI7" s="41"/>
      <c r="CJ7" s="234"/>
      <c r="CK7" s="234"/>
      <c r="CL7" s="234"/>
      <c r="CM7" s="234"/>
      <c r="CN7" s="234"/>
      <c r="CO7" s="234"/>
      <c r="CP7" s="234"/>
      <c r="CQ7" s="234"/>
      <c r="CR7" s="234"/>
      <c r="CS7" s="234"/>
      <c r="CT7" s="234"/>
      <c r="CU7" s="234"/>
      <c r="CV7" s="234"/>
      <c r="CW7" s="234"/>
      <c r="CX7" s="234"/>
      <c r="CY7" s="31"/>
      <c r="CZ7" s="234"/>
      <c r="DA7" s="234"/>
      <c r="DB7" s="234"/>
      <c r="DC7" s="234"/>
      <c r="DD7" s="43"/>
      <c r="DE7" s="234"/>
      <c r="DF7" s="234"/>
      <c r="DG7" s="234"/>
      <c r="DH7" s="234"/>
      <c r="DI7" s="234"/>
      <c r="DJ7" s="234"/>
      <c r="DK7" s="234"/>
      <c r="DL7" s="234"/>
      <c r="DM7" s="43"/>
      <c r="DN7" s="234"/>
      <c r="DO7" s="234"/>
      <c r="DP7" s="234"/>
      <c r="DQ7" s="234"/>
      <c r="DR7" s="234"/>
      <c r="DS7" s="234"/>
      <c r="DT7" s="234"/>
      <c r="DU7" s="229"/>
      <c r="DV7" s="229"/>
      <c r="DW7" s="232"/>
      <c r="DX7" s="34">
        <v>4</v>
      </c>
      <c r="DY7" s="231" t="s">
        <v>1056</v>
      </c>
      <c r="DZ7" s="229" t="s">
        <v>1095</v>
      </c>
      <c r="EA7" s="231" t="s">
        <v>1097</v>
      </c>
      <c r="EB7" s="241">
        <v>1.8</v>
      </c>
      <c r="EC7" s="35"/>
      <c r="ED7" s="35"/>
      <c r="EE7" s="35"/>
      <c r="EF7" s="229"/>
      <c r="EG7" s="229"/>
      <c r="EH7" s="36">
        <v>2019</v>
      </c>
      <c r="EI7" s="36" t="s">
        <v>1065</v>
      </c>
      <c r="EJ7" s="36">
        <v>5</v>
      </c>
      <c r="EK7" s="37">
        <v>744</v>
      </c>
      <c r="EL7" s="229"/>
      <c r="EM7" s="229"/>
      <c r="EN7" s="229"/>
      <c r="EO7" s="229"/>
      <c r="EP7" s="229"/>
      <c r="EQ7" s="229"/>
      <c r="ER7" s="229"/>
      <c r="ES7" s="229"/>
      <c r="EW7" s="34" t="s">
        <v>1066</v>
      </c>
      <c r="EX7" s="34">
        <v>41.13</v>
      </c>
      <c r="EY7" s="358">
        <f t="shared" si="0"/>
        <v>4.113E-2</v>
      </c>
      <c r="EZ7" s="229"/>
      <c r="FA7" s="229" t="str">
        <f>'Indata byggnad och BBR krav'!Y12</f>
        <v>Olja</v>
      </c>
      <c r="FB7" s="229" t="str">
        <f>'Indata byggnad och BBR krav'!Z12</f>
        <v>Generisk data</v>
      </c>
      <c r="FC7" s="229">
        <f>'Indata byggnad och BBR krav'!AA12</f>
        <v>0.30130000000000001</v>
      </c>
    </row>
    <row r="8" spans="1:161" s="231" customFormat="1" ht="16.5" customHeight="1" x14ac:dyDescent="0.25">
      <c r="F8" s="40"/>
      <c r="H8" s="232"/>
      <c r="I8" s="34"/>
      <c r="J8" s="34"/>
      <c r="K8" s="37"/>
      <c r="L8" s="34"/>
      <c r="N8" s="232"/>
      <c r="X8" s="236"/>
      <c r="Y8" s="242"/>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4"/>
      <c r="AZ8" s="38"/>
      <c r="BA8" s="234"/>
      <c r="BB8" s="234"/>
      <c r="BC8" s="234"/>
      <c r="BD8" s="234"/>
      <c r="BE8" s="234"/>
      <c r="BF8" s="234"/>
      <c r="BG8" s="234"/>
      <c r="BH8" s="234"/>
      <c r="BI8" s="234"/>
      <c r="BJ8" s="234"/>
      <c r="BK8" s="234"/>
      <c r="BL8" s="234"/>
      <c r="BM8" s="234"/>
      <c r="BN8" s="41" t="s">
        <v>1125</v>
      </c>
      <c r="BO8" s="288" t="e">
        <f>IF(AND($D$177="Separat mätdata finns",$D$194&gt;10),$D$194,$BO$7)</f>
        <v>#DIV/0!</v>
      </c>
      <c r="BP8" s="234" t="s">
        <v>1124</v>
      </c>
      <c r="BQ8" s="234"/>
      <c r="BR8" s="234"/>
      <c r="BS8" s="234"/>
      <c r="BT8" s="234"/>
      <c r="BU8" s="234"/>
      <c r="BV8" s="234"/>
      <c r="BW8" s="234"/>
      <c r="BX8" s="234"/>
      <c r="BY8" s="234"/>
      <c r="BZ8" s="234"/>
      <c r="CA8" s="234"/>
      <c r="CB8" s="234"/>
      <c r="CC8" s="41"/>
      <c r="CD8" s="39"/>
      <c r="CE8" s="234"/>
      <c r="CF8" s="234"/>
      <c r="CG8" s="234"/>
      <c r="CH8" s="234"/>
      <c r="CI8" s="234"/>
      <c r="CJ8" s="234"/>
      <c r="CK8" s="234"/>
      <c r="CL8" s="234"/>
      <c r="CM8" s="234"/>
      <c r="CN8" s="234"/>
      <c r="CO8" s="234"/>
      <c r="CP8" s="234"/>
      <c r="CQ8" s="234"/>
      <c r="CR8" s="234"/>
      <c r="CS8" s="234"/>
      <c r="CT8" s="234"/>
      <c r="CU8" s="234"/>
      <c r="CV8" s="234"/>
      <c r="CW8" s="234"/>
      <c r="CX8" s="234"/>
      <c r="CY8" s="31"/>
      <c r="CZ8" s="234"/>
      <c r="DA8" s="234"/>
      <c r="DB8" s="234"/>
      <c r="DC8" s="234"/>
      <c r="DD8" s="43"/>
      <c r="DE8" s="234"/>
      <c r="DF8" s="234"/>
      <c r="DG8" s="234"/>
      <c r="DH8" s="234"/>
      <c r="DI8" s="234"/>
      <c r="DJ8" s="234"/>
      <c r="DK8" s="234"/>
      <c r="DL8" s="234"/>
      <c r="DM8" s="43"/>
      <c r="DN8" s="234"/>
      <c r="DO8" s="234"/>
      <c r="DP8" s="234"/>
      <c r="DQ8" s="234"/>
      <c r="DR8" s="234"/>
      <c r="DS8" s="234"/>
      <c r="DT8" s="234"/>
      <c r="DW8" s="232"/>
      <c r="DX8" s="34">
        <v>5</v>
      </c>
      <c r="DY8" s="231" t="s">
        <v>1057</v>
      </c>
      <c r="DZ8" s="231" t="s">
        <v>1097</v>
      </c>
      <c r="EB8" s="241"/>
      <c r="EC8" s="241"/>
      <c r="ED8" s="241"/>
      <c r="EE8" s="241"/>
      <c r="EH8" s="36">
        <v>2020</v>
      </c>
      <c r="EI8" s="34" t="s">
        <v>1066</v>
      </c>
      <c r="EJ8" s="36">
        <v>6</v>
      </c>
      <c r="EK8" s="37">
        <v>720</v>
      </c>
      <c r="EW8" s="34" t="s">
        <v>1067</v>
      </c>
      <c r="EX8" s="34">
        <v>30.96</v>
      </c>
      <c r="EY8" s="358">
        <f t="shared" si="0"/>
        <v>3.0960000000000001E-2</v>
      </c>
      <c r="FA8" s="229" t="str">
        <f>'Indata byggnad och BBR krav'!Y13</f>
        <v>Fjärrkyla</v>
      </c>
      <c r="FB8" s="229" t="str">
        <f>'Indata byggnad och BBR krav'!Z13</f>
        <v>Generisk data</v>
      </c>
      <c r="FC8" s="229">
        <f>'Indata byggnad och BBR krav'!AA13</f>
        <v>0.06</v>
      </c>
    </row>
    <row r="9" spans="1:161" s="231" customFormat="1" ht="16.5" customHeight="1" x14ac:dyDescent="0.3">
      <c r="C9" s="230" t="s">
        <v>1422</v>
      </c>
      <c r="F9" s="40"/>
      <c r="H9" s="232"/>
      <c r="I9" s="34"/>
      <c r="J9" s="34"/>
      <c r="K9" s="37"/>
      <c r="L9" s="34"/>
      <c r="N9" s="232"/>
      <c r="X9" s="233"/>
      <c r="Y9" s="24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4"/>
      <c r="AZ9" s="33" t="s">
        <v>1104</v>
      </c>
      <c r="BA9" s="234"/>
      <c r="BB9" s="234"/>
      <c r="BC9" s="234"/>
      <c r="BD9" s="234"/>
      <c r="BE9" s="234"/>
      <c r="BF9" s="234"/>
      <c r="BG9" s="234"/>
      <c r="BH9" s="33"/>
      <c r="BI9" s="234"/>
      <c r="BJ9" s="234"/>
      <c r="BK9" s="234"/>
      <c r="BL9" s="234"/>
      <c r="BM9" s="234"/>
      <c r="BN9" s="41" t="s">
        <v>1126</v>
      </c>
      <c r="BO9" s="44" t="e">
        <f>BO8-BO7</f>
        <v>#DIV/0!</v>
      </c>
      <c r="BP9" s="234" t="s">
        <v>1124</v>
      </c>
      <c r="BQ9" s="234"/>
      <c r="BR9" s="234"/>
      <c r="BS9" s="234"/>
      <c r="BT9" s="234"/>
      <c r="BU9" s="234"/>
      <c r="BV9" s="234"/>
      <c r="BW9" s="234"/>
      <c r="BX9" s="234"/>
      <c r="BY9" s="234"/>
      <c r="BZ9" s="234"/>
      <c r="CA9" s="234"/>
      <c r="CB9" s="38" t="s">
        <v>1168</v>
      </c>
      <c r="CC9" s="41"/>
      <c r="CD9" s="39"/>
      <c r="CE9" s="234"/>
      <c r="CF9" s="234"/>
      <c r="CG9" s="234"/>
      <c r="CH9" s="234"/>
      <c r="CI9" s="234"/>
      <c r="CJ9" s="38" t="s">
        <v>1109</v>
      </c>
      <c r="CK9" s="234"/>
      <c r="CL9" s="234"/>
      <c r="CM9" s="234"/>
      <c r="CN9" s="234"/>
      <c r="CO9" s="234"/>
      <c r="CP9" s="234"/>
      <c r="CQ9" s="234"/>
      <c r="CR9" s="234"/>
      <c r="CS9" s="234"/>
      <c r="CT9" s="234"/>
      <c r="CU9" s="234"/>
      <c r="CV9" s="234"/>
      <c r="CW9" s="234"/>
      <c r="CX9" s="234"/>
      <c r="CY9" s="31"/>
      <c r="CZ9" s="234"/>
      <c r="DA9" s="234"/>
      <c r="DB9" s="234"/>
      <c r="DC9" s="234"/>
      <c r="DD9" s="234"/>
      <c r="DE9" s="234"/>
      <c r="DF9" s="234"/>
      <c r="DG9" s="234"/>
      <c r="DH9" s="234"/>
      <c r="DI9" s="234"/>
      <c r="DJ9" s="234"/>
      <c r="DK9" s="234"/>
      <c r="DL9" s="234"/>
      <c r="DM9" s="234"/>
      <c r="DN9" s="234"/>
      <c r="DO9" s="234"/>
      <c r="DP9" s="234"/>
      <c r="DQ9" s="234"/>
      <c r="DR9" s="234"/>
      <c r="DS9" s="234"/>
      <c r="DT9" s="234"/>
      <c r="DW9" s="232"/>
      <c r="DY9" s="229" t="s">
        <v>1055</v>
      </c>
      <c r="DZ9" s="231" t="s">
        <v>1096</v>
      </c>
      <c r="EC9" s="241"/>
      <c r="ED9" s="241"/>
      <c r="EE9" s="241"/>
      <c r="EH9" s="36">
        <v>2021</v>
      </c>
      <c r="EI9" s="34" t="s">
        <v>1067</v>
      </c>
      <c r="EJ9" s="36">
        <v>7</v>
      </c>
      <c r="EK9" s="37">
        <v>744</v>
      </c>
      <c r="EW9" s="34" t="s">
        <v>1068</v>
      </c>
      <c r="EX9" s="34">
        <v>33.47</v>
      </c>
      <c r="EY9" s="358">
        <f t="shared" si="0"/>
        <v>3.347E-2</v>
      </c>
      <c r="FA9" s="229">
        <f>'Indata byggnad och BBR krav'!Y14</f>
        <v>0</v>
      </c>
      <c r="FB9" s="229">
        <f>'Indata byggnad och BBR krav'!Z14</f>
        <v>0</v>
      </c>
      <c r="FC9" s="229">
        <f>'Indata byggnad och BBR krav'!AA14</f>
        <v>0</v>
      </c>
    </row>
    <row r="10" spans="1:161" s="231" customFormat="1" ht="28.5" customHeight="1" x14ac:dyDescent="0.3">
      <c r="B10" s="216"/>
      <c r="C10" s="346" t="s">
        <v>1423</v>
      </c>
      <c r="D10" s="210"/>
      <c r="E10" s="210"/>
      <c r="F10" s="210"/>
      <c r="G10" s="210"/>
      <c r="H10" s="210"/>
      <c r="I10" s="210"/>
      <c r="J10" s="210"/>
      <c r="K10" s="210"/>
      <c r="L10" s="210"/>
      <c r="M10" s="210"/>
      <c r="N10" s="210"/>
      <c r="O10" s="210"/>
      <c r="P10" s="210"/>
      <c r="Q10" s="210"/>
      <c r="R10" s="210"/>
      <c r="S10" s="210"/>
      <c r="T10" s="210"/>
      <c r="U10" s="210"/>
      <c r="V10" s="210"/>
      <c r="W10" s="210"/>
      <c r="X10" s="233"/>
      <c r="Y10" s="24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4"/>
      <c r="AZ10" s="38"/>
      <c r="BA10" s="234"/>
      <c r="BB10" s="234"/>
      <c r="BC10" s="234"/>
      <c r="BD10" s="234"/>
      <c r="BE10" s="234"/>
      <c r="BF10" s="234"/>
      <c r="BG10" s="234"/>
      <c r="BH10" s="33"/>
      <c r="BI10" s="234"/>
      <c r="BJ10" s="234"/>
      <c r="BK10" s="234"/>
      <c r="BL10" s="234"/>
      <c r="BM10" s="234"/>
      <c r="BN10" s="41" t="s">
        <v>1178</v>
      </c>
      <c r="BO10" s="44" t="e">
        <f>IF(BO9&gt;0,INT(BO9+0.3),IF(BO9&lt;0,INT(BO9),0))</f>
        <v>#DIV/0!</v>
      </c>
      <c r="BP10" s="234" t="s">
        <v>1124</v>
      </c>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31"/>
      <c r="CZ10" s="234"/>
      <c r="DA10" s="234"/>
      <c r="DB10" s="234"/>
      <c r="DC10" s="234"/>
      <c r="DD10" s="234"/>
      <c r="DE10" s="234"/>
      <c r="DF10" s="234"/>
      <c r="DG10" s="234"/>
      <c r="DH10" s="234"/>
      <c r="DI10" s="234"/>
      <c r="DJ10" s="234"/>
      <c r="DK10" s="234"/>
      <c r="DL10" s="234"/>
      <c r="DM10" s="234"/>
      <c r="DN10" s="234"/>
      <c r="DO10" s="234"/>
      <c r="DP10" s="234"/>
      <c r="DQ10" s="234"/>
      <c r="DR10" s="234"/>
      <c r="DS10" s="234"/>
      <c r="DT10" s="234"/>
      <c r="DW10" s="232"/>
      <c r="DY10" s="231" t="s">
        <v>1058</v>
      </c>
      <c r="DZ10" s="231" t="s">
        <v>1095</v>
      </c>
      <c r="EC10" s="241"/>
      <c r="ED10" s="241"/>
      <c r="EE10" s="241"/>
      <c r="EH10" s="36">
        <v>2022</v>
      </c>
      <c r="EI10" s="34" t="s">
        <v>1068</v>
      </c>
      <c r="EJ10" s="36">
        <v>8</v>
      </c>
      <c r="EK10" s="37">
        <v>744</v>
      </c>
      <c r="EW10" s="34" t="s">
        <v>1069</v>
      </c>
      <c r="EX10" s="34">
        <v>54.63</v>
      </c>
      <c r="EY10" s="358">
        <f t="shared" si="0"/>
        <v>5.4630000000000005E-2</v>
      </c>
      <c r="FA10" s="229"/>
      <c r="FB10" s="229"/>
      <c r="FC10" s="229"/>
    </row>
    <row r="11" spans="1:161" s="231" customFormat="1" ht="16.5" customHeight="1" x14ac:dyDescent="0.25">
      <c r="A11" s="210"/>
      <c r="B11" s="398">
        <v>1</v>
      </c>
      <c r="C11" s="399" t="s">
        <v>1259</v>
      </c>
      <c r="D11" s="400"/>
      <c r="E11" s="400"/>
      <c r="F11" s="385"/>
      <c r="G11" s="385"/>
      <c r="H11" s="385"/>
      <c r="I11" s="385"/>
      <c r="J11" s="384"/>
      <c r="K11" s="384"/>
      <c r="L11" s="384"/>
      <c r="M11" s="385"/>
      <c r="N11" s="385"/>
      <c r="O11" s="385"/>
      <c r="P11" s="385"/>
      <c r="Q11" s="385"/>
      <c r="R11" s="385"/>
      <c r="S11" s="385"/>
      <c r="T11" s="385"/>
      <c r="U11" s="385"/>
      <c r="V11" s="385"/>
      <c r="W11" s="386"/>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4"/>
      <c r="AZ11" s="38"/>
      <c r="BA11" s="234"/>
      <c r="BB11" s="234"/>
      <c r="BC11" s="234"/>
      <c r="BD11" s="234"/>
      <c r="BE11" s="234"/>
      <c r="BF11" s="234"/>
      <c r="BG11" s="234"/>
      <c r="BH11" s="38"/>
      <c r="BI11" s="234"/>
      <c r="BJ11" s="234"/>
      <c r="BK11" s="234"/>
      <c r="BL11" s="234"/>
      <c r="BM11" s="234"/>
      <c r="BN11" s="234" t="s">
        <v>1119</v>
      </c>
      <c r="BO11" s="181" t="e">
        <f ca="1">IF(BO10&gt;1,OFFSET(Sänkningsvärde!$DI$359,BO10,0),IF(BO10&lt;-1,OFFSET(Sänkningsvärde!$DI$359,BO10-1,0),0))</f>
        <v>#DIV/0!</v>
      </c>
      <c r="BP11" s="310" t="s">
        <v>1248</v>
      </c>
      <c r="BQ11" s="234"/>
      <c r="BR11" s="234"/>
      <c r="BS11" s="234"/>
      <c r="BT11" s="234"/>
      <c r="BU11" s="234"/>
      <c r="BV11" s="234"/>
      <c r="BW11" s="234"/>
      <c r="BX11" s="234"/>
      <c r="BY11" s="234"/>
      <c r="BZ11" s="234"/>
      <c r="CA11" s="234"/>
      <c r="CB11" s="234"/>
      <c r="CC11" s="41" t="s">
        <v>1203</v>
      </c>
      <c r="CD11" s="46">
        <f>BD171</f>
        <v>0</v>
      </c>
      <c r="CE11" s="234"/>
      <c r="CF11" s="234"/>
      <c r="CG11" s="234"/>
      <c r="CH11" s="234"/>
      <c r="CI11" s="234"/>
      <c r="CJ11" s="41" t="s">
        <v>1304</v>
      </c>
      <c r="CK11" s="47">
        <f>$AH$142</f>
        <v>0</v>
      </c>
      <c r="CL11" s="234"/>
      <c r="CM11" s="234"/>
      <c r="CN11" s="234"/>
      <c r="CO11" s="234"/>
      <c r="CP11" s="234"/>
      <c r="CQ11" s="234"/>
      <c r="CR11" s="234"/>
      <c r="CS11" s="234"/>
      <c r="CT11" s="234"/>
      <c r="CU11" s="234"/>
      <c r="CV11" s="234"/>
      <c r="CW11" s="234"/>
      <c r="CX11" s="234"/>
      <c r="CY11" s="31"/>
      <c r="CZ11" s="234"/>
      <c r="DA11" s="234"/>
      <c r="DB11" s="234"/>
      <c r="DC11" s="234"/>
      <c r="DD11" s="290" t="s">
        <v>1392</v>
      </c>
      <c r="DE11" s="45"/>
      <c r="DF11" s="234"/>
      <c r="DG11" s="234"/>
      <c r="DH11" s="234"/>
      <c r="DI11" s="234"/>
      <c r="DJ11" s="234"/>
      <c r="DK11" s="234"/>
      <c r="DL11" s="234"/>
      <c r="DM11" s="290" t="s">
        <v>1393</v>
      </c>
      <c r="DN11" s="45"/>
      <c r="DO11" s="234"/>
      <c r="DP11" s="234"/>
      <c r="DQ11" s="234"/>
      <c r="DR11" s="234"/>
      <c r="DS11" s="234"/>
      <c r="DT11" s="234"/>
      <c r="EI11" s="34" t="s">
        <v>1069</v>
      </c>
      <c r="EJ11" s="36">
        <v>9</v>
      </c>
      <c r="EK11" s="37">
        <v>720</v>
      </c>
      <c r="EW11" s="34" t="s">
        <v>1070</v>
      </c>
      <c r="EX11" s="34">
        <v>90.89</v>
      </c>
      <c r="EY11" s="358">
        <f t="shared" si="0"/>
        <v>9.0889999999999999E-2</v>
      </c>
      <c r="FA11" s="229"/>
      <c r="FB11" s="229"/>
      <c r="FC11" s="229"/>
    </row>
    <row r="12" spans="1:161" s="231" customFormat="1" ht="16.5" customHeight="1" x14ac:dyDescent="0.25">
      <c r="A12" s="210"/>
      <c r="X12" s="233"/>
      <c r="Y12" s="242"/>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4"/>
      <c r="AZ12" s="38"/>
      <c r="BA12" s="234"/>
      <c r="BB12" s="234"/>
      <c r="BC12" s="234"/>
      <c r="BD12" s="234"/>
      <c r="BE12" s="234"/>
      <c r="BF12" s="234"/>
      <c r="BG12" s="234"/>
      <c r="BH12" s="38"/>
      <c r="BI12" s="234"/>
      <c r="BJ12" s="234"/>
      <c r="BK12" s="234"/>
      <c r="BL12" s="234"/>
      <c r="BM12" s="234"/>
      <c r="BN12" s="234" t="s">
        <v>1120</v>
      </c>
      <c r="BO12" s="181" t="e">
        <f ca="1">1-BO11</f>
        <v>#DIV/0!</v>
      </c>
      <c r="BP12" s="175"/>
      <c r="BQ12" s="234"/>
      <c r="BR12" s="234"/>
      <c r="BS12" s="234"/>
      <c r="BT12" s="234"/>
      <c r="BU12" s="234"/>
      <c r="BV12" s="234"/>
      <c r="BW12" s="234"/>
      <c r="BX12" s="234"/>
      <c r="BY12" s="234"/>
      <c r="BZ12" s="234"/>
      <c r="CA12" s="234"/>
      <c r="CB12" s="234"/>
      <c r="CC12" s="234"/>
      <c r="CD12" s="234"/>
      <c r="CE12" s="234"/>
      <c r="CF12" s="234"/>
      <c r="CG12" s="234"/>
      <c r="CH12" s="234"/>
      <c r="CI12" s="234"/>
      <c r="CJ12" s="43"/>
      <c r="CK12" s="234"/>
      <c r="CL12" s="234"/>
      <c r="CM12" s="49"/>
      <c r="CN12" s="234"/>
      <c r="CO12" s="234"/>
      <c r="CP12" s="234"/>
      <c r="CQ12" s="234"/>
      <c r="CR12" s="234"/>
      <c r="CS12" s="234"/>
      <c r="CT12" s="234"/>
      <c r="CU12" s="38" t="s">
        <v>1102</v>
      </c>
      <c r="CV12" s="234"/>
      <c r="CW12" s="234"/>
      <c r="CX12" s="234"/>
      <c r="CY12" s="234"/>
      <c r="CZ12" s="234"/>
      <c r="DA12" s="234"/>
      <c r="DB12" s="234"/>
      <c r="DC12" s="234"/>
      <c r="DD12" s="38" t="s">
        <v>1110</v>
      </c>
      <c r="DE12" s="234"/>
      <c r="DF12" s="234"/>
      <c r="DG12" s="234"/>
      <c r="DH12" s="234"/>
      <c r="DI12" s="234"/>
      <c r="DJ12" s="234"/>
      <c r="DK12" s="234"/>
      <c r="DL12" s="234"/>
      <c r="DM12" s="38" t="s">
        <v>1110</v>
      </c>
      <c r="DN12" s="234"/>
      <c r="DO12" s="234"/>
      <c r="DP12" s="234"/>
      <c r="DQ12" s="234"/>
      <c r="DR12" s="234"/>
      <c r="DS12" s="234"/>
      <c r="DT12" s="234"/>
      <c r="EI12" s="34" t="s">
        <v>1070</v>
      </c>
      <c r="EJ12" s="36">
        <v>10</v>
      </c>
      <c r="EK12" s="37">
        <v>744</v>
      </c>
      <c r="EW12" s="34" t="s">
        <v>1071</v>
      </c>
      <c r="EX12" s="34">
        <v>106.04</v>
      </c>
      <c r="EY12" s="358">
        <f t="shared" si="0"/>
        <v>0.10604000000000001</v>
      </c>
      <c r="FA12" s="229"/>
      <c r="FB12" s="229"/>
      <c r="FC12" s="229"/>
    </row>
    <row r="13" spans="1:161" s="231" customFormat="1" ht="16.5" customHeight="1" x14ac:dyDescent="0.3">
      <c r="B13" s="232"/>
      <c r="C13" s="232"/>
      <c r="D13" s="232"/>
      <c r="E13" s="232"/>
      <c r="F13" s="505" t="s">
        <v>1138</v>
      </c>
      <c r="G13" s="505"/>
      <c r="H13" s="232"/>
      <c r="I13" s="238" t="s">
        <v>1047</v>
      </c>
      <c r="J13" s="232"/>
      <c r="K13" s="232"/>
      <c r="L13" s="238" t="s">
        <v>1048</v>
      </c>
      <c r="M13" s="232"/>
      <c r="N13" s="232"/>
      <c r="O13" s="238" t="s">
        <v>1049</v>
      </c>
      <c r="P13" s="232"/>
      <c r="Q13" s="232"/>
      <c r="R13" s="232"/>
      <c r="S13" s="232"/>
      <c r="T13" s="232"/>
      <c r="U13" s="232"/>
      <c r="V13" s="232"/>
      <c r="W13" s="232"/>
      <c r="X13" s="233"/>
      <c r="Y13" s="32" t="s">
        <v>1103</v>
      </c>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4"/>
      <c r="AZ13" s="38"/>
      <c r="BA13" s="234"/>
      <c r="BB13" s="234"/>
      <c r="BC13" s="234"/>
      <c r="BD13" s="234"/>
      <c r="BE13" s="234"/>
      <c r="BF13" s="234"/>
      <c r="BG13" s="234"/>
      <c r="BH13" s="50" t="s">
        <v>1170</v>
      </c>
      <c r="BI13" s="234"/>
      <c r="BJ13" s="234"/>
      <c r="BK13" s="234"/>
      <c r="BL13" s="234"/>
      <c r="BM13" s="234"/>
      <c r="BN13" s="234"/>
      <c r="BO13" s="234"/>
      <c r="BP13" s="234"/>
      <c r="BQ13" s="234"/>
      <c r="BR13" s="234"/>
      <c r="BS13" s="49"/>
      <c r="BT13" s="234"/>
      <c r="BU13" s="234"/>
      <c r="BV13" s="234"/>
      <c r="BW13" s="234"/>
      <c r="BX13" s="234"/>
      <c r="BY13" s="49"/>
      <c r="BZ13" s="49"/>
      <c r="CA13" s="51" t="s">
        <v>1093</v>
      </c>
      <c r="CB13" s="52" t="s">
        <v>14</v>
      </c>
      <c r="CC13" s="52" t="s">
        <v>1085</v>
      </c>
      <c r="CD13" s="52" t="s">
        <v>1100</v>
      </c>
      <c r="CE13" s="52" t="s">
        <v>1096</v>
      </c>
      <c r="CF13" s="52" t="s">
        <v>1097</v>
      </c>
      <c r="CG13" s="234"/>
      <c r="CH13" s="234"/>
      <c r="CI13" s="51" t="s">
        <v>1093</v>
      </c>
      <c r="CJ13" s="52" t="s">
        <v>14</v>
      </c>
      <c r="CK13" s="52" t="s">
        <v>1085</v>
      </c>
      <c r="CL13" s="52" t="s">
        <v>1100</v>
      </c>
      <c r="CM13" s="52" t="s">
        <v>1096</v>
      </c>
      <c r="CN13" s="52" t="s">
        <v>1097</v>
      </c>
      <c r="CO13" s="234"/>
      <c r="CP13" s="49"/>
      <c r="CQ13" s="49"/>
      <c r="CR13" s="49"/>
      <c r="CS13" s="49"/>
      <c r="CT13" s="234"/>
      <c r="CU13" s="43"/>
      <c r="CV13" s="234"/>
      <c r="CW13" s="234"/>
      <c r="CX13" s="49"/>
      <c r="CY13" s="234"/>
      <c r="CZ13" s="234"/>
      <c r="DA13" s="234"/>
      <c r="DB13" s="49"/>
      <c r="DC13" s="234"/>
      <c r="DD13" s="43"/>
      <c r="DE13" s="234"/>
      <c r="DF13" s="234"/>
      <c r="DG13" s="49"/>
      <c r="DH13" s="234"/>
      <c r="DI13" s="234"/>
      <c r="DJ13" s="234"/>
      <c r="DK13" s="234"/>
      <c r="DL13" s="234"/>
      <c r="DM13" s="43"/>
      <c r="DN13" s="234"/>
      <c r="DO13" s="234"/>
      <c r="DP13" s="49"/>
      <c r="DQ13" s="234"/>
      <c r="DR13" s="234"/>
      <c r="DS13" s="234"/>
      <c r="DT13" s="234"/>
      <c r="EI13" s="34" t="s">
        <v>1071</v>
      </c>
      <c r="EJ13" s="36">
        <v>11</v>
      </c>
      <c r="EK13" s="37">
        <v>720</v>
      </c>
      <c r="EW13" s="34" t="s">
        <v>1072</v>
      </c>
      <c r="EX13" s="300">
        <v>117.01</v>
      </c>
      <c r="EY13" s="359">
        <f t="shared" si="0"/>
        <v>0.11701</v>
      </c>
      <c r="FA13" s="229"/>
      <c r="FB13" s="229"/>
      <c r="FC13" s="229"/>
    </row>
    <row r="14" spans="1:161" s="231" customFormat="1" ht="16.5" customHeight="1" x14ac:dyDescent="0.25">
      <c r="A14" s="232"/>
      <c r="B14" s="232"/>
      <c r="C14" s="53" t="s">
        <v>1050</v>
      </c>
      <c r="D14" s="372">
        <v>1</v>
      </c>
      <c r="E14" s="232"/>
      <c r="F14" s="54" t="s">
        <v>9</v>
      </c>
      <c r="G14" s="368">
        <v>2017</v>
      </c>
      <c r="H14" s="37"/>
      <c r="I14" s="55" t="s">
        <v>1208</v>
      </c>
      <c r="J14" s="368" t="s">
        <v>14</v>
      </c>
      <c r="K14" s="37"/>
      <c r="L14" s="55" t="s">
        <v>1208</v>
      </c>
      <c r="M14" s="368" t="s">
        <v>15</v>
      </c>
      <c r="N14" s="37"/>
      <c r="O14" s="55" t="s">
        <v>1208</v>
      </c>
      <c r="P14" s="368" t="s">
        <v>1053</v>
      </c>
      <c r="Q14" s="37"/>
      <c r="R14" s="37"/>
      <c r="S14" s="37"/>
      <c r="T14" s="37"/>
      <c r="U14" s="37"/>
      <c r="V14" s="37"/>
      <c r="W14" s="232"/>
      <c r="X14" s="245"/>
      <c r="Y14" s="245"/>
      <c r="Z14" s="245"/>
      <c r="AA14" s="245"/>
      <c r="AB14" s="245"/>
      <c r="AC14" s="245"/>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57"/>
      <c r="AZ14" s="38"/>
      <c r="BA14" s="234"/>
      <c r="BB14" s="234"/>
      <c r="BC14" s="234"/>
      <c r="BD14" s="234"/>
      <c r="BE14" s="234"/>
      <c r="BF14" s="234"/>
      <c r="BG14" s="38"/>
      <c r="BH14" s="58" t="s">
        <v>1045</v>
      </c>
      <c r="BI14" s="49" t="s">
        <v>1173</v>
      </c>
      <c r="BJ14" s="234"/>
      <c r="BK14" s="234"/>
      <c r="BL14" s="49"/>
      <c r="BM14" s="51" t="s">
        <v>1093</v>
      </c>
      <c r="BN14" s="52" t="s">
        <v>14</v>
      </c>
      <c r="BO14" s="52" t="s">
        <v>1085</v>
      </c>
      <c r="BP14" s="52" t="s">
        <v>1100</v>
      </c>
      <c r="BQ14" s="52" t="s">
        <v>1096</v>
      </c>
      <c r="BR14" s="52" t="s">
        <v>1097</v>
      </c>
      <c r="BS14" s="49"/>
      <c r="BT14" s="59" t="s">
        <v>1181</v>
      </c>
      <c r="BU14" s="49"/>
      <c r="BV14" s="49"/>
      <c r="BW14" s="49"/>
      <c r="BX14" s="49"/>
      <c r="BY14" s="49"/>
      <c r="BZ14" s="49"/>
      <c r="CA14" s="234" t="s">
        <v>13</v>
      </c>
      <c r="CB14" s="52">
        <f>IF($Y$31&gt;0,$Y$32/$Y$31,0)</f>
        <v>0</v>
      </c>
      <c r="CC14" s="47">
        <f>IF(Z31&gt;0,Z32/Z31,0)</f>
        <v>0</v>
      </c>
      <c r="CD14" s="52">
        <f>IF(AA31&gt;0,AA32/AA31,0)</f>
        <v>0</v>
      </c>
      <c r="CE14" s="52">
        <f>IF(AB31&gt;0,AB32/AB31,0)</f>
        <v>0</v>
      </c>
      <c r="CF14" s="52">
        <f>IF(AC31&gt;0,AC32/AC31,0)</f>
        <v>0</v>
      </c>
      <c r="CG14" s="234"/>
      <c r="CH14" s="234"/>
      <c r="CI14" s="41" t="s">
        <v>13</v>
      </c>
      <c r="CJ14" s="52">
        <f>IF(Y31&gt;0,Y32/Y31,0)</f>
        <v>0</v>
      </c>
      <c r="CK14" s="47">
        <f>IF(Z31&gt;0,Z32/Z31,0)</f>
        <v>0</v>
      </c>
      <c r="CL14" s="52">
        <f>IF(AA31&gt;0,AA32/AA31,0)</f>
        <v>0</v>
      </c>
      <c r="CM14" s="52">
        <f>IF(AB31&gt;0,AB32/AB31,0)</f>
        <v>0</v>
      </c>
      <c r="CN14" s="52">
        <f>IF(AC31&gt;0,AC32/AC31,0)</f>
        <v>0</v>
      </c>
      <c r="CO14" s="234"/>
      <c r="CP14" s="49"/>
      <c r="CQ14" s="49"/>
      <c r="CR14" s="49"/>
      <c r="CS14" s="49"/>
      <c r="CT14" s="51" t="s">
        <v>1093</v>
      </c>
      <c r="CU14" s="52" t="s">
        <v>14</v>
      </c>
      <c r="CV14" s="52" t="s">
        <v>1085</v>
      </c>
      <c r="CW14" s="52" t="s">
        <v>1100</v>
      </c>
      <c r="CX14" s="52" t="s">
        <v>1096</v>
      </c>
      <c r="CY14" s="52" t="s">
        <v>1097</v>
      </c>
      <c r="CZ14" s="234"/>
      <c r="DA14" s="234"/>
      <c r="DB14" s="49"/>
      <c r="DC14" s="51" t="s">
        <v>1093</v>
      </c>
      <c r="DD14" s="52" t="s">
        <v>14</v>
      </c>
      <c r="DE14" s="52" t="s">
        <v>1085</v>
      </c>
      <c r="DF14" s="52" t="s">
        <v>1100</v>
      </c>
      <c r="DG14" s="52" t="s">
        <v>1096</v>
      </c>
      <c r="DH14" s="52" t="s">
        <v>1097</v>
      </c>
      <c r="DI14" s="234"/>
      <c r="DJ14" s="234"/>
      <c r="DK14" s="234"/>
      <c r="DL14" s="51" t="s">
        <v>1093</v>
      </c>
      <c r="DM14" s="52" t="s">
        <v>14</v>
      </c>
      <c r="DN14" s="52" t="s">
        <v>1085</v>
      </c>
      <c r="DO14" s="52" t="s">
        <v>1100</v>
      </c>
      <c r="DP14" s="52" t="s">
        <v>1096</v>
      </c>
      <c r="DQ14" s="52" t="s">
        <v>1097</v>
      </c>
      <c r="DR14" s="234"/>
      <c r="DS14" s="234"/>
      <c r="DT14" s="234"/>
      <c r="EI14" s="34" t="s">
        <v>1072</v>
      </c>
      <c r="EJ14" s="36">
        <v>12</v>
      </c>
      <c r="EK14" s="37">
        <v>744</v>
      </c>
      <c r="EX14" s="360">
        <f>SUM(EX2:EX13)</f>
        <v>1000.02</v>
      </c>
      <c r="EY14" s="360">
        <f>SUM(EY2:EY13)</f>
        <v>1.0000199999999999</v>
      </c>
    </row>
    <row r="15" spans="1:161" s="231" customFormat="1" ht="16.5" customHeight="1" x14ac:dyDescent="0.25">
      <c r="A15" s="232"/>
      <c r="B15" s="232"/>
      <c r="C15" s="217" t="s">
        <v>1356</v>
      </c>
      <c r="D15" s="232"/>
      <c r="E15" s="232"/>
      <c r="F15" s="54" t="s">
        <v>19</v>
      </c>
      <c r="G15" s="368" t="s">
        <v>1061</v>
      </c>
      <c r="H15" s="37"/>
      <c r="I15" s="53" t="s">
        <v>13</v>
      </c>
      <c r="J15" s="372">
        <v>0.98</v>
      </c>
      <c r="K15" s="246"/>
      <c r="L15" s="55" t="s">
        <v>13</v>
      </c>
      <c r="M15" s="372">
        <v>2</v>
      </c>
      <c r="N15" s="246"/>
      <c r="O15" s="55" t="s">
        <v>13</v>
      </c>
      <c r="P15" s="372">
        <v>1</v>
      </c>
      <c r="Q15" s="246"/>
      <c r="R15" s="246"/>
      <c r="S15" s="246"/>
      <c r="T15" s="246"/>
      <c r="U15" s="246"/>
      <c r="V15" s="246"/>
      <c r="W15" s="232"/>
      <c r="X15" s="245"/>
      <c r="Y15" s="245"/>
      <c r="Z15" s="245"/>
      <c r="AA15" s="245"/>
      <c r="AB15" s="245"/>
      <c r="AC15" s="245"/>
      <c r="AD15" s="233"/>
      <c r="AE15" s="233"/>
      <c r="AF15" s="233"/>
      <c r="AG15" s="233"/>
      <c r="AH15" s="233"/>
      <c r="AI15" s="233"/>
      <c r="AJ15" s="233"/>
      <c r="AK15" s="233"/>
      <c r="AL15" s="233"/>
      <c r="AM15" s="233"/>
      <c r="AN15" s="244" t="s">
        <v>1314</v>
      </c>
      <c r="AO15" s="233"/>
      <c r="AP15" s="233"/>
      <c r="AQ15" s="233"/>
      <c r="AR15" s="233"/>
      <c r="AS15" s="233"/>
      <c r="AT15" s="242" t="s">
        <v>1452</v>
      </c>
      <c r="AU15" s="233"/>
      <c r="AV15" s="233"/>
      <c r="AW15" s="233"/>
      <c r="AX15" s="233"/>
      <c r="AY15" s="57"/>
      <c r="AZ15" s="38"/>
      <c r="BA15" s="234"/>
      <c r="BB15" s="234"/>
      <c r="BC15" s="234"/>
      <c r="BD15" s="234"/>
      <c r="BE15" s="234"/>
      <c r="BF15" s="234"/>
      <c r="BG15" s="41" t="s">
        <v>1175</v>
      </c>
      <c r="BH15" s="49" t="str">
        <f>D179</f>
        <v>nov</v>
      </c>
      <c r="BI15" s="49">
        <f>MATCH(BH15,$EI$3:$EI$14,0)</f>
        <v>11</v>
      </c>
      <c r="BJ15" s="234"/>
      <c r="BK15" s="234"/>
      <c r="BL15" s="49"/>
      <c r="BM15" s="49"/>
      <c r="BN15" s="49"/>
      <c r="BO15" s="49"/>
      <c r="BP15" s="49"/>
      <c r="BQ15" s="49"/>
      <c r="BR15" s="49"/>
      <c r="BS15" s="49"/>
      <c r="BT15" s="39" t="s">
        <v>14</v>
      </c>
      <c r="BU15" s="39" t="s">
        <v>1085</v>
      </c>
      <c r="BV15" s="39" t="s">
        <v>1100</v>
      </c>
      <c r="BW15" s="39" t="s">
        <v>1096</v>
      </c>
      <c r="BX15" s="39" t="s">
        <v>1097</v>
      </c>
      <c r="BY15" s="49"/>
      <c r="BZ15" s="49"/>
      <c r="CA15" s="41" t="s">
        <v>1305</v>
      </c>
      <c r="CB15" s="47" t="e">
        <f ca="1">IF(BN31&gt;0,($CD$11/CB14)/1000*BN32,0)</f>
        <v>#DIV/0!</v>
      </c>
      <c r="CC15" s="47" t="e">
        <f ca="1">IF(BO31&gt;0,($CD$11/CC14)/1000*BO32,0)</f>
        <v>#DIV/0!</v>
      </c>
      <c r="CD15" s="47" t="e">
        <f ca="1">IF(BP31&gt;0,($CD$11/CD14)/1000*BP32,0)</f>
        <v>#DIV/0!</v>
      </c>
      <c r="CE15" s="47" t="e">
        <f ca="1">IF(BQ31&gt;0,($CD$11/CE14)/1000*BQ32,0)</f>
        <v>#DIV/0!</v>
      </c>
      <c r="CF15" s="47" t="e">
        <f ca="1">IF(BR31&gt;0,($CD$11/CF14)/1000*BR32,0)</f>
        <v>#DIV/0!</v>
      </c>
      <c r="CG15" s="234"/>
      <c r="CH15" s="234"/>
      <c r="CI15" s="41" t="s">
        <v>1305</v>
      </c>
      <c r="CJ15" s="47" t="e">
        <f ca="1">IF(CB31&gt;0,($CK$11/CJ14)*CB32,0)</f>
        <v>#DIV/0!</v>
      </c>
      <c r="CK15" s="47" t="e">
        <f ca="1">IF(CC31&gt;0,($CK$11/CK14)*CC32,0)</f>
        <v>#DIV/0!</v>
      </c>
      <c r="CL15" s="47" t="e">
        <f ca="1">IF(CD31&gt;0,($CK$11/CL14)*CD32,0)</f>
        <v>#DIV/0!</v>
      </c>
      <c r="CM15" s="47" t="e">
        <f ca="1">IF(CE31&gt;0,($CK$11/CM14)*CE32,0)</f>
        <v>#DIV/0!</v>
      </c>
      <c r="CN15" s="47" t="e">
        <f ca="1">IF(CF31&gt;0,($CK$11/CN14)*CF32,0)</f>
        <v>#DIV/0!</v>
      </c>
      <c r="CO15" s="234"/>
      <c r="CP15" s="49"/>
      <c r="CQ15" s="49"/>
      <c r="CR15" s="49"/>
      <c r="CS15" s="49"/>
      <c r="CT15" s="234"/>
      <c r="CU15" s="234"/>
      <c r="CV15" s="234"/>
      <c r="CW15" s="234"/>
      <c r="CX15" s="234"/>
      <c r="CY15" s="234"/>
      <c r="CZ15" s="234"/>
      <c r="DA15" s="234"/>
      <c r="DB15" s="49"/>
      <c r="DC15" s="41" t="s">
        <v>1286</v>
      </c>
      <c r="DD15" s="47">
        <v>1</v>
      </c>
      <c r="DE15" s="47">
        <v>1.6</v>
      </c>
      <c r="DF15" s="47">
        <v>1</v>
      </c>
      <c r="DG15" s="47">
        <v>1</v>
      </c>
      <c r="DH15" s="47">
        <v>1</v>
      </c>
      <c r="DI15" s="234"/>
      <c r="DJ15" s="234"/>
      <c r="DK15" s="234"/>
      <c r="DL15" s="41" t="s">
        <v>1286</v>
      </c>
      <c r="DM15" s="47">
        <v>1</v>
      </c>
      <c r="DN15" s="47">
        <v>1.6</v>
      </c>
      <c r="DO15" s="47">
        <v>1</v>
      </c>
      <c r="DP15" s="47">
        <v>1</v>
      </c>
      <c r="DQ15" s="47">
        <v>1</v>
      </c>
      <c r="DR15" s="234"/>
      <c r="DS15" s="234"/>
      <c r="DT15" s="234"/>
      <c r="EI15" s="36" t="s">
        <v>1061</v>
      </c>
      <c r="EJ15" s="36">
        <v>13</v>
      </c>
      <c r="EK15" s="34"/>
    </row>
    <row r="16" spans="1:161" s="231" customFormat="1" ht="16.5" customHeight="1" x14ac:dyDescent="0.25">
      <c r="A16" s="232"/>
      <c r="B16" s="232"/>
      <c r="C16" s="506"/>
      <c r="D16" s="507"/>
      <c r="E16" s="232"/>
      <c r="F16" s="238"/>
      <c r="G16" s="238"/>
      <c r="H16" s="37"/>
      <c r="I16" s="54" t="s">
        <v>1136</v>
      </c>
      <c r="J16" s="368" t="s">
        <v>1075</v>
      </c>
      <c r="K16" s="350"/>
      <c r="L16" s="54" t="s">
        <v>1136</v>
      </c>
      <c r="M16" s="368" t="s">
        <v>1046</v>
      </c>
      <c r="N16" s="60"/>
      <c r="O16" s="54" t="s">
        <v>1136</v>
      </c>
      <c r="P16" s="368" t="s">
        <v>1046</v>
      </c>
      <c r="Q16" s="37"/>
      <c r="R16" s="37"/>
      <c r="S16" s="37"/>
      <c r="T16" s="37"/>
      <c r="U16" s="37"/>
      <c r="V16" s="37"/>
      <c r="W16" s="232"/>
      <c r="X16" s="245"/>
      <c r="Y16" s="242" t="s">
        <v>1099</v>
      </c>
      <c r="Z16" s="247"/>
      <c r="AA16" s="247"/>
      <c r="AB16" s="233"/>
      <c r="AC16" s="233"/>
      <c r="AD16" s="233"/>
      <c r="AE16" s="233"/>
      <c r="AF16" s="233"/>
      <c r="AG16" s="242" t="s">
        <v>1436</v>
      </c>
      <c r="AH16" s="233"/>
      <c r="AI16" s="233"/>
      <c r="AJ16" s="233"/>
      <c r="AK16" s="233"/>
      <c r="AL16" s="233"/>
      <c r="AM16" s="233"/>
      <c r="AN16" s="233"/>
      <c r="AO16" s="233"/>
      <c r="AP16" s="233"/>
      <c r="AQ16" s="233"/>
      <c r="AR16" s="233"/>
      <c r="AS16" s="233"/>
      <c r="AT16" s="233"/>
      <c r="AU16" s="233"/>
      <c r="AV16" s="233"/>
      <c r="AW16" s="503" t="s">
        <v>1454</v>
      </c>
      <c r="AX16" s="233"/>
      <c r="AY16" s="57"/>
      <c r="AZ16" s="38" t="s">
        <v>1099</v>
      </c>
      <c r="BA16" s="49"/>
      <c r="BB16" s="49"/>
      <c r="BC16" s="234"/>
      <c r="BD16" s="234"/>
      <c r="BE16" s="234"/>
      <c r="BF16" s="234"/>
      <c r="BG16" s="41" t="s">
        <v>1176</v>
      </c>
      <c r="BH16" s="49" t="str">
        <f>D180</f>
        <v>feb</v>
      </c>
      <c r="BI16" s="49">
        <f>MATCH(BH16,EI3:EI14,0)</f>
        <v>2</v>
      </c>
      <c r="BJ16" s="234"/>
      <c r="BK16" s="234"/>
      <c r="BL16" s="234"/>
      <c r="BM16" s="49"/>
      <c r="BN16" s="49"/>
      <c r="BO16" s="49"/>
      <c r="BP16" s="49"/>
      <c r="BQ16" s="234"/>
      <c r="BR16" s="234"/>
      <c r="BS16" s="49"/>
      <c r="BT16" s="39" t="s">
        <v>1182</v>
      </c>
      <c r="BU16" s="39" t="s">
        <v>1182</v>
      </c>
      <c r="BV16" s="39" t="s">
        <v>1182</v>
      </c>
      <c r="BW16" s="39" t="s">
        <v>1182</v>
      </c>
      <c r="BX16" s="39" t="s">
        <v>1182</v>
      </c>
      <c r="BY16" s="49"/>
      <c r="BZ16" s="234"/>
      <c r="CA16" s="234"/>
      <c r="CB16" s="234"/>
      <c r="CC16" s="234"/>
      <c r="CD16" s="234"/>
      <c r="CE16" s="234"/>
      <c r="CF16" s="234"/>
      <c r="CG16" s="234"/>
      <c r="CH16" s="234"/>
      <c r="CI16" s="234"/>
      <c r="CJ16" s="234"/>
      <c r="CK16" s="234"/>
      <c r="CL16" s="234"/>
      <c r="CM16" s="234"/>
      <c r="CN16" s="234"/>
      <c r="CO16" s="234"/>
      <c r="CP16" s="49"/>
      <c r="CQ16" s="49"/>
      <c r="CR16" s="49"/>
      <c r="CS16" s="49"/>
      <c r="CT16" s="57"/>
      <c r="CU16" s="49"/>
      <c r="CV16" s="49"/>
      <c r="CW16" s="49"/>
      <c r="CX16" s="49"/>
      <c r="CY16" s="234"/>
      <c r="CZ16" s="234"/>
      <c r="DA16" s="234"/>
      <c r="DB16" s="49"/>
      <c r="DC16" s="41" t="s">
        <v>1287</v>
      </c>
      <c r="DD16" s="52">
        <v>0.7</v>
      </c>
      <c r="DE16" s="52">
        <v>1.8</v>
      </c>
      <c r="DF16" s="52">
        <v>0.6</v>
      </c>
      <c r="DG16" s="52">
        <v>1.8</v>
      </c>
      <c r="DH16" s="52">
        <v>1.8</v>
      </c>
      <c r="DI16" s="234"/>
      <c r="DJ16" s="234"/>
      <c r="DK16" s="234"/>
      <c r="DL16" s="41" t="s">
        <v>1287</v>
      </c>
      <c r="DM16" s="52">
        <v>0.7</v>
      </c>
      <c r="DN16" s="52">
        <v>1.8</v>
      </c>
      <c r="DO16" s="52">
        <v>0.6</v>
      </c>
      <c r="DP16" s="52">
        <v>1.8</v>
      </c>
      <c r="DQ16" s="52">
        <v>1.8</v>
      </c>
      <c r="DR16" s="234"/>
      <c r="DS16" s="234"/>
      <c r="DT16" s="234"/>
      <c r="EI16" s="36" t="s">
        <v>1062</v>
      </c>
      <c r="EJ16" s="36">
        <v>14</v>
      </c>
      <c r="EK16" s="36"/>
    </row>
    <row r="17" spans="1:156" s="231" customFormat="1" ht="16.5" customHeight="1" x14ac:dyDescent="0.25">
      <c r="A17" s="232"/>
      <c r="B17" s="62"/>
      <c r="C17" s="508"/>
      <c r="D17" s="509"/>
      <c r="E17" s="62"/>
      <c r="F17" s="62"/>
      <c r="G17" s="63"/>
      <c r="H17" s="63"/>
      <c r="I17" s="64"/>
      <c r="J17" s="65" t="s">
        <v>1132</v>
      </c>
      <c r="K17" s="65"/>
      <c r="L17" s="65"/>
      <c r="M17" s="65" t="s">
        <v>1132</v>
      </c>
      <c r="N17" s="65"/>
      <c r="O17" s="65"/>
      <c r="P17" s="65" t="s">
        <v>1132</v>
      </c>
      <c r="Q17" s="66"/>
      <c r="R17" s="66"/>
      <c r="S17" s="66"/>
      <c r="T17" s="66"/>
      <c r="U17" s="66"/>
      <c r="V17" s="66"/>
      <c r="W17" s="62"/>
      <c r="X17" s="233"/>
      <c r="Y17" s="242"/>
      <c r="Z17" s="247"/>
      <c r="AA17" s="247"/>
      <c r="AB17" s="233"/>
      <c r="AC17" s="233"/>
      <c r="AD17" s="233"/>
      <c r="AE17" s="233"/>
      <c r="AF17" s="233"/>
      <c r="AG17" s="244" t="s">
        <v>1437</v>
      </c>
      <c r="AH17" s="247"/>
      <c r="AI17" s="247"/>
      <c r="AJ17" s="233"/>
      <c r="AK17" s="233"/>
      <c r="AL17" s="233"/>
      <c r="AM17" s="233"/>
      <c r="AN17" s="242" t="s">
        <v>1453</v>
      </c>
      <c r="AO17" s="233"/>
      <c r="AP17" s="233"/>
      <c r="AQ17" s="233"/>
      <c r="AR17" s="233"/>
      <c r="AS17" s="233"/>
      <c r="AT17" s="503" t="s">
        <v>1448</v>
      </c>
      <c r="AU17" s="503" t="s">
        <v>1313</v>
      </c>
      <c r="AV17" s="233"/>
      <c r="AW17" s="503"/>
      <c r="AX17" s="233"/>
      <c r="AY17" s="234"/>
      <c r="AZ17" s="49"/>
      <c r="BA17" s="49"/>
      <c r="BB17" s="49"/>
      <c r="BC17" s="234"/>
      <c r="BD17" s="234"/>
      <c r="BE17" s="234"/>
      <c r="BF17" s="234"/>
      <c r="BG17" s="234"/>
      <c r="BH17" s="234"/>
      <c r="BI17" s="234"/>
      <c r="BJ17" s="234"/>
      <c r="BK17" s="234"/>
      <c r="BL17" s="234"/>
      <c r="BM17" s="234"/>
      <c r="BN17" s="234"/>
      <c r="BO17" s="234"/>
      <c r="BP17" s="234"/>
      <c r="BQ17" s="234"/>
      <c r="BR17" s="234"/>
      <c r="BS17" s="234"/>
      <c r="BT17" s="67" t="e">
        <f ca="1">IF($BM$19=1,BN19,0)+IF($BM$20=1,BN20,0)+IF($BM$21=1,BN21,0)+IF($BM$22=1,BN22,0)+IF($BM$23=1,BN23,0)+IF($BM$24=1,BN24,0)+IF($BM$25=1,BN25,0)+IF($BM$26=1,BN26,0)+IF($BM$27=1,BN27,0)+IF($BM$28=1,BN28,0)+IF($BM$29=1,BN29,0)+IF($BM$30=1,BN30,0)</f>
        <v>#DIV/0!</v>
      </c>
      <c r="BU17" s="67" t="e">
        <f ca="1">IF($BM$19=1,BO19,0)+IF($BM$20=1,BO20,0)+IF($BM$21=1,BO21,0)+IF($BM$22=1,BO22,0)+IF($BM$23=1,BO23,0)+IF($BM$24=1,BO24,0)+IF($BM$25=1,BO25,0)+IF($BM$26=1,BO26,0)+IF($BM$27=1,BO27,0)+IF($BM$28=1,BO28,0)+IF($BM$29=1,BO29,0)+IF($BM$30=1,BO30,0)</f>
        <v>#DIV/0!</v>
      </c>
      <c r="BV17" s="67" t="e">
        <f ca="1">IF($BM$19=1,BP19,0)+IF($BM$20=1,BP20,0)+IF($BM$21=1,BP21,0)+IF($BM$22=1,BP22,0)+IF($BM$23=1,BP23,0)+IF($BM$24=1,BP24,0)+IF($BM$25=1,BP25,0)+IF($BM$26=1,BP26,0)+IF($BM$27=1,BP27,0)+IF($BM$28=1,BP28,0)+IF($BM$29=1,BP29,0)+IF($BM$30=1,BP30,0)</f>
        <v>#DIV/0!</v>
      </c>
      <c r="BW17" s="67" t="e">
        <f ca="1">IF($BM$19=1,BQ19,0)+IF($BM$20=1,BQ20,0)+IF($BM$21=1,BQ21,0)+IF($BM$22=1,BQ22,0)+IF($BM$23=1,BQ23,0)+IF($BM$24=1,BQ24,0)+IF($BM$25=1,BQ25,0)+IF($BM$26=1,BQ26,0)+IF($BM$27=1,BQ27,0)+IF($BM$28=1,BQ28,0)+IF($BM$29=1,BQ29,0)+IF($BM$30=1,BQ30,0)</f>
        <v>#DIV/0!</v>
      </c>
      <c r="BX17" s="67" t="e">
        <f ca="1">IF($BM$19=1,BR19,0)+IF($BM$20=1,BR20,0)+IF($BM$21=1,BR21,0)+IF($BM$22=1,BR22,0)+IF($BM$23=1,BR23,0)+IF($BM$24=1,BR24,0)+IF($BM$25=1,BR25,0)+IF($BM$26=1,BR26,0)+IF($BM$27=1,BR27,0)+IF($BM$28=1,BR28,0)+IF($BM$29=1,BR29,0)+IF($BM$30=1,BR30,0)</f>
        <v>#DIV/0!</v>
      </c>
      <c r="BY17" s="234"/>
      <c r="BZ17" s="234"/>
      <c r="CA17" s="234"/>
      <c r="CB17" s="234"/>
      <c r="CC17" s="234"/>
      <c r="CD17" s="234"/>
      <c r="CE17" s="234"/>
      <c r="CF17" s="234"/>
      <c r="CG17" s="234"/>
      <c r="CH17" s="234"/>
      <c r="CI17" s="234"/>
      <c r="CJ17" s="234"/>
      <c r="CK17" s="234"/>
      <c r="CL17" s="234"/>
      <c r="CM17" s="234"/>
      <c r="CN17" s="234"/>
      <c r="CO17" s="57"/>
      <c r="CP17" s="57"/>
      <c r="CQ17" s="68" t="s">
        <v>1186</v>
      </c>
      <c r="CR17" s="57"/>
      <c r="CS17" s="57"/>
      <c r="CT17" s="57"/>
      <c r="CU17" s="39" t="s">
        <v>14</v>
      </c>
      <c r="CV17" s="39" t="s">
        <v>1085</v>
      </c>
      <c r="CW17" s="39" t="s">
        <v>1100</v>
      </c>
      <c r="CX17" s="39" t="s">
        <v>1096</v>
      </c>
      <c r="CY17" s="39" t="s">
        <v>1097</v>
      </c>
      <c r="CZ17" s="234"/>
      <c r="DA17" s="234"/>
      <c r="DB17" s="57"/>
      <c r="DC17" s="57"/>
      <c r="DD17" s="57"/>
      <c r="DE17" s="57"/>
      <c r="DF17" s="57"/>
      <c r="DG17" s="57"/>
      <c r="DH17" s="57"/>
      <c r="DI17" s="234"/>
      <c r="DJ17" s="234"/>
      <c r="DK17" s="234"/>
      <c r="DL17" s="57"/>
      <c r="DM17" s="57"/>
      <c r="DN17" s="57"/>
      <c r="DO17" s="57"/>
      <c r="DP17" s="57"/>
      <c r="DQ17" s="57"/>
      <c r="DR17" s="234"/>
      <c r="DS17" s="234"/>
      <c r="DT17" s="234"/>
      <c r="EI17" s="36" t="s">
        <v>1063</v>
      </c>
      <c r="EJ17" s="36">
        <v>15</v>
      </c>
      <c r="EK17" s="36"/>
    </row>
    <row r="18" spans="1:156" s="231" customFormat="1" ht="16.5" customHeight="1" x14ac:dyDescent="0.25">
      <c r="A18" s="62"/>
      <c r="B18" s="232"/>
      <c r="C18" s="508"/>
      <c r="D18" s="509"/>
      <c r="E18" s="232"/>
      <c r="F18" s="391" t="s">
        <v>1044</v>
      </c>
      <c r="G18" s="391" t="s">
        <v>1045</v>
      </c>
      <c r="H18" s="70"/>
      <c r="I18" s="71" t="s">
        <v>1075</v>
      </c>
      <c r="J18" s="391" t="str">
        <f>J16</f>
        <v>Levererad energi</v>
      </c>
      <c r="K18" s="70"/>
      <c r="L18" s="71" t="s">
        <v>1075</v>
      </c>
      <c r="M18" s="442" t="str">
        <f>M16</f>
        <v>Producerad energi</v>
      </c>
      <c r="N18" s="70"/>
      <c r="O18" s="71" t="s">
        <v>1075</v>
      </c>
      <c r="P18" s="442" t="str">
        <f>P16</f>
        <v>Producerad energi</v>
      </c>
      <c r="Q18" s="37"/>
      <c r="R18" s="37"/>
      <c r="S18" s="37"/>
      <c r="T18" s="37"/>
      <c r="U18" s="37"/>
      <c r="V18" s="37"/>
      <c r="W18" s="232"/>
      <c r="X18" s="233"/>
      <c r="Y18" s="287" t="s">
        <v>14</v>
      </c>
      <c r="Z18" s="287" t="s">
        <v>1085</v>
      </c>
      <c r="AA18" s="287" t="s">
        <v>1100</v>
      </c>
      <c r="AB18" s="287" t="s">
        <v>1096</v>
      </c>
      <c r="AC18" s="287" t="s">
        <v>1097</v>
      </c>
      <c r="AD18" s="249" t="s">
        <v>1094</v>
      </c>
      <c r="AE18" s="244"/>
      <c r="AF18" s="233"/>
      <c r="AG18" s="287" t="s">
        <v>14</v>
      </c>
      <c r="AH18" s="287" t="s">
        <v>1085</v>
      </c>
      <c r="AI18" s="287" t="s">
        <v>1100</v>
      </c>
      <c r="AJ18" s="287" t="s">
        <v>1096</v>
      </c>
      <c r="AK18" s="287" t="s">
        <v>1097</v>
      </c>
      <c r="AL18" s="249" t="s">
        <v>1094</v>
      </c>
      <c r="AM18" s="236"/>
      <c r="AN18" s="287" t="s">
        <v>14</v>
      </c>
      <c r="AO18" s="287" t="s">
        <v>1085</v>
      </c>
      <c r="AP18" s="287" t="s">
        <v>1100</v>
      </c>
      <c r="AQ18" s="287" t="s">
        <v>1096</v>
      </c>
      <c r="AR18" s="287" t="s">
        <v>1097</v>
      </c>
      <c r="AS18" s="249" t="s">
        <v>1094</v>
      </c>
      <c r="AT18" s="504"/>
      <c r="AU18" s="504"/>
      <c r="AV18" s="244" t="s">
        <v>1370</v>
      </c>
      <c r="AW18" s="504"/>
      <c r="AX18" s="244" t="s">
        <v>1370</v>
      </c>
      <c r="AY18" s="234"/>
      <c r="AZ18" s="39" t="s">
        <v>14</v>
      </c>
      <c r="BA18" s="39" t="s">
        <v>1085</v>
      </c>
      <c r="BB18" s="39" t="s">
        <v>1100</v>
      </c>
      <c r="BC18" s="39" t="s">
        <v>1096</v>
      </c>
      <c r="BD18" s="39" t="s">
        <v>1097</v>
      </c>
      <c r="BE18" s="58" t="s">
        <v>1094</v>
      </c>
      <c r="BF18" s="234"/>
      <c r="BG18" s="234"/>
      <c r="BH18" s="58" t="s">
        <v>1045</v>
      </c>
      <c r="BI18" s="49" t="s">
        <v>1173</v>
      </c>
      <c r="BJ18" s="49" t="s">
        <v>1180</v>
      </c>
      <c r="BK18" s="31" t="s">
        <v>1174</v>
      </c>
      <c r="BL18" s="39" t="s">
        <v>1179</v>
      </c>
      <c r="BM18" s="49" t="s">
        <v>1180</v>
      </c>
      <c r="BN18" s="39" t="s">
        <v>14</v>
      </c>
      <c r="BO18" s="39" t="s">
        <v>1085</v>
      </c>
      <c r="BP18" s="39" t="s">
        <v>1100</v>
      </c>
      <c r="BQ18" s="39" t="s">
        <v>1096</v>
      </c>
      <c r="BR18" s="39" t="s">
        <v>1097</v>
      </c>
      <c r="BS18" s="58" t="s">
        <v>1094</v>
      </c>
      <c r="BT18" s="58" t="s">
        <v>1169</v>
      </c>
      <c r="BU18" s="58" t="s">
        <v>1169</v>
      </c>
      <c r="BV18" s="58" t="s">
        <v>1169</v>
      </c>
      <c r="BW18" s="58" t="s">
        <v>1169</v>
      </c>
      <c r="BX18" s="58" t="s">
        <v>1169</v>
      </c>
      <c r="BY18" s="58"/>
      <c r="BZ18" s="39" t="s">
        <v>1179</v>
      </c>
      <c r="CA18" s="49" t="s">
        <v>1180</v>
      </c>
      <c r="CB18" s="39" t="s">
        <v>14</v>
      </c>
      <c r="CC18" s="39" t="s">
        <v>1085</v>
      </c>
      <c r="CD18" s="39" t="s">
        <v>1100</v>
      </c>
      <c r="CE18" s="39" t="s">
        <v>1096</v>
      </c>
      <c r="CF18" s="39" t="s">
        <v>1097</v>
      </c>
      <c r="CG18" s="58" t="s">
        <v>1094</v>
      </c>
      <c r="CH18" s="234"/>
      <c r="CI18" s="234"/>
      <c r="CJ18" s="39" t="s">
        <v>14</v>
      </c>
      <c r="CK18" s="39" t="s">
        <v>1085</v>
      </c>
      <c r="CL18" s="39" t="s">
        <v>1100</v>
      </c>
      <c r="CM18" s="39" t="s">
        <v>1096</v>
      </c>
      <c r="CN18" s="39" t="s">
        <v>1097</v>
      </c>
      <c r="CO18" s="58" t="s">
        <v>1094</v>
      </c>
      <c r="CP18" s="58"/>
      <c r="CQ18" s="58" t="s">
        <v>1113</v>
      </c>
      <c r="CR18" s="58" t="str">
        <f ca="1">Normalår!I4</f>
        <v>Ale</v>
      </c>
      <c r="CS18" s="58" t="s">
        <v>1115</v>
      </c>
      <c r="CT18" s="234"/>
      <c r="CU18" s="234" t="s">
        <v>1075</v>
      </c>
      <c r="CV18" s="234" t="s">
        <v>1075</v>
      </c>
      <c r="CW18" s="234" t="s">
        <v>1075</v>
      </c>
      <c r="CX18" s="234" t="s">
        <v>1075</v>
      </c>
      <c r="CY18" s="234" t="s">
        <v>1075</v>
      </c>
      <c r="CZ18" s="58" t="s">
        <v>1094</v>
      </c>
      <c r="DA18" s="234"/>
      <c r="DB18" s="58"/>
      <c r="DC18" s="234"/>
      <c r="DD18" s="39" t="s">
        <v>14</v>
      </c>
      <c r="DE18" s="39" t="s">
        <v>1085</v>
      </c>
      <c r="DF18" s="39" t="s">
        <v>1100</v>
      </c>
      <c r="DG18" s="39" t="s">
        <v>1096</v>
      </c>
      <c r="DH18" s="39" t="s">
        <v>1097</v>
      </c>
      <c r="DI18" s="58" t="s">
        <v>1094</v>
      </c>
      <c r="DJ18" s="234"/>
      <c r="DK18" s="234"/>
      <c r="DL18" s="234"/>
      <c r="DM18" s="39" t="s">
        <v>14</v>
      </c>
      <c r="DN18" s="39" t="s">
        <v>1085</v>
      </c>
      <c r="DO18" s="39" t="s">
        <v>1100</v>
      </c>
      <c r="DP18" s="39" t="s">
        <v>1096</v>
      </c>
      <c r="DQ18" s="39" t="s">
        <v>1097</v>
      </c>
      <c r="DR18" s="58" t="s">
        <v>1094</v>
      </c>
      <c r="DS18" s="234"/>
      <c r="DT18" s="234"/>
      <c r="EI18" s="36" t="s">
        <v>1064</v>
      </c>
      <c r="EJ18" s="36">
        <v>16</v>
      </c>
      <c r="EK18" s="36"/>
    </row>
    <row r="19" spans="1:156" s="231" customFormat="1" ht="16.5" customHeight="1" x14ac:dyDescent="0.25">
      <c r="A19" s="232"/>
      <c r="B19" s="250"/>
      <c r="C19" s="510"/>
      <c r="D19" s="511"/>
      <c r="E19" s="251"/>
      <c r="F19" s="387">
        <f>G14</f>
        <v>2017</v>
      </c>
      <c r="G19" s="387" t="str">
        <f t="shared" ref="G19:G30" ca="1" si="1">OFFSET($EI$2,$EI$28+ROW(F19)-ROW($F$19),0)</f>
        <v>jan</v>
      </c>
      <c r="H19" s="70"/>
      <c r="I19" s="72">
        <f>IF($D$14&gt;0,IF($I$18=$J$18,J19,J19/$J$15),0)</f>
        <v>0</v>
      </c>
      <c r="J19" s="388"/>
      <c r="K19" s="73"/>
      <c r="L19" s="72">
        <f t="shared" ref="L19:L30" si="2">IF($D$14&gt;1,IF($L$18=$M$18,M19,M19/$M$15),0)</f>
        <v>0</v>
      </c>
      <c r="M19" s="388"/>
      <c r="N19" s="73"/>
      <c r="O19" s="72">
        <f t="shared" ref="O19:O30" si="3">IF($D$14&gt;2,IF($O$18=$P$18,P19,P19/$P$15),0)</f>
        <v>0</v>
      </c>
      <c r="P19" s="388"/>
      <c r="Q19" s="74"/>
      <c r="R19" s="74"/>
      <c r="S19" s="74"/>
      <c r="T19" s="74"/>
      <c r="U19" s="74"/>
      <c r="V19" s="74"/>
      <c r="W19" s="232"/>
      <c r="X19" s="233"/>
      <c r="Y19" s="252">
        <f t="shared" ref="Y19:Y30" si="4">IF($J$14=$Y$18,I19,0)+IF($M$14=$Y$18,L19,0)+IF($P$14=$Y$18,O19,0)</f>
        <v>0</v>
      </c>
      <c r="Z19" s="252">
        <f t="shared" ref="Z19:Z30" si="5">IF(OR($J$14="El-panna",$J$14="Värmepump"),I19,0)+IF(OR($M$14="El-panna",$M$14="Värmepump"),L19,0)+IF(OR($P$14="El-panna",$P$14="Värmepump"),O19,0)</f>
        <v>0</v>
      </c>
      <c r="AA19" s="252">
        <f t="shared" ref="AA19:AA30" si="6">IF(OR($J$14="Flispanna",$J$14="Pelletspanna",$J$14="Vedpanna"),I19,0)+IF(OR($M$14="Flispanna",$M$14="Pelletspanna",$M$14="Vedpanna"),L19,0)+IF(OR($P$14="Flispanna",$P$14="Pelletspanna",$P$14="Vedpanna"),O19,0)</f>
        <v>0</v>
      </c>
      <c r="AB19" s="252">
        <f t="shared" ref="AB19:AB30" si="7">IF($J$14="Gaspanna",I19,0)+IF($M$14="Gaspanna",L19,0)+IF($P$14="Gaspanna",O19,0)</f>
        <v>0</v>
      </c>
      <c r="AC19" s="252">
        <f t="shared" ref="AC19:AC30" si="8">IF($J$14="Oljepanna",I19,0)+IF($M$14="Oljepanna",L19,0)+IF($P$14="Oljepanna",O19,0)</f>
        <v>0</v>
      </c>
      <c r="AD19" s="248">
        <f t="shared" ref="AD19:AD30" si="9">Y19+Z19+AA19+AB19+AC19</f>
        <v>0</v>
      </c>
      <c r="AE19" s="361"/>
      <c r="AF19" s="233"/>
      <c r="AG19" s="252">
        <f>Y19+AG65</f>
        <v>0</v>
      </c>
      <c r="AH19" s="252">
        <f t="shared" ref="AH19:AK30" si="10">Z19+AH65</f>
        <v>0</v>
      </c>
      <c r="AI19" s="252">
        <f t="shared" si="10"/>
        <v>0</v>
      </c>
      <c r="AJ19" s="252">
        <f t="shared" si="10"/>
        <v>0</v>
      </c>
      <c r="AK19" s="252">
        <f t="shared" si="10"/>
        <v>0</v>
      </c>
      <c r="AL19" s="248">
        <f t="shared" ref="AL19:AL30" si="11">AG19+AH19+AI19+AJ19+AK19</f>
        <v>0</v>
      </c>
      <c r="AM19" s="188"/>
      <c r="AN19" s="248">
        <f>IF(Y19&gt;0,Y19*($Y$32/$Y$31),0)+IF(AG65&gt;0,AG65*($Y$57/$Y$56),0)</f>
        <v>0</v>
      </c>
      <c r="AO19" s="248">
        <f>IF(Z19&gt;0,Z19*($Z$32/$Z$31),0)+IF(AH65&gt;0,AH65*($Z$57/$Z$56),0)</f>
        <v>0</v>
      </c>
      <c r="AP19" s="248">
        <f>IF(AA19&gt;0,AA19*($AA$32/$AA$31),0)+IF(AI65&gt;0,AI65*($AA$57/$AA$56),0)</f>
        <v>0</v>
      </c>
      <c r="AQ19" s="248">
        <f>IF(AB19&gt;0,AB19*($AB$32/$AB$31),0)+IF(AJ65&gt;0,AJ65*($AB$57/$AB$56),0)</f>
        <v>0</v>
      </c>
      <c r="AR19" s="248">
        <f>IF(AC19&gt;0,AC19*($AC$32/$AC$31),0)+IF(AK65&gt;0,AK65*($AC$57/$AC$56),0)</f>
        <v>0</v>
      </c>
      <c r="AS19" s="248">
        <f>AN19+AO19+AP19+AQ19+AR19</f>
        <v>0</v>
      </c>
      <c r="AT19" s="259">
        <f>IF($AN$33&gt;0,(AN19-$AN$33*(AF130+AH130+AD130))/$AN$32,0)+IF($AO$33&gt;0,(AO19-$AO$33*(AF130+AH130+AD130))/$AO$32,0)+IF($AP$33&gt;0,(AP19-$AP$33*(AF130+AH130+AD130))/$AP$32,0)+IF($AQ$33&gt;0,(AQ19-$AQ$33*(AF130+AH130+AD130))/$AQ$32,0)+IF($AR$33&gt;0,(AR19-$AR$33*(AF130+AH130+AD130))/$AR$32,0)</f>
        <v>0</v>
      </c>
      <c r="AU19" s="191">
        <f>AT19-Z130</f>
        <v>0</v>
      </c>
      <c r="AV19" s="362" t="str">
        <f>IF(AT19&lt;0,"Fel i indata","")</f>
        <v/>
      </c>
      <c r="AW19" s="248">
        <f>IF($AO$33&gt;0,((AO19/$AO$32)-Z130),0)</f>
        <v>0</v>
      </c>
      <c r="AX19" s="362" t="str">
        <f>IF(OR(AU19&lt;0,AW19&lt;0),"Fel i indata","")</f>
        <v/>
      </c>
      <c r="AY19" s="234"/>
      <c r="AZ19" s="75">
        <f t="shared" ref="AZ19:AZ30" si="12">Y19</f>
        <v>0</v>
      </c>
      <c r="BA19" s="75">
        <f t="shared" ref="BA19:BA30" si="13">Z19</f>
        <v>0</v>
      </c>
      <c r="BB19" s="75">
        <f t="shared" ref="BB19:BB30" si="14">AA19</f>
        <v>0</v>
      </c>
      <c r="BC19" s="75">
        <f t="shared" ref="BC19:BC30" si="15">AB19</f>
        <v>0</v>
      </c>
      <c r="BD19" s="75">
        <f t="shared" ref="BD19:BD30" si="16">AC19</f>
        <v>0</v>
      </c>
      <c r="BE19" s="47">
        <f>AZ19+BA19+BB19+BC19+BD19</f>
        <v>0</v>
      </c>
      <c r="BF19" s="49"/>
      <c r="BG19" s="234"/>
      <c r="BH19" s="58" t="str">
        <f t="shared" ref="BH19:BH30" ca="1" si="17">OFFSET($EI$2,$BI$15+ROW(BH19)-ROW($BH$19),0)</f>
        <v>nov</v>
      </c>
      <c r="BI19" s="76">
        <f t="shared" ref="BI19:BI30" ca="1" si="18">MATCH(BH19,$EI$3:$EI$14,0)</f>
        <v>11</v>
      </c>
      <c r="BJ19" s="76">
        <f t="shared" ref="BJ19:BJ30" ca="1" si="19">IF(OR(BI19&gt;=$BI$15,BI19&lt;=$BI$16),1,0)</f>
        <v>1</v>
      </c>
      <c r="BK19" s="76">
        <f t="shared" ref="BK19:BK30" ca="1" si="20">IF(BJ19=1,VLOOKUP(BH19,$EI$3:$EK$14,3,FALSE),0)</f>
        <v>720</v>
      </c>
      <c r="BL19" s="77" t="str">
        <f t="shared" ref="BL19:BL30" ca="1" si="21">G19</f>
        <v>jan</v>
      </c>
      <c r="BM19" s="78">
        <f ca="1">VLOOKUP(BL19,$BH$19:$BJ$30,3,FALSE)</f>
        <v>1</v>
      </c>
      <c r="BN19" s="75" t="e">
        <f ca="1">IF($BM19=1,AZ19*$BO$12,AZ19)</f>
        <v>#DIV/0!</v>
      </c>
      <c r="BO19" s="75" t="e">
        <f t="shared" ref="BO19:BR30" ca="1" si="22">IF($BM19=1,BA19*$BO$12,BA19)</f>
        <v>#DIV/0!</v>
      </c>
      <c r="BP19" s="75" t="e">
        <f ca="1">IF($BM19=1,BB19*$BO$12,BB19)</f>
        <v>#DIV/0!</v>
      </c>
      <c r="BQ19" s="75" t="e">
        <f t="shared" ca="1" si="22"/>
        <v>#DIV/0!</v>
      </c>
      <c r="BR19" s="75" t="e">
        <f t="shared" ca="1" si="22"/>
        <v>#DIV/0!</v>
      </c>
      <c r="BS19" s="47" t="e">
        <f ca="1">BN19+BO19+BP19+BQ19+BR19</f>
        <v>#DIV/0!</v>
      </c>
      <c r="BT19" s="79" t="e">
        <f t="shared" ref="BT19:BT30" ca="1" si="23">IF(AND(BN19&gt;0,BM19=1),BN19/$BT$17,0)</f>
        <v>#DIV/0!</v>
      </c>
      <c r="BU19" s="79" t="e">
        <f t="shared" ref="BU19:BU30" ca="1" si="24">IF(AND(BO19&gt;0,BM19=1),BO19/$BU$17,0)</f>
        <v>#DIV/0!</v>
      </c>
      <c r="BV19" s="79" t="e">
        <f t="shared" ref="BV19:BV30" ca="1" si="25">IF(AND(BP19&gt;0,BM19=1),BP19/$BV$17,0)</f>
        <v>#DIV/0!</v>
      </c>
      <c r="BW19" s="79" t="e">
        <f t="shared" ref="BW19:BW30" ca="1" si="26">IF(AND(BQ19&gt;0,BM19=1),BQ19/$BW$17,0)</f>
        <v>#DIV/0!</v>
      </c>
      <c r="BX19" s="79" t="e">
        <f t="shared" ref="BX19:BX30" ca="1" si="27">IF(AND(BR19&gt;0,BM19=1),BR19/$BX$17,0)</f>
        <v>#DIV/0!</v>
      </c>
      <c r="BY19" s="79"/>
      <c r="BZ19" s="77" t="str">
        <f ca="1">BL19</f>
        <v>jan</v>
      </c>
      <c r="CA19" s="78">
        <f ca="1">BM19</f>
        <v>1</v>
      </c>
      <c r="CB19" s="75" t="e">
        <f t="shared" ref="CB19:CB30" ca="1" si="28">BN19+$CB$15*BT19</f>
        <v>#DIV/0!</v>
      </c>
      <c r="CC19" s="75" t="e">
        <f t="shared" ref="CC19:CC30" ca="1" si="29">BO19+$CC$15*BU19</f>
        <v>#DIV/0!</v>
      </c>
      <c r="CD19" s="75" t="e">
        <f t="shared" ref="CD19:CD30" ca="1" si="30">BP19+$CD$15*BV19</f>
        <v>#DIV/0!</v>
      </c>
      <c r="CE19" s="75" t="e">
        <f t="shared" ref="CE19:CE30" ca="1" si="31">BQ19+$CE$15*BW19</f>
        <v>#DIV/0!</v>
      </c>
      <c r="CF19" s="75" t="e">
        <f t="shared" ref="CF19:CF30" ca="1" si="32">BR19+$CF$15*BX19</f>
        <v>#DIV/0!</v>
      </c>
      <c r="CG19" s="47" t="e">
        <f ca="1">CB19+CC19+CD19+CE19+CF19</f>
        <v>#DIV/0!</v>
      </c>
      <c r="CH19" s="234"/>
      <c r="CI19" s="57"/>
      <c r="CJ19" s="47" t="e">
        <f t="shared" ref="CJ19:CJ30" ca="1" si="33">IF(CB19&gt;0,CB19+$AH$130/$CJ$14*$CB$32,0)</f>
        <v>#DIV/0!</v>
      </c>
      <c r="CK19" s="47" t="e">
        <f t="shared" ref="CK19:CK30" ca="1" si="34">IF(CC19&gt;0,CC19+$AH$130/$CK$14*$CC$32,0)</f>
        <v>#DIV/0!</v>
      </c>
      <c r="CL19" s="47" t="e">
        <f t="shared" ref="CL19:CL30" ca="1" si="35">IF(CD19&gt;0,CD19+$AH$130/$CL$14*$CD$32,0)</f>
        <v>#DIV/0!</v>
      </c>
      <c r="CM19" s="47" t="e">
        <f t="shared" ref="CM19:CM30" ca="1" si="36">IF(CE19&gt;0,CE19+$AH$130/$CM$14*$CE$32,0)</f>
        <v>#DIV/0!</v>
      </c>
      <c r="CN19" s="47" t="e">
        <f t="shared" ref="CN19:CN30" ca="1" si="37">IF(CF19&gt;0,CF19+$AH$130/$CN$14*$CF$32,0)</f>
        <v>#DIV/0!</v>
      </c>
      <c r="CO19" s="47" t="e">
        <f ca="1">CJ19+CK19+CL19+CM19+CN19</f>
        <v>#DIV/0!</v>
      </c>
      <c r="CP19" s="49"/>
      <c r="CQ19" s="52" t="str">
        <f t="shared" ref="CQ19:CQ30" ca="1" si="38">F19 &amp; TEXT(MATCH(G19,$EI$3:$EI$14,0),"00")</f>
        <v>201701</v>
      </c>
      <c r="CR19" s="52">
        <f ca="1">MATCH('Mätvärden referensår'!CQ19,Normalår!$R$5:$R$76,0)-1</f>
        <v>24</v>
      </c>
      <c r="CS19" s="80">
        <f ca="1">OFFSET(Normalår!$S$5,CR19,0)</f>
        <v>0.90928635413556269</v>
      </c>
      <c r="CT19" s="234"/>
      <c r="CU19" s="75" t="e">
        <f ca="1">CJ19*CS19</f>
        <v>#DIV/0!</v>
      </c>
      <c r="CV19" s="75" t="e">
        <f ca="1">CK19*CS19</f>
        <v>#DIV/0!</v>
      </c>
      <c r="CW19" s="75" t="e">
        <f ca="1">CL19*CS19</f>
        <v>#DIV/0!</v>
      </c>
      <c r="CX19" s="75" t="e">
        <f ca="1">CM19*CS19</f>
        <v>#DIV/0!</v>
      </c>
      <c r="CY19" s="75" t="e">
        <f ca="1">CN19*CS19</f>
        <v>#DIV/0!</v>
      </c>
      <c r="CZ19" s="47" t="e">
        <f ca="1">CU19+CV19+CW19+CX19+CY19</f>
        <v>#DIV/0!</v>
      </c>
      <c r="DA19" s="234"/>
      <c r="DB19" s="234"/>
      <c r="DC19" s="234"/>
      <c r="DD19" s="47" t="e">
        <f ca="1">CU19</f>
        <v>#DIV/0!</v>
      </c>
      <c r="DE19" s="47" t="e">
        <f ca="1">CV19</f>
        <v>#DIV/0!</v>
      </c>
      <c r="DF19" s="47" t="e">
        <f ca="1">CW19</f>
        <v>#DIV/0!</v>
      </c>
      <c r="DG19" s="47" t="e">
        <f ca="1">CX19</f>
        <v>#DIV/0!</v>
      </c>
      <c r="DH19" s="47" t="e">
        <f ca="1">CY19</f>
        <v>#DIV/0!</v>
      </c>
      <c r="DI19" s="47" t="e">
        <f ca="1">DD19+DE19+DF19+DG19+DH19</f>
        <v>#DIV/0!</v>
      </c>
      <c r="DJ19" s="234"/>
      <c r="DK19" s="234"/>
      <c r="DL19" s="234"/>
      <c r="DM19" s="47" t="e">
        <f t="shared" ref="DM19:DQ30" ca="1" si="39">CU19</f>
        <v>#DIV/0!</v>
      </c>
      <c r="DN19" s="47" t="e">
        <f t="shared" ca="1" si="39"/>
        <v>#DIV/0!</v>
      </c>
      <c r="DO19" s="47" t="e">
        <f t="shared" ca="1" si="39"/>
        <v>#DIV/0!</v>
      </c>
      <c r="DP19" s="47" t="e">
        <f t="shared" ca="1" si="39"/>
        <v>#DIV/0!</v>
      </c>
      <c r="DQ19" s="47" t="e">
        <f t="shared" ca="1" si="39"/>
        <v>#DIV/0!</v>
      </c>
      <c r="DR19" s="47" t="e">
        <f ca="1">DM19+DN19+DO19+DP19+DQ19</f>
        <v>#DIV/0!</v>
      </c>
      <c r="DS19" s="234"/>
      <c r="DT19" s="234"/>
      <c r="EI19" s="36" t="s">
        <v>1065</v>
      </c>
      <c r="EJ19" s="36">
        <v>17</v>
      </c>
      <c r="EK19" s="36"/>
    </row>
    <row r="20" spans="1:156" s="231" customFormat="1" ht="16.5" customHeight="1" x14ac:dyDescent="0.25">
      <c r="A20" s="232"/>
      <c r="B20" s="250"/>
      <c r="C20" s="218"/>
      <c r="D20" s="218"/>
      <c r="E20" s="232"/>
      <c r="F20" s="387">
        <f ca="1">IF(G20="jan",F19+1,F19)</f>
        <v>2017</v>
      </c>
      <c r="G20" s="387" t="str">
        <f t="shared" ca="1" si="1"/>
        <v>feb</v>
      </c>
      <c r="H20" s="70"/>
      <c r="I20" s="72">
        <f t="shared" ref="I20:I30" si="40">IF($D$14&gt;0,IF($I$18=$J$18,J20,J20/$J$15),0)</f>
        <v>0</v>
      </c>
      <c r="J20" s="388"/>
      <c r="K20" s="73"/>
      <c r="L20" s="72">
        <f t="shared" si="2"/>
        <v>0</v>
      </c>
      <c r="M20" s="388"/>
      <c r="N20" s="73"/>
      <c r="O20" s="72">
        <f t="shared" si="3"/>
        <v>0</v>
      </c>
      <c r="P20" s="388"/>
      <c r="Q20" s="74"/>
      <c r="R20" s="74"/>
      <c r="S20" s="74"/>
      <c r="T20" s="74"/>
      <c r="U20" s="74"/>
      <c r="V20" s="74"/>
      <c r="W20" s="232"/>
      <c r="X20" s="233"/>
      <c r="Y20" s="252">
        <f t="shared" si="4"/>
        <v>0</v>
      </c>
      <c r="Z20" s="252">
        <f t="shared" si="5"/>
        <v>0</v>
      </c>
      <c r="AA20" s="252">
        <f t="shared" si="6"/>
        <v>0</v>
      </c>
      <c r="AB20" s="252">
        <f t="shared" si="7"/>
        <v>0</v>
      </c>
      <c r="AC20" s="252">
        <f t="shared" si="8"/>
        <v>0</v>
      </c>
      <c r="AD20" s="248">
        <f t="shared" si="9"/>
        <v>0</v>
      </c>
      <c r="AE20" s="361"/>
      <c r="AF20" s="233"/>
      <c r="AG20" s="252">
        <f t="shared" ref="AG20:AG30" si="41">Y20+AG66</f>
        <v>0</v>
      </c>
      <c r="AH20" s="252">
        <f t="shared" si="10"/>
        <v>0</v>
      </c>
      <c r="AI20" s="252">
        <f t="shared" si="10"/>
        <v>0</v>
      </c>
      <c r="AJ20" s="252">
        <f t="shared" si="10"/>
        <v>0</v>
      </c>
      <c r="AK20" s="252">
        <f t="shared" si="10"/>
        <v>0</v>
      </c>
      <c r="AL20" s="248">
        <f t="shared" si="11"/>
        <v>0</v>
      </c>
      <c r="AM20" s="188"/>
      <c r="AN20" s="248">
        <f t="shared" ref="AN20:AN30" si="42">IF(Y20&gt;0,Y20*($Y$32/$Y$31),0)+IF(AG66&gt;0,AG66*($Y$57/$Y$56),0)</f>
        <v>0</v>
      </c>
      <c r="AO20" s="248">
        <f t="shared" ref="AO20:AO30" si="43">IF(Z20&gt;0,Z20*($Z$32/$Z$31),0)+IF(AH66&gt;0,AH66*($Z$57/$Z$56),0)</f>
        <v>0</v>
      </c>
      <c r="AP20" s="248">
        <f t="shared" ref="AP20:AP30" si="44">IF(AA20&gt;0,AA20*($AA$32/$AA$31),0)+IF(AI66&gt;0,AI66*($AA$57/$AA$56),0)</f>
        <v>0</v>
      </c>
      <c r="AQ20" s="248">
        <f t="shared" ref="AQ20:AQ30" si="45">IF(AB20&gt;0,AB20*($AB$32/$AB$31),0)+IF(AJ66&gt;0,AJ66*($AB$57/$AB$56),0)</f>
        <v>0</v>
      </c>
      <c r="AR20" s="248">
        <f t="shared" ref="AR20:AR30" si="46">IF(AC20&gt;0,AC20*($AC$32/$AC$31),0)+IF(AK66&gt;0,AK66*($AC$57/$AC$56),0)</f>
        <v>0</v>
      </c>
      <c r="AS20" s="248">
        <f t="shared" ref="AS20:AS30" si="47">AN20+AO20+AP20+AQ20+AR20</f>
        <v>0</v>
      </c>
      <c r="AT20" s="259">
        <f t="shared" ref="AT20:AT30" si="48">IF($AN$33&gt;0,(AN20-$AN$33*(AF131+AH131+AD131))/$AN$32,0)+IF($AO$33&gt;0,(AO20-$AO$33*(AF131+AH131+AD131))/$AO$32,0)+IF($AP$33&gt;0,(AP20-$AP$33*(AF131+AH131+AD131))/$AP$32,0)+IF($AQ$33&gt;0,(AQ20-$AQ$33*(AF131+AH131+AD131))/$AQ$32,0)+IF($AR$33&gt;0,(AR20-$AR$33*(AF131+AH131+AD131))/$AR$32,0)</f>
        <v>0</v>
      </c>
      <c r="AU20" s="191">
        <f t="shared" ref="AU20:AU30" si="49">AT20-Z131</f>
        <v>0</v>
      </c>
      <c r="AV20" s="362" t="str">
        <f t="shared" ref="AV20:AV29" si="50">IF(AT20&lt;0,"Fel i indata","")</f>
        <v/>
      </c>
      <c r="AW20" s="248">
        <f t="shared" ref="AW20:AW30" si="51">IF($AO$33&gt;0,((AO20/$AO$32)-Z131),0)</f>
        <v>0</v>
      </c>
      <c r="AX20" s="362" t="str">
        <f t="shared" ref="AX20:AX30" si="52">IF(OR(AU20&lt;0,AW20&lt;0),"Fel i indata","")</f>
        <v/>
      </c>
      <c r="AY20" s="49"/>
      <c r="AZ20" s="75">
        <f t="shared" si="12"/>
        <v>0</v>
      </c>
      <c r="BA20" s="75">
        <f t="shared" si="13"/>
        <v>0</v>
      </c>
      <c r="BB20" s="75">
        <f t="shared" si="14"/>
        <v>0</v>
      </c>
      <c r="BC20" s="75">
        <f t="shared" si="15"/>
        <v>0</v>
      </c>
      <c r="BD20" s="75">
        <f t="shared" si="16"/>
        <v>0</v>
      </c>
      <c r="BE20" s="47">
        <f t="shared" ref="BE20:BE30" si="53">AZ20+BA20+BB20+BC20+BD20</f>
        <v>0</v>
      </c>
      <c r="BF20" s="49"/>
      <c r="BG20" s="234"/>
      <c r="BH20" s="58" t="str">
        <f t="shared" ca="1" si="17"/>
        <v>dec</v>
      </c>
      <c r="BI20" s="76">
        <f t="shared" ca="1" si="18"/>
        <v>12</v>
      </c>
      <c r="BJ20" s="76">
        <f t="shared" ca="1" si="19"/>
        <v>1</v>
      </c>
      <c r="BK20" s="76">
        <f t="shared" ca="1" si="20"/>
        <v>744</v>
      </c>
      <c r="BL20" s="77" t="str">
        <f t="shared" ca="1" si="21"/>
        <v>feb</v>
      </c>
      <c r="BM20" s="78">
        <f t="shared" ref="BM20:BM30" ca="1" si="54">VLOOKUP(BL20,$BH$19:$BJ$30,3,FALSE)</f>
        <v>1</v>
      </c>
      <c r="BN20" s="75" t="e">
        <f t="shared" ref="BN20:BN30" ca="1" si="55">IF($BM20=1,AZ20*$BO$12,AZ20)</f>
        <v>#DIV/0!</v>
      </c>
      <c r="BO20" s="75" t="e">
        <f t="shared" ca="1" si="22"/>
        <v>#DIV/0!</v>
      </c>
      <c r="BP20" s="75" t="e">
        <f t="shared" ca="1" si="22"/>
        <v>#DIV/0!</v>
      </c>
      <c r="BQ20" s="75" t="e">
        <f t="shared" ca="1" si="22"/>
        <v>#DIV/0!</v>
      </c>
      <c r="BR20" s="75" t="e">
        <f t="shared" ca="1" si="22"/>
        <v>#DIV/0!</v>
      </c>
      <c r="BS20" s="47" t="e">
        <f t="shared" ref="BS20:BS30" ca="1" si="56">BN20+BO20+BP20+BQ20+BR20</f>
        <v>#DIV/0!</v>
      </c>
      <c r="BT20" s="79" t="e">
        <f t="shared" ca="1" si="23"/>
        <v>#DIV/0!</v>
      </c>
      <c r="BU20" s="79" t="e">
        <f t="shared" ca="1" si="24"/>
        <v>#DIV/0!</v>
      </c>
      <c r="BV20" s="79" t="e">
        <f t="shared" ca="1" si="25"/>
        <v>#DIV/0!</v>
      </c>
      <c r="BW20" s="79" t="e">
        <f t="shared" ca="1" si="26"/>
        <v>#DIV/0!</v>
      </c>
      <c r="BX20" s="79" t="e">
        <f t="shared" ca="1" si="27"/>
        <v>#DIV/0!</v>
      </c>
      <c r="BY20" s="79"/>
      <c r="BZ20" s="77" t="str">
        <f t="shared" ref="BZ20:CA30" ca="1" si="57">BL20</f>
        <v>feb</v>
      </c>
      <c r="CA20" s="78">
        <f t="shared" ca="1" si="57"/>
        <v>1</v>
      </c>
      <c r="CB20" s="75" t="e">
        <f t="shared" ca="1" si="28"/>
        <v>#DIV/0!</v>
      </c>
      <c r="CC20" s="75" t="e">
        <f t="shared" ca="1" si="29"/>
        <v>#DIV/0!</v>
      </c>
      <c r="CD20" s="75" t="e">
        <f t="shared" ca="1" si="30"/>
        <v>#DIV/0!</v>
      </c>
      <c r="CE20" s="75" t="e">
        <f t="shared" ca="1" si="31"/>
        <v>#DIV/0!</v>
      </c>
      <c r="CF20" s="75" t="e">
        <f t="shared" ca="1" si="32"/>
        <v>#DIV/0!</v>
      </c>
      <c r="CG20" s="47" t="e">
        <f t="shared" ref="CG20:CG30" ca="1" si="58">CB20+CC20+CD20+CE20+CF20</f>
        <v>#DIV/0!</v>
      </c>
      <c r="CH20" s="234"/>
      <c r="CI20" s="57"/>
      <c r="CJ20" s="47" t="e">
        <f t="shared" ca="1" si="33"/>
        <v>#DIV/0!</v>
      </c>
      <c r="CK20" s="47" t="e">
        <f t="shared" ca="1" si="34"/>
        <v>#DIV/0!</v>
      </c>
      <c r="CL20" s="47" t="e">
        <f t="shared" ca="1" si="35"/>
        <v>#DIV/0!</v>
      </c>
      <c r="CM20" s="47" t="e">
        <f t="shared" ca="1" si="36"/>
        <v>#DIV/0!</v>
      </c>
      <c r="CN20" s="47" t="e">
        <f t="shared" ca="1" si="37"/>
        <v>#DIV/0!</v>
      </c>
      <c r="CO20" s="47" t="e">
        <f t="shared" ref="CO20:CO30" ca="1" si="59">CJ20+CK20+CL20+CM20+CN20</f>
        <v>#DIV/0!</v>
      </c>
      <c r="CP20" s="49"/>
      <c r="CQ20" s="52" t="str">
        <f t="shared" ca="1" si="38"/>
        <v>201702</v>
      </c>
      <c r="CR20" s="52">
        <f ca="1">MATCH('Mätvärden referensår'!CQ20,Normalår!$R$5:$R$76,0)-1</f>
        <v>25</v>
      </c>
      <c r="CS20" s="80">
        <f ca="1">OFFSET(Normalår!$S$5,CR20,0)</f>
        <v>1.0804414469650523</v>
      </c>
      <c r="CT20" s="234"/>
      <c r="CU20" s="75" t="e">
        <f t="shared" ref="CU20:CU30" ca="1" si="60">CJ20*CS20</f>
        <v>#DIV/0!</v>
      </c>
      <c r="CV20" s="75" t="e">
        <f t="shared" ref="CV20:CV30" ca="1" si="61">CK20*CS20</f>
        <v>#DIV/0!</v>
      </c>
      <c r="CW20" s="75" t="e">
        <f t="shared" ref="CW20:CW30" ca="1" si="62">CL20*CS20</f>
        <v>#DIV/0!</v>
      </c>
      <c r="CX20" s="75" t="e">
        <f t="shared" ref="CX20:CX30" ca="1" si="63">CM20*CS20</f>
        <v>#DIV/0!</v>
      </c>
      <c r="CY20" s="75" t="e">
        <f t="shared" ref="CY20:CY28" ca="1" si="64">CN20*CS20</f>
        <v>#DIV/0!</v>
      </c>
      <c r="CZ20" s="47" t="e">
        <f t="shared" ref="CZ20:CZ30" ca="1" si="65">CU20+CV20+CW20+CX20+CY20</f>
        <v>#DIV/0!</v>
      </c>
      <c r="DA20" s="234"/>
      <c r="DB20" s="234"/>
      <c r="DC20" s="234"/>
      <c r="DD20" s="47" t="e">
        <f t="shared" ref="DD20:DH30" ca="1" si="66">CU20</f>
        <v>#DIV/0!</v>
      </c>
      <c r="DE20" s="47" t="e">
        <f t="shared" ca="1" si="66"/>
        <v>#DIV/0!</v>
      </c>
      <c r="DF20" s="47" t="e">
        <f t="shared" ca="1" si="66"/>
        <v>#DIV/0!</v>
      </c>
      <c r="DG20" s="47" t="e">
        <f t="shared" ca="1" si="66"/>
        <v>#DIV/0!</v>
      </c>
      <c r="DH20" s="47" t="e">
        <f t="shared" ca="1" si="66"/>
        <v>#DIV/0!</v>
      </c>
      <c r="DI20" s="47" t="e">
        <f t="shared" ref="DI20:DI30" ca="1" si="67">DD20+DE20+DF20+DG20+DH20</f>
        <v>#DIV/0!</v>
      </c>
      <c r="DJ20" s="234"/>
      <c r="DK20" s="234"/>
      <c r="DL20" s="234"/>
      <c r="DM20" s="47" t="e">
        <f t="shared" ca="1" si="39"/>
        <v>#DIV/0!</v>
      </c>
      <c r="DN20" s="47" t="e">
        <f t="shared" ca="1" si="39"/>
        <v>#DIV/0!</v>
      </c>
      <c r="DO20" s="47" t="e">
        <f t="shared" ca="1" si="39"/>
        <v>#DIV/0!</v>
      </c>
      <c r="DP20" s="47" t="e">
        <f t="shared" ca="1" si="39"/>
        <v>#DIV/0!</v>
      </c>
      <c r="DQ20" s="47" t="e">
        <f t="shared" ca="1" si="39"/>
        <v>#DIV/0!</v>
      </c>
      <c r="DR20" s="47" t="e">
        <f t="shared" ref="DR20:DR30" ca="1" si="68">DM20+DN20+DO20+DP20+DQ20</f>
        <v>#DIV/0!</v>
      </c>
      <c r="DS20" s="234"/>
      <c r="DT20" s="234"/>
      <c r="EI20" s="34" t="s">
        <v>1066</v>
      </c>
      <c r="EJ20" s="36">
        <v>18</v>
      </c>
      <c r="EK20" s="36"/>
    </row>
    <row r="21" spans="1:156" s="61" customFormat="1" ht="16.5" customHeight="1" x14ac:dyDescent="0.25">
      <c r="A21" s="232"/>
      <c r="B21" s="250"/>
      <c r="C21" s="218"/>
      <c r="D21" s="218"/>
      <c r="E21" s="232"/>
      <c r="F21" s="387">
        <f t="shared" ref="F21:F30" ca="1" si="69">IF(G21="jan",F20+1,F20)</f>
        <v>2017</v>
      </c>
      <c r="G21" s="387" t="str">
        <f t="shared" ca="1" si="1"/>
        <v>mars</v>
      </c>
      <c r="H21" s="70"/>
      <c r="I21" s="72">
        <f t="shared" si="40"/>
        <v>0</v>
      </c>
      <c r="J21" s="388"/>
      <c r="K21" s="73"/>
      <c r="L21" s="72">
        <f t="shared" si="2"/>
        <v>0</v>
      </c>
      <c r="M21" s="388"/>
      <c r="N21" s="73"/>
      <c r="O21" s="72">
        <f t="shared" si="3"/>
        <v>0</v>
      </c>
      <c r="P21" s="388"/>
      <c r="Q21" s="74"/>
      <c r="R21" s="74"/>
      <c r="S21" s="74"/>
      <c r="T21" s="74"/>
      <c r="U21" s="74"/>
      <c r="V21" s="74"/>
      <c r="W21" s="232"/>
      <c r="X21" s="233"/>
      <c r="Y21" s="252">
        <f t="shared" si="4"/>
        <v>0</v>
      </c>
      <c r="Z21" s="252">
        <f t="shared" si="5"/>
        <v>0</v>
      </c>
      <c r="AA21" s="252">
        <f t="shared" si="6"/>
        <v>0</v>
      </c>
      <c r="AB21" s="252">
        <f t="shared" si="7"/>
        <v>0</v>
      </c>
      <c r="AC21" s="252">
        <f t="shared" si="8"/>
        <v>0</v>
      </c>
      <c r="AD21" s="248">
        <f t="shared" si="9"/>
        <v>0</v>
      </c>
      <c r="AE21" s="361"/>
      <c r="AF21" s="233"/>
      <c r="AG21" s="252">
        <f t="shared" si="41"/>
        <v>0</v>
      </c>
      <c r="AH21" s="252">
        <f t="shared" si="10"/>
        <v>0</v>
      </c>
      <c r="AI21" s="252">
        <f t="shared" si="10"/>
        <v>0</v>
      </c>
      <c r="AJ21" s="252">
        <f t="shared" si="10"/>
        <v>0</v>
      </c>
      <c r="AK21" s="252">
        <f t="shared" si="10"/>
        <v>0</v>
      </c>
      <c r="AL21" s="248">
        <f t="shared" si="11"/>
        <v>0</v>
      </c>
      <c r="AM21" s="188"/>
      <c r="AN21" s="248">
        <f t="shared" si="42"/>
        <v>0</v>
      </c>
      <c r="AO21" s="248">
        <f t="shared" si="43"/>
        <v>0</v>
      </c>
      <c r="AP21" s="248">
        <f t="shared" si="44"/>
        <v>0</v>
      </c>
      <c r="AQ21" s="248">
        <f t="shared" si="45"/>
        <v>0</v>
      </c>
      <c r="AR21" s="248">
        <f t="shared" si="46"/>
        <v>0</v>
      </c>
      <c r="AS21" s="248">
        <f t="shared" si="47"/>
        <v>0</v>
      </c>
      <c r="AT21" s="259">
        <f t="shared" si="48"/>
        <v>0</v>
      </c>
      <c r="AU21" s="191">
        <f t="shared" si="49"/>
        <v>0</v>
      </c>
      <c r="AV21" s="362" t="str">
        <f t="shared" si="50"/>
        <v/>
      </c>
      <c r="AW21" s="248">
        <f t="shared" si="51"/>
        <v>0</v>
      </c>
      <c r="AX21" s="362" t="str">
        <f t="shared" si="52"/>
        <v/>
      </c>
      <c r="AY21" s="49"/>
      <c r="AZ21" s="75">
        <f t="shared" si="12"/>
        <v>0</v>
      </c>
      <c r="BA21" s="75">
        <f t="shared" si="13"/>
        <v>0</v>
      </c>
      <c r="BB21" s="75">
        <f t="shared" si="14"/>
        <v>0</v>
      </c>
      <c r="BC21" s="75">
        <f t="shared" si="15"/>
        <v>0</v>
      </c>
      <c r="BD21" s="75">
        <f t="shared" si="16"/>
        <v>0</v>
      </c>
      <c r="BE21" s="47">
        <f t="shared" si="53"/>
        <v>0</v>
      </c>
      <c r="BF21" s="49"/>
      <c r="BG21" s="234"/>
      <c r="BH21" s="58" t="str">
        <f t="shared" ca="1" si="17"/>
        <v>jan</v>
      </c>
      <c r="BI21" s="76">
        <f t="shared" ca="1" si="18"/>
        <v>1</v>
      </c>
      <c r="BJ21" s="76">
        <f t="shared" ca="1" si="19"/>
        <v>1</v>
      </c>
      <c r="BK21" s="76">
        <f t="shared" ca="1" si="20"/>
        <v>744</v>
      </c>
      <c r="BL21" s="77" t="str">
        <f t="shared" ca="1" si="21"/>
        <v>mars</v>
      </c>
      <c r="BM21" s="78">
        <f t="shared" ca="1" si="54"/>
        <v>0</v>
      </c>
      <c r="BN21" s="75">
        <f t="shared" ca="1" si="55"/>
        <v>0</v>
      </c>
      <c r="BO21" s="75">
        <f t="shared" ca="1" si="22"/>
        <v>0</v>
      </c>
      <c r="BP21" s="75">
        <f t="shared" ca="1" si="22"/>
        <v>0</v>
      </c>
      <c r="BQ21" s="75">
        <f t="shared" ca="1" si="22"/>
        <v>0</v>
      </c>
      <c r="BR21" s="75">
        <f t="shared" ca="1" si="22"/>
        <v>0</v>
      </c>
      <c r="BS21" s="47">
        <f t="shared" ca="1" si="56"/>
        <v>0</v>
      </c>
      <c r="BT21" s="79">
        <f t="shared" ca="1" si="23"/>
        <v>0</v>
      </c>
      <c r="BU21" s="79">
        <f t="shared" ca="1" si="24"/>
        <v>0</v>
      </c>
      <c r="BV21" s="79">
        <f t="shared" ca="1" si="25"/>
        <v>0</v>
      </c>
      <c r="BW21" s="79">
        <f t="shared" ca="1" si="26"/>
        <v>0</v>
      </c>
      <c r="BX21" s="79">
        <f t="shared" ca="1" si="27"/>
        <v>0</v>
      </c>
      <c r="BY21" s="79"/>
      <c r="BZ21" s="77" t="str">
        <f t="shared" ca="1" si="57"/>
        <v>mars</v>
      </c>
      <c r="CA21" s="78">
        <f t="shared" ca="1" si="57"/>
        <v>0</v>
      </c>
      <c r="CB21" s="75" t="e">
        <f t="shared" ca="1" si="28"/>
        <v>#DIV/0!</v>
      </c>
      <c r="CC21" s="75" t="e">
        <f t="shared" ca="1" si="29"/>
        <v>#DIV/0!</v>
      </c>
      <c r="CD21" s="75" t="e">
        <f t="shared" ca="1" si="30"/>
        <v>#DIV/0!</v>
      </c>
      <c r="CE21" s="75" t="e">
        <f t="shared" ca="1" si="31"/>
        <v>#DIV/0!</v>
      </c>
      <c r="CF21" s="75" t="e">
        <f t="shared" ca="1" si="32"/>
        <v>#DIV/0!</v>
      </c>
      <c r="CG21" s="47" t="e">
        <f t="shared" ca="1" si="58"/>
        <v>#DIV/0!</v>
      </c>
      <c r="CH21" s="234"/>
      <c r="CI21" s="57"/>
      <c r="CJ21" s="47" t="e">
        <f t="shared" ca="1" si="33"/>
        <v>#DIV/0!</v>
      </c>
      <c r="CK21" s="47" t="e">
        <f t="shared" ca="1" si="34"/>
        <v>#DIV/0!</v>
      </c>
      <c r="CL21" s="47" t="e">
        <f t="shared" ca="1" si="35"/>
        <v>#DIV/0!</v>
      </c>
      <c r="CM21" s="47" t="e">
        <f t="shared" ca="1" si="36"/>
        <v>#DIV/0!</v>
      </c>
      <c r="CN21" s="47" t="e">
        <f t="shared" ca="1" si="37"/>
        <v>#DIV/0!</v>
      </c>
      <c r="CO21" s="47" t="e">
        <f t="shared" ca="1" si="59"/>
        <v>#DIV/0!</v>
      </c>
      <c r="CP21" s="49"/>
      <c r="CQ21" s="52" t="str">
        <f t="shared" ca="1" si="38"/>
        <v>201703</v>
      </c>
      <c r="CR21" s="52">
        <f ca="1">MATCH('Mätvärden referensår'!CQ21,Normalår!$R$5:$R$76,0)-1</f>
        <v>26</v>
      </c>
      <c r="CS21" s="80">
        <f ca="1">OFFSET(Normalår!$S$5,CR21,0)</f>
        <v>1.104072732648385</v>
      </c>
      <c r="CT21" s="234"/>
      <c r="CU21" s="75" t="e">
        <f t="shared" ca="1" si="60"/>
        <v>#DIV/0!</v>
      </c>
      <c r="CV21" s="75" t="e">
        <f t="shared" ca="1" si="61"/>
        <v>#DIV/0!</v>
      </c>
      <c r="CW21" s="75" t="e">
        <f t="shared" ca="1" si="62"/>
        <v>#DIV/0!</v>
      </c>
      <c r="CX21" s="75" t="e">
        <f t="shared" ca="1" si="63"/>
        <v>#DIV/0!</v>
      </c>
      <c r="CY21" s="75" t="e">
        <f t="shared" ca="1" si="64"/>
        <v>#DIV/0!</v>
      </c>
      <c r="CZ21" s="47" t="e">
        <f t="shared" ca="1" si="65"/>
        <v>#DIV/0!</v>
      </c>
      <c r="DA21" s="234"/>
      <c r="DB21" s="234"/>
      <c r="DC21" s="234"/>
      <c r="DD21" s="47" t="e">
        <f t="shared" ca="1" si="66"/>
        <v>#DIV/0!</v>
      </c>
      <c r="DE21" s="47" t="e">
        <f t="shared" ca="1" si="66"/>
        <v>#DIV/0!</v>
      </c>
      <c r="DF21" s="47" t="e">
        <f t="shared" ca="1" si="66"/>
        <v>#DIV/0!</v>
      </c>
      <c r="DG21" s="47" t="e">
        <f t="shared" ca="1" si="66"/>
        <v>#DIV/0!</v>
      </c>
      <c r="DH21" s="47" t="e">
        <f t="shared" ca="1" si="66"/>
        <v>#DIV/0!</v>
      </c>
      <c r="DI21" s="47" t="e">
        <f t="shared" ca="1" si="67"/>
        <v>#DIV/0!</v>
      </c>
      <c r="DJ21" s="234"/>
      <c r="DK21" s="234"/>
      <c r="DL21" s="234"/>
      <c r="DM21" s="47" t="e">
        <f t="shared" ca="1" si="39"/>
        <v>#DIV/0!</v>
      </c>
      <c r="DN21" s="47" t="e">
        <f t="shared" ca="1" si="39"/>
        <v>#DIV/0!</v>
      </c>
      <c r="DO21" s="47" t="e">
        <f t="shared" ca="1" si="39"/>
        <v>#DIV/0!</v>
      </c>
      <c r="DP21" s="47" t="e">
        <f t="shared" ca="1" si="39"/>
        <v>#DIV/0!</v>
      </c>
      <c r="DQ21" s="47" t="e">
        <f t="shared" ca="1" si="39"/>
        <v>#DIV/0!</v>
      </c>
      <c r="DR21" s="47" t="e">
        <f t="shared" ca="1" si="68"/>
        <v>#DIV/0!</v>
      </c>
      <c r="DS21" s="234"/>
      <c r="DT21" s="234"/>
      <c r="DU21" s="231"/>
      <c r="DV21" s="231"/>
      <c r="DW21" s="231"/>
      <c r="DX21" s="231"/>
      <c r="DY21" s="231"/>
      <c r="DZ21" s="231"/>
      <c r="EA21" s="231"/>
      <c r="EB21" s="231"/>
      <c r="EC21" s="231"/>
      <c r="ED21" s="231"/>
      <c r="EE21" s="231"/>
      <c r="EF21" s="231"/>
      <c r="EG21" s="231"/>
      <c r="EH21" s="231"/>
      <c r="EI21" s="34" t="s">
        <v>1067</v>
      </c>
      <c r="EJ21" s="36">
        <v>19</v>
      </c>
      <c r="EK21" s="36"/>
      <c r="EL21" s="231"/>
      <c r="EM21" s="231"/>
      <c r="EN21" s="231"/>
      <c r="EO21" s="231"/>
      <c r="EP21" s="231"/>
      <c r="EQ21" s="231"/>
      <c r="ER21" s="231"/>
      <c r="ES21" s="231"/>
      <c r="ET21" s="231"/>
      <c r="EU21" s="231"/>
      <c r="EV21" s="231"/>
      <c r="EW21" s="231"/>
      <c r="EX21" s="231"/>
      <c r="EY21" s="231"/>
      <c r="EZ21" s="231"/>
    </row>
    <row r="22" spans="1:156" s="231" customFormat="1" ht="16.5" customHeight="1" x14ac:dyDescent="0.25">
      <c r="A22" s="232"/>
      <c r="B22" s="250"/>
      <c r="E22" s="232"/>
      <c r="F22" s="387">
        <f t="shared" ca="1" si="69"/>
        <v>2017</v>
      </c>
      <c r="G22" s="387" t="str">
        <f t="shared" ca="1" si="1"/>
        <v>apr</v>
      </c>
      <c r="H22" s="70"/>
      <c r="I22" s="72">
        <f t="shared" si="40"/>
        <v>0</v>
      </c>
      <c r="J22" s="388"/>
      <c r="K22" s="73"/>
      <c r="L22" s="72">
        <f t="shared" si="2"/>
        <v>0</v>
      </c>
      <c r="M22" s="388"/>
      <c r="N22" s="73"/>
      <c r="O22" s="72">
        <f t="shared" si="3"/>
        <v>0</v>
      </c>
      <c r="P22" s="388"/>
      <c r="Q22" s="74"/>
      <c r="R22" s="74"/>
      <c r="S22" s="74"/>
      <c r="T22" s="74"/>
      <c r="U22" s="74"/>
      <c r="V22" s="74"/>
      <c r="W22" s="232"/>
      <c r="X22" s="233"/>
      <c r="Y22" s="252">
        <f t="shared" si="4"/>
        <v>0</v>
      </c>
      <c r="Z22" s="252">
        <f t="shared" si="5"/>
        <v>0</v>
      </c>
      <c r="AA22" s="252">
        <f t="shared" si="6"/>
        <v>0</v>
      </c>
      <c r="AB22" s="252">
        <f t="shared" si="7"/>
        <v>0</v>
      </c>
      <c r="AC22" s="252">
        <f t="shared" si="8"/>
        <v>0</v>
      </c>
      <c r="AD22" s="248">
        <f t="shared" si="9"/>
        <v>0</v>
      </c>
      <c r="AE22" s="361"/>
      <c r="AF22" s="233"/>
      <c r="AG22" s="252">
        <f t="shared" si="41"/>
        <v>0</v>
      </c>
      <c r="AH22" s="252">
        <f t="shared" si="10"/>
        <v>0</v>
      </c>
      <c r="AI22" s="252">
        <f t="shared" si="10"/>
        <v>0</v>
      </c>
      <c r="AJ22" s="252">
        <f t="shared" si="10"/>
        <v>0</v>
      </c>
      <c r="AK22" s="252">
        <f t="shared" si="10"/>
        <v>0</v>
      </c>
      <c r="AL22" s="248">
        <f t="shared" si="11"/>
        <v>0</v>
      </c>
      <c r="AM22" s="188"/>
      <c r="AN22" s="248">
        <f t="shared" si="42"/>
        <v>0</v>
      </c>
      <c r="AO22" s="248">
        <f t="shared" si="43"/>
        <v>0</v>
      </c>
      <c r="AP22" s="248">
        <f t="shared" si="44"/>
        <v>0</v>
      </c>
      <c r="AQ22" s="248">
        <f t="shared" si="45"/>
        <v>0</v>
      </c>
      <c r="AR22" s="248">
        <f t="shared" si="46"/>
        <v>0</v>
      </c>
      <c r="AS22" s="248">
        <f t="shared" si="47"/>
        <v>0</v>
      </c>
      <c r="AT22" s="259">
        <f t="shared" si="48"/>
        <v>0</v>
      </c>
      <c r="AU22" s="191">
        <f t="shared" si="49"/>
        <v>0</v>
      </c>
      <c r="AV22" s="362" t="str">
        <f t="shared" si="50"/>
        <v/>
      </c>
      <c r="AW22" s="248">
        <f t="shared" si="51"/>
        <v>0</v>
      </c>
      <c r="AX22" s="362" t="str">
        <f t="shared" si="52"/>
        <v/>
      </c>
      <c r="AY22" s="49"/>
      <c r="AZ22" s="75">
        <f t="shared" si="12"/>
        <v>0</v>
      </c>
      <c r="BA22" s="75">
        <f t="shared" si="13"/>
        <v>0</v>
      </c>
      <c r="BB22" s="75">
        <f t="shared" si="14"/>
        <v>0</v>
      </c>
      <c r="BC22" s="75">
        <f t="shared" si="15"/>
        <v>0</v>
      </c>
      <c r="BD22" s="75">
        <f t="shared" si="16"/>
        <v>0</v>
      </c>
      <c r="BE22" s="47">
        <f t="shared" si="53"/>
        <v>0</v>
      </c>
      <c r="BF22" s="49"/>
      <c r="BG22" s="234"/>
      <c r="BH22" s="58" t="str">
        <f t="shared" ca="1" si="17"/>
        <v>feb</v>
      </c>
      <c r="BI22" s="76">
        <f t="shared" ca="1" si="18"/>
        <v>2</v>
      </c>
      <c r="BJ22" s="76">
        <f t="shared" ca="1" si="19"/>
        <v>1</v>
      </c>
      <c r="BK22" s="76">
        <f t="shared" ca="1" si="20"/>
        <v>672</v>
      </c>
      <c r="BL22" s="77" t="str">
        <f t="shared" ca="1" si="21"/>
        <v>apr</v>
      </c>
      <c r="BM22" s="78">
        <f t="shared" ca="1" si="54"/>
        <v>0</v>
      </c>
      <c r="BN22" s="75">
        <f t="shared" ca="1" si="55"/>
        <v>0</v>
      </c>
      <c r="BO22" s="75">
        <f t="shared" ca="1" si="22"/>
        <v>0</v>
      </c>
      <c r="BP22" s="75">
        <f t="shared" ca="1" si="22"/>
        <v>0</v>
      </c>
      <c r="BQ22" s="75">
        <f t="shared" ca="1" si="22"/>
        <v>0</v>
      </c>
      <c r="BR22" s="75">
        <f t="shared" ca="1" si="22"/>
        <v>0</v>
      </c>
      <c r="BS22" s="47">
        <f t="shared" ca="1" si="56"/>
        <v>0</v>
      </c>
      <c r="BT22" s="79">
        <f t="shared" ca="1" si="23"/>
        <v>0</v>
      </c>
      <c r="BU22" s="79">
        <f t="shared" ca="1" si="24"/>
        <v>0</v>
      </c>
      <c r="BV22" s="79">
        <f t="shared" ca="1" si="25"/>
        <v>0</v>
      </c>
      <c r="BW22" s="79">
        <f t="shared" ca="1" si="26"/>
        <v>0</v>
      </c>
      <c r="BX22" s="79">
        <f t="shared" ca="1" si="27"/>
        <v>0</v>
      </c>
      <c r="BY22" s="79"/>
      <c r="BZ22" s="77" t="str">
        <f t="shared" ca="1" si="57"/>
        <v>apr</v>
      </c>
      <c r="CA22" s="78">
        <f t="shared" ca="1" si="57"/>
        <v>0</v>
      </c>
      <c r="CB22" s="75" t="e">
        <f t="shared" ca="1" si="28"/>
        <v>#DIV/0!</v>
      </c>
      <c r="CC22" s="75" t="e">
        <f t="shared" ca="1" si="29"/>
        <v>#DIV/0!</v>
      </c>
      <c r="CD22" s="75" t="e">
        <f t="shared" ca="1" si="30"/>
        <v>#DIV/0!</v>
      </c>
      <c r="CE22" s="75" t="e">
        <f t="shared" ca="1" si="31"/>
        <v>#DIV/0!</v>
      </c>
      <c r="CF22" s="75" t="e">
        <f t="shared" ca="1" si="32"/>
        <v>#DIV/0!</v>
      </c>
      <c r="CG22" s="47" t="e">
        <f t="shared" ca="1" si="58"/>
        <v>#DIV/0!</v>
      </c>
      <c r="CH22" s="234"/>
      <c r="CI22" s="57"/>
      <c r="CJ22" s="47" t="e">
        <f t="shared" ca="1" si="33"/>
        <v>#DIV/0!</v>
      </c>
      <c r="CK22" s="47" t="e">
        <f t="shared" ca="1" si="34"/>
        <v>#DIV/0!</v>
      </c>
      <c r="CL22" s="47" t="e">
        <f t="shared" ca="1" si="35"/>
        <v>#DIV/0!</v>
      </c>
      <c r="CM22" s="47" t="e">
        <f t="shared" ca="1" si="36"/>
        <v>#DIV/0!</v>
      </c>
      <c r="CN22" s="47" t="e">
        <f t="shared" ca="1" si="37"/>
        <v>#DIV/0!</v>
      </c>
      <c r="CO22" s="47" t="e">
        <f t="shared" ca="1" si="59"/>
        <v>#DIV/0!</v>
      </c>
      <c r="CP22" s="49"/>
      <c r="CQ22" s="52" t="str">
        <f t="shared" ca="1" si="38"/>
        <v>201704</v>
      </c>
      <c r="CR22" s="52">
        <f ca="1">MATCH('Mätvärden referensår'!CQ22,Normalår!$R$5:$R$76,0)-1</f>
        <v>27</v>
      </c>
      <c r="CS22" s="80">
        <f ca="1">OFFSET(Normalår!$S$5,CR22,0)</f>
        <v>0.96512856639661859</v>
      </c>
      <c r="CT22" s="234"/>
      <c r="CU22" s="75" t="e">
        <f t="shared" ca="1" si="60"/>
        <v>#DIV/0!</v>
      </c>
      <c r="CV22" s="75" t="e">
        <f t="shared" ca="1" si="61"/>
        <v>#DIV/0!</v>
      </c>
      <c r="CW22" s="75" t="e">
        <f t="shared" ca="1" si="62"/>
        <v>#DIV/0!</v>
      </c>
      <c r="CX22" s="75" t="e">
        <f t="shared" ca="1" si="63"/>
        <v>#DIV/0!</v>
      </c>
      <c r="CY22" s="75" t="e">
        <f t="shared" ca="1" si="64"/>
        <v>#DIV/0!</v>
      </c>
      <c r="CZ22" s="47" t="e">
        <f t="shared" ca="1" si="65"/>
        <v>#DIV/0!</v>
      </c>
      <c r="DA22" s="234"/>
      <c r="DB22" s="81"/>
      <c r="DC22" s="234"/>
      <c r="DD22" s="47" t="e">
        <f t="shared" ca="1" si="66"/>
        <v>#DIV/0!</v>
      </c>
      <c r="DE22" s="47" t="e">
        <f t="shared" ca="1" si="66"/>
        <v>#DIV/0!</v>
      </c>
      <c r="DF22" s="47" t="e">
        <f t="shared" ca="1" si="66"/>
        <v>#DIV/0!</v>
      </c>
      <c r="DG22" s="47" t="e">
        <f t="shared" ca="1" si="66"/>
        <v>#DIV/0!</v>
      </c>
      <c r="DH22" s="47" t="e">
        <f t="shared" ca="1" si="66"/>
        <v>#DIV/0!</v>
      </c>
      <c r="DI22" s="47" t="e">
        <f t="shared" ca="1" si="67"/>
        <v>#DIV/0!</v>
      </c>
      <c r="DJ22" s="234"/>
      <c r="DK22" s="234"/>
      <c r="DL22" s="234"/>
      <c r="DM22" s="47" t="e">
        <f t="shared" ca="1" si="39"/>
        <v>#DIV/0!</v>
      </c>
      <c r="DN22" s="47" t="e">
        <f t="shared" ca="1" si="39"/>
        <v>#DIV/0!</v>
      </c>
      <c r="DO22" s="47" t="e">
        <f t="shared" ca="1" si="39"/>
        <v>#DIV/0!</v>
      </c>
      <c r="DP22" s="47" t="e">
        <f t="shared" ca="1" si="39"/>
        <v>#DIV/0!</v>
      </c>
      <c r="DQ22" s="47" t="e">
        <f t="shared" ca="1" si="39"/>
        <v>#DIV/0!</v>
      </c>
      <c r="DR22" s="47" t="e">
        <f t="shared" ca="1" si="68"/>
        <v>#DIV/0!</v>
      </c>
      <c r="DS22" s="234"/>
      <c r="DT22" s="234"/>
      <c r="EI22" s="34" t="s">
        <v>1068</v>
      </c>
      <c r="EJ22" s="36">
        <v>20</v>
      </c>
      <c r="EK22" s="36"/>
    </row>
    <row r="23" spans="1:156" s="231" customFormat="1" ht="16.5" customHeight="1" x14ac:dyDescent="0.25">
      <c r="A23" s="232"/>
      <c r="B23" s="250"/>
      <c r="C23" s="250"/>
      <c r="D23" s="250"/>
      <c r="E23" s="232"/>
      <c r="F23" s="387">
        <f t="shared" ca="1" si="69"/>
        <v>2017</v>
      </c>
      <c r="G23" s="387" t="str">
        <f t="shared" ca="1" si="1"/>
        <v>maj</v>
      </c>
      <c r="H23" s="70"/>
      <c r="I23" s="72">
        <f t="shared" si="40"/>
        <v>0</v>
      </c>
      <c r="J23" s="388"/>
      <c r="K23" s="73"/>
      <c r="L23" s="72">
        <f t="shared" si="2"/>
        <v>0</v>
      </c>
      <c r="M23" s="388"/>
      <c r="N23" s="73"/>
      <c r="O23" s="72">
        <f t="shared" si="3"/>
        <v>0</v>
      </c>
      <c r="P23" s="388"/>
      <c r="Q23" s="74"/>
      <c r="R23" s="74"/>
      <c r="S23" s="74"/>
      <c r="T23" s="74"/>
      <c r="U23" s="74"/>
      <c r="V23" s="74"/>
      <c r="W23" s="232"/>
      <c r="X23" s="233"/>
      <c r="Y23" s="252">
        <f t="shared" si="4"/>
        <v>0</v>
      </c>
      <c r="Z23" s="252">
        <f t="shared" si="5"/>
        <v>0</v>
      </c>
      <c r="AA23" s="252">
        <f t="shared" si="6"/>
        <v>0</v>
      </c>
      <c r="AB23" s="252">
        <f t="shared" si="7"/>
        <v>0</v>
      </c>
      <c r="AC23" s="252">
        <f t="shared" si="8"/>
        <v>0</v>
      </c>
      <c r="AD23" s="248">
        <f t="shared" si="9"/>
        <v>0</v>
      </c>
      <c r="AE23" s="361"/>
      <c r="AF23" s="233"/>
      <c r="AG23" s="252">
        <f t="shared" si="41"/>
        <v>0</v>
      </c>
      <c r="AH23" s="252">
        <f t="shared" si="10"/>
        <v>0</v>
      </c>
      <c r="AI23" s="252">
        <f t="shared" si="10"/>
        <v>0</v>
      </c>
      <c r="AJ23" s="252">
        <f t="shared" si="10"/>
        <v>0</v>
      </c>
      <c r="AK23" s="252">
        <f t="shared" si="10"/>
        <v>0</v>
      </c>
      <c r="AL23" s="248">
        <f t="shared" si="11"/>
        <v>0</v>
      </c>
      <c r="AM23" s="188"/>
      <c r="AN23" s="248">
        <f t="shared" si="42"/>
        <v>0</v>
      </c>
      <c r="AO23" s="248">
        <f t="shared" si="43"/>
        <v>0</v>
      </c>
      <c r="AP23" s="248">
        <f t="shared" si="44"/>
        <v>0</v>
      </c>
      <c r="AQ23" s="248">
        <f t="shared" si="45"/>
        <v>0</v>
      </c>
      <c r="AR23" s="248">
        <f t="shared" si="46"/>
        <v>0</v>
      </c>
      <c r="AS23" s="248">
        <f t="shared" si="47"/>
        <v>0</v>
      </c>
      <c r="AT23" s="259">
        <f t="shared" si="48"/>
        <v>0</v>
      </c>
      <c r="AU23" s="191">
        <f t="shared" si="49"/>
        <v>0</v>
      </c>
      <c r="AV23" s="362" t="str">
        <f t="shared" si="50"/>
        <v/>
      </c>
      <c r="AW23" s="248">
        <f t="shared" si="51"/>
        <v>0</v>
      </c>
      <c r="AX23" s="362" t="str">
        <f t="shared" si="52"/>
        <v/>
      </c>
      <c r="AY23" s="49"/>
      <c r="AZ23" s="75">
        <f t="shared" si="12"/>
        <v>0</v>
      </c>
      <c r="BA23" s="75">
        <f t="shared" si="13"/>
        <v>0</v>
      </c>
      <c r="BB23" s="75">
        <f t="shared" si="14"/>
        <v>0</v>
      </c>
      <c r="BC23" s="75">
        <f t="shared" si="15"/>
        <v>0</v>
      </c>
      <c r="BD23" s="75">
        <f t="shared" si="16"/>
        <v>0</v>
      </c>
      <c r="BE23" s="47">
        <f t="shared" si="53"/>
        <v>0</v>
      </c>
      <c r="BF23" s="49"/>
      <c r="BG23" s="234"/>
      <c r="BH23" s="58" t="str">
        <f t="shared" ca="1" si="17"/>
        <v>mars</v>
      </c>
      <c r="BI23" s="76">
        <f t="shared" ca="1" si="18"/>
        <v>3</v>
      </c>
      <c r="BJ23" s="76">
        <f t="shared" ca="1" si="19"/>
        <v>0</v>
      </c>
      <c r="BK23" s="76">
        <f t="shared" ca="1" si="20"/>
        <v>0</v>
      </c>
      <c r="BL23" s="77" t="str">
        <f t="shared" ca="1" si="21"/>
        <v>maj</v>
      </c>
      <c r="BM23" s="78">
        <f t="shared" ca="1" si="54"/>
        <v>0</v>
      </c>
      <c r="BN23" s="75">
        <f t="shared" ca="1" si="55"/>
        <v>0</v>
      </c>
      <c r="BO23" s="75">
        <f t="shared" ca="1" si="22"/>
        <v>0</v>
      </c>
      <c r="BP23" s="75">
        <f t="shared" ca="1" si="22"/>
        <v>0</v>
      </c>
      <c r="BQ23" s="75">
        <f t="shared" ca="1" si="22"/>
        <v>0</v>
      </c>
      <c r="BR23" s="75">
        <f t="shared" ca="1" si="22"/>
        <v>0</v>
      </c>
      <c r="BS23" s="47">
        <f t="shared" ca="1" si="56"/>
        <v>0</v>
      </c>
      <c r="BT23" s="79">
        <f t="shared" ca="1" si="23"/>
        <v>0</v>
      </c>
      <c r="BU23" s="79">
        <f t="shared" ca="1" si="24"/>
        <v>0</v>
      </c>
      <c r="BV23" s="79">
        <f t="shared" ca="1" si="25"/>
        <v>0</v>
      </c>
      <c r="BW23" s="79">
        <f t="shared" ca="1" si="26"/>
        <v>0</v>
      </c>
      <c r="BX23" s="79">
        <f t="shared" ca="1" si="27"/>
        <v>0</v>
      </c>
      <c r="BY23" s="79"/>
      <c r="BZ23" s="77" t="str">
        <f t="shared" ca="1" si="57"/>
        <v>maj</v>
      </c>
      <c r="CA23" s="78">
        <f t="shared" ca="1" si="57"/>
        <v>0</v>
      </c>
      <c r="CB23" s="75" t="e">
        <f t="shared" ca="1" si="28"/>
        <v>#DIV/0!</v>
      </c>
      <c r="CC23" s="75" t="e">
        <f t="shared" ca="1" si="29"/>
        <v>#DIV/0!</v>
      </c>
      <c r="CD23" s="75" t="e">
        <f t="shared" ca="1" si="30"/>
        <v>#DIV/0!</v>
      </c>
      <c r="CE23" s="75" t="e">
        <f t="shared" ca="1" si="31"/>
        <v>#DIV/0!</v>
      </c>
      <c r="CF23" s="75" t="e">
        <f t="shared" ca="1" si="32"/>
        <v>#DIV/0!</v>
      </c>
      <c r="CG23" s="47" t="e">
        <f t="shared" ca="1" si="58"/>
        <v>#DIV/0!</v>
      </c>
      <c r="CH23" s="234"/>
      <c r="CI23" s="57"/>
      <c r="CJ23" s="47" t="e">
        <f t="shared" ca="1" si="33"/>
        <v>#DIV/0!</v>
      </c>
      <c r="CK23" s="47" t="e">
        <f t="shared" ca="1" si="34"/>
        <v>#DIV/0!</v>
      </c>
      <c r="CL23" s="47" t="e">
        <f t="shared" ca="1" si="35"/>
        <v>#DIV/0!</v>
      </c>
      <c r="CM23" s="47" t="e">
        <f t="shared" ca="1" si="36"/>
        <v>#DIV/0!</v>
      </c>
      <c r="CN23" s="47" t="e">
        <f t="shared" ca="1" si="37"/>
        <v>#DIV/0!</v>
      </c>
      <c r="CO23" s="47" t="e">
        <f t="shared" ca="1" si="59"/>
        <v>#DIV/0!</v>
      </c>
      <c r="CP23" s="49"/>
      <c r="CQ23" s="52" t="str">
        <f t="shared" ca="1" si="38"/>
        <v>201705</v>
      </c>
      <c r="CR23" s="52">
        <f ca="1">MATCH('Mätvärden referensår'!CQ23,Normalår!$R$5:$R$76,0)-1</f>
        <v>28</v>
      </c>
      <c r="CS23" s="80">
        <f ca="1">OFFSET(Normalår!$S$5,CR23,0)</f>
        <v>1</v>
      </c>
      <c r="CT23" s="234"/>
      <c r="CU23" s="75" t="e">
        <f t="shared" ca="1" si="60"/>
        <v>#DIV/0!</v>
      </c>
      <c r="CV23" s="75" t="e">
        <f t="shared" ca="1" si="61"/>
        <v>#DIV/0!</v>
      </c>
      <c r="CW23" s="75" t="e">
        <f t="shared" ca="1" si="62"/>
        <v>#DIV/0!</v>
      </c>
      <c r="CX23" s="75" t="e">
        <f t="shared" ca="1" si="63"/>
        <v>#DIV/0!</v>
      </c>
      <c r="CY23" s="75" t="e">
        <f t="shared" ca="1" si="64"/>
        <v>#DIV/0!</v>
      </c>
      <c r="CZ23" s="47" t="e">
        <f t="shared" ca="1" si="65"/>
        <v>#DIV/0!</v>
      </c>
      <c r="DA23" s="234"/>
      <c r="DB23" s="81"/>
      <c r="DC23" s="234"/>
      <c r="DD23" s="47" t="e">
        <f t="shared" ca="1" si="66"/>
        <v>#DIV/0!</v>
      </c>
      <c r="DE23" s="47" t="e">
        <f t="shared" ca="1" si="66"/>
        <v>#DIV/0!</v>
      </c>
      <c r="DF23" s="47" t="e">
        <f t="shared" ca="1" si="66"/>
        <v>#DIV/0!</v>
      </c>
      <c r="DG23" s="47" t="e">
        <f t="shared" ca="1" si="66"/>
        <v>#DIV/0!</v>
      </c>
      <c r="DH23" s="47" t="e">
        <f t="shared" ca="1" si="66"/>
        <v>#DIV/0!</v>
      </c>
      <c r="DI23" s="47" t="e">
        <f t="shared" ca="1" si="67"/>
        <v>#DIV/0!</v>
      </c>
      <c r="DJ23" s="234"/>
      <c r="DK23" s="234"/>
      <c r="DL23" s="234"/>
      <c r="DM23" s="47" t="e">
        <f t="shared" ca="1" si="39"/>
        <v>#DIV/0!</v>
      </c>
      <c r="DN23" s="47" t="e">
        <f t="shared" ca="1" si="39"/>
        <v>#DIV/0!</v>
      </c>
      <c r="DO23" s="47" t="e">
        <f t="shared" ca="1" si="39"/>
        <v>#DIV/0!</v>
      </c>
      <c r="DP23" s="47" t="e">
        <f t="shared" ca="1" si="39"/>
        <v>#DIV/0!</v>
      </c>
      <c r="DQ23" s="47" t="e">
        <f t="shared" ca="1" si="39"/>
        <v>#DIV/0!</v>
      </c>
      <c r="DR23" s="47" t="e">
        <f t="shared" ca="1" si="68"/>
        <v>#DIV/0!</v>
      </c>
      <c r="DS23" s="234"/>
      <c r="DT23" s="234"/>
      <c r="DU23" s="61"/>
      <c r="DV23" s="61"/>
      <c r="DW23" s="61"/>
      <c r="DX23" s="61"/>
      <c r="DY23" s="61"/>
      <c r="DZ23" s="61"/>
      <c r="EA23" s="61"/>
      <c r="EB23" s="61"/>
      <c r="EC23" s="61"/>
      <c r="ED23" s="61"/>
      <c r="EE23" s="61"/>
      <c r="EF23" s="61"/>
      <c r="EG23" s="61"/>
      <c r="EH23" s="61"/>
      <c r="EI23" s="69" t="s">
        <v>1069</v>
      </c>
      <c r="EJ23" s="69">
        <v>21</v>
      </c>
      <c r="EK23" s="69"/>
      <c r="EL23" s="61"/>
      <c r="EM23" s="61"/>
      <c r="EN23" s="61"/>
      <c r="EO23" s="61"/>
      <c r="EP23" s="61"/>
      <c r="EQ23" s="61"/>
      <c r="ER23" s="61"/>
      <c r="ES23" s="61"/>
      <c r="ET23" s="61"/>
      <c r="EU23" s="61"/>
      <c r="EV23" s="61"/>
      <c r="EW23" s="61"/>
      <c r="EX23" s="61"/>
      <c r="EY23" s="61"/>
      <c r="EZ23" s="61"/>
    </row>
    <row r="24" spans="1:156" s="231" customFormat="1" ht="16.5" customHeight="1" x14ac:dyDescent="0.25">
      <c r="A24" s="232"/>
      <c r="B24" s="250"/>
      <c r="C24" s="250"/>
      <c r="D24" s="250"/>
      <c r="E24" s="232"/>
      <c r="F24" s="387">
        <f t="shared" ca="1" si="69"/>
        <v>2017</v>
      </c>
      <c r="G24" s="387" t="str">
        <f t="shared" ca="1" si="1"/>
        <v xml:space="preserve">jun </v>
      </c>
      <c r="H24" s="70"/>
      <c r="I24" s="72">
        <f t="shared" si="40"/>
        <v>0</v>
      </c>
      <c r="J24" s="388"/>
      <c r="K24" s="73"/>
      <c r="L24" s="72">
        <f t="shared" si="2"/>
        <v>0</v>
      </c>
      <c r="M24" s="388"/>
      <c r="N24" s="73"/>
      <c r="O24" s="72">
        <f t="shared" si="3"/>
        <v>0</v>
      </c>
      <c r="P24" s="388"/>
      <c r="Q24" s="74"/>
      <c r="R24" s="74"/>
      <c r="S24" s="74"/>
      <c r="T24" s="74"/>
      <c r="U24" s="74"/>
      <c r="V24" s="74"/>
      <c r="W24" s="232"/>
      <c r="X24" s="233"/>
      <c r="Y24" s="252">
        <f t="shared" si="4"/>
        <v>0</v>
      </c>
      <c r="Z24" s="252">
        <f t="shared" si="5"/>
        <v>0</v>
      </c>
      <c r="AA24" s="252">
        <f t="shared" si="6"/>
        <v>0</v>
      </c>
      <c r="AB24" s="252">
        <f t="shared" si="7"/>
        <v>0</v>
      </c>
      <c r="AC24" s="252">
        <f t="shared" si="8"/>
        <v>0</v>
      </c>
      <c r="AD24" s="248">
        <f t="shared" si="9"/>
        <v>0</v>
      </c>
      <c r="AE24" s="361"/>
      <c r="AF24" s="233"/>
      <c r="AG24" s="252">
        <f t="shared" si="41"/>
        <v>0</v>
      </c>
      <c r="AH24" s="252">
        <f t="shared" si="10"/>
        <v>0</v>
      </c>
      <c r="AI24" s="252">
        <f t="shared" si="10"/>
        <v>0</v>
      </c>
      <c r="AJ24" s="252">
        <f t="shared" si="10"/>
        <v>0</v>
      </c>
      <c r="AK24" s="252">
        <f t="shared" si="10"/>
        <v>0</v>
      </c>
      <c r="AL24" s="248">
        <f t="shared" si="11"/>
        <v>0</v>
      </c>
      <c r="AM24" s="188"/>
      <c r="AN24" s="248">
        <f t="shared" si="42"/>
        <v>0</v>
      </c>
      <c r="AO24" s="248">
        <f t="shared" si="43"/>
        <v>0</v>
      </c>
      <c r="AP24" s="248">
        <f t="shared" si="44"/>
        <v>0</v>
      </c>
      <c r="AQ24" s="248">
        <f t="shared" si="45"/>
        <v>0</v>
      </c>
      <c r="AR24" s="248">
        <f t="shared" si="46"/>
        <v>0</v>
      </c>
      <c r="AS24" s="248">
        <f t="shared" si="47"/>
        <v>0</v>
      </c>
      <c r="AT24" s="259">
        <f t="shared" si="48"/>
        <v>0</v>
      </c>
      <c r="AU24" s="191">
        <f t="shared" si="49"/>
        <v>0</v>
      </c>
      <c r="AV24" s="362" t="str">
        <f t="shared" si="50"/>
        <v/>
      </c>
      <c r="AW24" s="248">
        <f t="shared" si="51"/>
        <v>0</v>
      </c>
      <c r="AX24" s="362" t="str">
        <f t="shared" si="52"/>
        <v/>
      </c>
      <c r="AY24" s="49"/>
      <c r="AZ24" s="75">
        <f t="shared" si="12"/>
        <v>0</v>
      </c>
      <c r="BA24" s="75">
        <f t="shared" si="13"/>
        <v>0</v>
      </c>
      <c r="BB24" s="75">
        <f t="shared" si="14"/>
        <v>0</v>
      </c>
      <c r="BC24" s="75">
        <f t="shared" si="15"/>
        <v>0</v>
      </c>
      <c r="BD24" s="75">
        <f t="shared" si="16"/>
        <v>0</v>
      </c>
      <c r="BE24" s="47">
        <f t="shared" si="53"/>
        <v>0</v>
      </c>
      <c r="BF24" s="49"/>
      <c r="BG24" s="234"/>
      <c r="BH24" s="58" t="str">
        <f t="shared" ca="1" si="17"/>
        <v>apr</v>
      </c>
      <c r="BI24" s="76">
        <f t="shared" ca="1" si="18"/>
        <v>4</v>
      </c>
      <c r="BJ24" s="76">
        <f t="shared" ca="1" si="19"/>
        <v>0</v>
      </c>
      <c r="BK24" s="76">
        <f t="shared" ca="1" si="20"/>
        <v>0</v>
      </c>
      <c r="BL24" s="77" t="str">
        <f t="shared" ca="1" si="21"/>
        <v xml:space="preserve">jun </v>
      </c>
      <c r="BM24" s="78">
        <f t="shared" ca="1" si="54"/>
        <v>0</v>
      </c>
      <c r="BN24" s="75">
        <f t="shared" ca="1" si="55"/>
        <v>0</v>
      </c>
      <c r="BO24" s="75">
        <f t="shared" ca="1" si="22"/>
        <v>0</v>
      </c>
      <c r="BP24" s="75">
        <f t="shared" ca="1" si="22"/>
        <v>0</v>
      </c>
      <c r="BQ24" s="75">
        <f t="shared" ca="1" si="22"/>
        <v>0</v>
      </c>
      <c r="BR24" s="75">
        <f t="shared" ca="1" si="22"/>
        <v>0</v>
      </c>
      <c r="BS24" s="47">
        <f t="shared" ca="1" si="56"/>
        <v>0</v>
      </c>
      <c r="BT24" s="79">
        <f t="shared" ca="1" si="23"/>
        <v>0</v>
      </c>
      <c r="BU24" s="79">
        <f t="shared" ca="1" si="24"/>
        <v>0</v>
      </c>
      <c r="BV24" s="79">
        <f t="shared" ca="1" si="25"/>
        <v>0</v>
      </c>
      <c r="BW24" s="79">
        <f t="shared" ca="1" si="26"/>
        <v>0</v>
      </c>
      <c r="BX24" s="79">
        <f t="shared" ca="1" si="27"/>
        <v>0</v>
      </c>
      <c r="BY24" s="79"/>
      <c r="BZ24" s="77" t="str">
        <f t="shared" ca="1" si="57"/>
        <v xml:space="preserve">jun </v>
      </c>
      <c r="CA24" s="78">
        <f t="shared" ca="1" si="57"/>
        <v>0</v>
      </c>
      <c r="CB24" s="75" t="e">
        <f t="shared" ca="1" si="28"/>
        <v>#DIV/0!</v>
      </c>
      <c r="CC24" s="75" t="e">
        <f t="shared" ca="1" si="29"/>
        <v>#DIV/0!</v>
      </c>
      <c r="CD24" s="75" t="e">
        <f t="shared" ca="1" si="30"/>
        <v>#DIV/0!</v>
      </c>
      <c r="CE24" s="75" t="e">
        <f t="shared" ca="1" si="31"/>
        <v>#DIV/0!</v>
      </c>
      <c r="CF24" s="75" t="e">
        <f t="shared" ca="1" si="32"/>
        <v>#DIV/0!</v>
      </c>
      <c r="CG24" s="47" t="e">
        <f t="shared" ca="1" si="58"/>
        <v>#DIV/0!</v>
      </c>
      <c r="CH24" s="234"/>
      <c r="CI24" s="57"/>
      <c r="CJ24" s="47" t="e">
        <f t="shared" ca="1" si="33"/>
        <v>#DIV/0!</v>
      </c>
      <c r="CK24" s="47" t="e">
        <f t="shared" ca="1" si="34"/>
        <v>#DIV/0!</v>
      </c>
      <c r="CL24" s="47" t="e">
        <f t="shared" ca="1" si="35"/>
        <v>#DIV/0!</v>
      </c>
      <c r="CM24" s="47" t="e">
        <f t="shared" ca="1" si="36"/>
        <v>#DIV/0!</v>
      </c>
      <c r="CN24" s="47" t="e">
        <f t="shared" ca="1" si="37"/>
        <v>#DIV/0!</v>
      </c>
      <c r="CO24" s="47" t="e">
        <f t="shared" ca="1" si="59"/>
        <v>#DIV/0!</v>
      </c>
      <c r="CP24" s="49"/>
      <c r="CQ24" s="52" t="str">
        <f t="shared" ca="1" si="38"/>
        <v>201706</v>
      </c>
      <c r="CR24" s="52">
        <f ca="1">MATCH('Mätvärden referensår'!CQ24,Normalår!$R$5:$R$76,0)-1</f>
        <v>29</v>
      </c>
      <c r="CS24" s="80">
        <f ca="1">OFFSET(Normalår!$S$5,CR24,0)</f>
        <v>1</v>
      </c>
      <c r="CT24" s="234"/>
      <c r="CU24" s="75" t="e">
        <f t="shared" ca="1" si="60"/>
        <v>#DIV/0!</v>
      </c>
      <c r="CV24" s="75" t="e">
        <f t="shared" ca="1" si="61"/>
        <v>#DIV/0!</v>
      </c>
      <c r="CW24" s="75" t="e">
        <f t="shared" ca="1" si="62"/>
        <v>#DIV/0!</v>
      </c>
      <c r="CX24" s="75" t="e">
        <f t="shared" ca="1" si="63"/>
        <v>#DIV/0!</v>
      </c>
      <c r="CY24" s="75" t="e">
        <f ca="1">CN24*CS24</f>
        <v>#DIV/0!</v>
      </c>
      <c r="CZ24" s="47" t="e">
        <f t="shared" ca="1" si="65"/>
        <v>#DIV/0!</v>
      </c>
      <c r="DA24" s="234"/>
      <c r="DB24" s="81"/>
      <c r="DC24" s="234"/>
      <c r="DD24" s="47" t="e">
        <f t="shared" ca="1" si="66"/>
        <v>#DIV/0!</v>
      </c>
      <c r="DE24" s="47" t="e">
        <f t="shared" ca="1" si="66"/>
        <v>#DIV/0!</v>
      </c>
      <c r="DF24" s="47" t="e">
        <f t="shared" ca="1" si="66"/>
        <v>#DIV/0!</v>
      </c>
      <c r="DG24" s="47" t="e">
        <f t="shared" ca="1" si="66"/>
        <v>#DIV/0!</v>
      </c>
      <c r="DH24" s="47" t="e">
        <f t="shared" ca="1" si="66"/>
        <v>#DIV/0!</v>
      </c>
      <c r="DI24" s="47" t="e">
        <f t="shared" ca="1" si="67"/>
        <v>#DIV/0!</v>
      </c>
      <c r="DJ24" s="234"/>
      <c r="DK24" s="234"/>
      <c r="DL24" s="234"/>
      <c r="DM24" s="47" t="e">
        <f t="shared" ca="1" si="39"/>
        <v>#DIV/0!</v>
      </c>
      <c r="DN24" s="47" t="e">
        <f t="shared" ca="1" si="39"/>
        <v>#DIV/0!</v>
      </c>
      <c r="DO24" s="47" t="e">
        <f t="shared" ca="1" si="39"/>
        <v>#DIV/0!</v>
      </c>
      <c r="DP24" s="47" t="e">
        <f t="shared" ca="1" si="39"/>
        <v>#DIV/0!</v>
      </c>
      <c r="DQ24" s="47" t="e">
        <f t="shared" ca="1" si="39"/>
        <v>#DIV/0!</v>
      </c>
      <c r="DR24" s="47" t="e">
        <f t="shared" ca="1" si="68"/>
        <v>#DIV/0!</v>
      </c>
      <c r="DS24" s="234"/>
      <c r="DT24" s="234"/>
      <c r="EI24" s="34" t="s">
        <v>1070</v>
      </c>
      <c r="EJ24" s="36">
        <v>22</v>
      </c>
      <c r="EK24" s="36"/>
    </row>
    <row r="25" spans="1:156" s="231" customFormat="1" ht="16.5" customHeight="1" x14ac:dyDescent="0.25">
      <c r="A25" s="232"/>
      <c r="B25" s="250"/>
      <c r="C25" s="250"/>
      <c r="D25" s="250"/>
      <c r="E25" s="232"/>
      <c r="F25" s="387">
        <f t="shared" ca="1" si="69"/>
        <v>2017</v>
      </c>
      <c r="G25" s="387" t="str">
        <f t="shared" ca="1" si="1"/>
        <v>jul</v>
      </c>
      <c r="H25" s="70"/>
      <c r="I25" s="72">
        <f t="shared" si="40"/>
        <v>0</v>
      </c>
      <c r="J25" s="388"/>
      <c r="K25" s="73"/>
      <c r="L25" s="72">
        <f t="shared" si="2"/>
        <v>0</v>
      </c>
      <c r="M25" s="388"/>
      <c r="N25" s="73"/>
      <c r="O25" s="72">
        <f t="shared" si="3"/>
        <v>0</v>
      </c>
      <c r="P25" s="388"/>
      <c r="Q25" s="74"/>
      <c r="R25" s="74"/>
      <c r="S25" s="74"/>
      <c r="T25" s="74"/>
      <c r="U25" s="74"/>
      <c r="V25" s="74"/>
      <c r="W25" s="232"/>
      <c r="X25" s="233"/>
      <c r="Y25" s="252">
        <f t="shared" si="4"/>
        <v>0</v>
      </c>
      <c r="Z25" s="252">
        <f t="shared" si="5"/>
        <v>0</v>
      </c>
      <c r="AA25" s="252">
        <f t="shared" si="6"/>
        <v>0</v>
      </c>
      <c r="AB25" s="252">
        <f t="shared" si="7"/>
        <v>0</v>
      </c>
      <c r="AC25" s="252">
        <f t="shared" si="8"/>
        <v>0</v>
      </c>
      <c r="AD25" s="248">
        <f t="shared" si="9"/>
        <v>0</v>
      </c>
      <c r="AE25" s="361"/>
      <c r="AF25" s="233"/>
      <c r="AG25" s="252">
        <f t="shared" si="41"/>
        <v>0</v>
      </c>
      <c r="AH25" s="252">
        <f t="shared" si="10"/>
        <v>0</v>
      </c>
      <c r="AI25" s="252">
        <f t="shared" si="10"/>
        <v>0</v>
      </c>
      <c r="AJ25" s="252">
        <f t="shared" si="10"/>
        <v>0</v>
      </c>
      <c r="AK25" s="252">
        <f t="shared" si="10"/>
        <v>0</v>
      </c>
      <c r="AL25" s="248">
        <f t="shared" si="11"/>
        <v>0</v>
      </c>
      <c r="AM25" s="188"/>
      <c r="AN25" s="248">
        <f t="shared" si="42"/>
        <v>0</v>
      </c>
      <c r="AO25" s="248">
        <f t="shared" si="43"/>
        <v>0</v>
      </c>
      <c r="AP25" s="248">
        <f t="shared" si="44"/>
        <v>0</v>
      </c>
      <c r="AQ25" s="248">
        <f t="shared" si="45"/>
        <v>0</v>
      </c>
      <c r="AR25" s="248">
        <f t="shared" si="46"/>
        <v>0</v>
      </c>
      <c r="AS25" s="248">
        <f t="shared" si="47"/>
        <v>0</v>
      </c>
      <c r="AT25" s="259">
        <f t="shared" si="48"/>
        <v>0</v>
      </c>
      <c r="AU25" s="191">
        <f t="shared" si="49"/>
        <v>0</v>
      </c>
      <c r="AV25" s="362" t="str">
        <f t="shared" si="50"/>
        <v/>
      </c>
      <c r="AW25" s="248">
        <f t="shared" si="51"/>
        <v>0</v>
      </c>
      <c r="AX25" s="362" t="str">
        <f t="shared" si="52"/>
        <v/>
      </c>
      <c r="AY25" s="49"/>
      <c r="AZ25" s="75">
        <f t="shared" si="12"/>
        <v>0</v>
      </c>
      <c r="BA25" s="75">
        <f t="shared" si="13"/>
        <v>0</v>
      </c>
      <c r="BB25" s="75">
        <f t="shared" si="14"/>
        <v>0</v>
      </c>
      <c r="BC25" s="75">
        <f t="shared" si="15"/>
        <v>0</v>
      </c>
      <c r="BD25" s="75">
        <f t="shared" si="16"/>
        <v>0</v>
      </c>
      <c r="BE25" s="47">
        <f t="shared" si="53"/>
        <v>0</v>
      </c>
      <c r="BF25" s="49"/>
      <c r="BG25" s="234"/>
      <c r="BH25" s="58" t="str">
        <f t="shared" ca="1" si="17"/>
        <v>maj</v>
      </c>
      <c r="BI25" s="76">
        <f t="shared" ca="1" si="18"/>
        <v>5</v>
      </c>
      <c r="BJ25" s="76">
        <f t="shared" ca="1" si="19"/>
        <v>0</v>
      </c>
      <c r="BK25" s="76">
        <f t="shared" ca="1" si="20"/>
        <v>0</v>
      </c>
      <c r="BL25" s="77" t="str">
        <f t="shared" ca="1" si="21"/>
        <v>jul</v>
      </c>
      <c r="BM25" s="78">
        <f t="shared" ca="1" si="54"/>
        <v>0</v>
      </c>
      <c r="BN25" s="75">
        <f t="shared" ca="1" si="55"/>
        <v>0</v>
      </c>
      <c r="BO25" s="75">
        <f t="shared" ca="1" si="22"/>
        <v>0</v>
      </c>
      <c r="BP25" s="75">
        <f t="shared" ca="1" si="22"/>
        <v>0</v>
      </c>
      <c r="BQ25" s="75">
        <f t="shared" ca="1" si="22"/>
        <v>0</v>
      </c>
      <c r="BR25" s="75">
        <f t="shared" ca="1" si="22"/>
        <v>0</v>
      </c>
      <c r="BS25" s="47">
        <f t="shared" ca="1" si="56"/>
        <v>0</v>
      </c>
      <c r="BT25" s="79">
        <f t="shared" ca="1" si="23"/>
        <v>0</v>
      </c>
      <c r="BU25" s="79">
        <f t="shared" ca="1" si="24"/>
        <v>0</v>
      </c>
      <c r="BV25" s="79">
        <f t="shared" ca="1" si="25"/>
        <v>0</v>
      </c>
      <c r="BW25" s="79">
        <f t="shared" ca="1" si="26"/>
        <v>0</v>
      </c>
      <c r="BX25" s="79">
        <f t="shared" ca="1" si="27"/>
        <v>0</v>
      </c>
      <c r="BY25" s="79"/>
      <c r="BZ25" s="77" t="str">
        <f t="shared" ca="1" si="57"/>
        <v>jul</v>
      </c>
      <c r="CA25" s="78">
        <f t="shared" ca="1" si="57"/>
        <v>0</v>
      </c>
      <c r="CB25" s="75" t="e">
        <f t="shared" ca="1" si="28"/>
        <v>#DIV/0!</v>
      </c>
      <c r="CC25" s="75" t="e">
        <f t="shared" ca="1" si="29"/>
        <v>#DIV/0!</v>
      </c>
      <c r="CD25" s="75" t="e">
        <f t="shared" ca="1" si="30"/>
        <v>#DIV/0!</v>
      </c>
      <c r="CE25" s="75" t="e">
        <f t="shared" ca="1" si="31"/>
        <v>#DIV/0!</v>
      </c>
      <c r="CF25" s="75" t="e">
        <f t="shared" ca="1" si="32"/>
        <v>#DIV/0!</v>
      </c>
      <c r="CG25" s="47" t="e">
        <f t="shared" ca="1" si="58"/>
        <v>#DIV/0!</v>
      </c>
      <c r="CH25" s="234"/>
      <c r="CI25" s="57"/>
      <c r="CJ25" s="47" t="e">
        <f t="shared" ca="1" si="33"/>
        <v>#DIV/0!</v>
      </c>
      <c r="CK25" s="47" t="e">
        <f t="shared" ca="1" si="34"/>
        <v>#DIV/0!</v>
      </c>
      <c r="CL25" s="47" t="e">
        <f t="shared" ca="1" si="35"/>
        <v>#DIV/0!</v>
      </c>
      <c r="CM25" s="47" t="e">
        <f t="shared" ca="1" si="36"/>
        <v>#DIV/0!</v>
      </c>
      <c r="CN25" s="47" t="e">
        <f t="shared" ca="1" si="37"/>
        <v>#DIV/0!</v>
      </c>
      <c r="CO25" s="47" t="e">
        <f t="shared" ca="1" si="59"/>
        <v>#DIV/0!</v>
      </c>
      <c r="CP25" s="49"/>
      <c r="CQ25" s="52" t="str">
        <f t="shared" ca="1" si="38"/>
        <v>201707</v>
      </c>
      <c r="CR25" s="52">
        <f ca="1">MATCH('Mätvärden referensår'!CQ25,Normalår!$R$5:$R$76,0)-1</f>
        <v>30</v>
      </c>
      <c r="CS25" s="80">
        <f ca="1">OFFSET(Normalår!$S$5,CR25,0)</f>
        <v>1</v>
      </c>
      <c r="CT25" s="234"/>
      <c r="CU25" s="75" t="e">
        <f t="shared" ca="1" si="60"/>
        <v>#DIV/0!</v>
      </c>
      <c r="CV25" s="75" t="e">
        <f t="shared" ca="1" si="61"/>
        <v>#DIV/0!</v>
      </c>
      <c r="CW25" s="75" t="e">
        <f t="shared" ca="1" si="62"/>
        <v>#DIV/0!</v>
      </c>
      <c r="CX25" s="75" t="e">
        <f t="shared" ca="1" si="63"/>
        <v>#DIV/0!</v>
      </c>
      <c r="CY25" s="75" t="e">
        <f t="shared" ca="1" si="64"/>
        <v>#DIV/0!</v>
      </c>
      <c r="CZ25" s="47" t="e">
        <f t="shared" ca="1" si="65"/>
        <v>#DIV/0!</v>
      </c>
      <c r="DA25" s="234"/>
      <c r="DB25" s="81"/>
      <c r="DC25" s="234"/>
      <c r="DD25" s="47" t="e">
        <f t="shared" ca="1" si="66"/>
        <v>#DIV/0!</v>
      </c>
      <c r="DE25" s="47" t="e">
        <f t="shared" ca="1" si="66"/>
        <v>#DIV/0!</v>
      </c>
      <c r="DF25" s="47" t="e">
        <f t="shared" ca="1" si="66"/>
        <v>#DIV/0!</v>
      </c>
      <c r="DG25" s="47" t="e">
        <f t="shared" ca="1" si="66"/>
        <v>#DIV/0!</v>
      </c>
      <c r="DH25" s="47" t="e">
        <f t="shared" ca="1" si="66"/>
        <v>#DIV/0!</v>
      </c>
      <c r="DI25" s="47" t="e">
        <f t="shared" ca="1" si="67"/>
        <v>#DIV/0!</v>
      </c>
      <c r="DJ25" s="234"/>
      <c r="DK25" s="234"/>
      <c r="DL25" s="234"/>
      <c r="DM25" s="47" t="e">
        <f t="shared" ca="1" si="39"/>
        <v>#DIV/0!</v>
      </c>
      <c r="DN25" s="47" t="e">
        <f t="shared" ca="1" si="39"/>
        <v>#DIV/0!</v>
      </c>
      <c r="DO25" s="47" t="e">
        <f t="shared" ca="1" si="39"/>
        <v>#DIV/0!</v>
      </c>
      <c r="DP25" s="47" t="e">
        <f t="shared" ca="1" si="39"/>
        <v>#DIV/0!</v>
      </c>
      <c r="DQ25" s="47" t="e">
        <f t="shared" ca="1" si="39"/>
        <v>#DIV/0!</v>
      </c>
      <c r="DR25" s="47" t="e">
        <f t="shared" ca="1" si="68"/>
        <v>#DIV/0!</v>
      </c>
      <c r="DS25" s="234"/>
      <c r="DT25" s="234"/>
      <c r="EI25" s="34" t="s">
        <v>1071</v>
      </c>
      <c r="EJ25" s="36">
        <v>23</v>
      </c>
      <c r="EK25" s="36"/>
    </row>
    <row r="26" spans="1:156" s="231" customFormat="1" ht="16.5" customHeight="1" x14ac:dyDescent="0.25">
      <c r="A26" s="232"/>
      <c r="B26" s="250"/>
      <c r="E26" s="232"/>
      <c r="F26" s="387">
        <f t="shared" ca="1" si="69"/>
        <v>2017</v>
      </c>
      <c r="G26" s="387" t="str">
        <f t="shared" ca="1" si="1"/>
        <v>aug</v>
      </c>
      <c r="H26" s="70"/>
      <c r="I26" s="72">
        <f t="shared" si="40"/>
        <v>0</v>
      </c>
      <c r="J26" s="388"/>
      <c r="K26" s="73"/>
      <c r="L26" s="72">
        <f t="shared" si="2"/>
        <v>0</v>
      </c>
      <c r="M26" s="388"/>
      <c r="N26" s="73"/>
      <c r="O26" s="72">
        <f t="shared" si="3"/>
        <v>0</v>
      </c>
      <c r="P26" s="388"/>
      <c r="Q26" s="74"/>
      <c r="R26" s="74"/>
      <c r="S26" s="74"/>
      <c r="T26" s="74"/>
      <c r="U26" s="74"/>
      <c r="V26" s="74"/>
      <c r="W26" s="232"/>
      <c r="X26" s="233"/>
      <c r="Y26" s="252">
        <f t="shared" si="4"/>
        <v>0</v>
      </c>
      <c r="Z26" s="252">
        <f t="shared" si="5"/>
        <v>0</v>
      </c>
      <c r="AA26" s="252">
        <f t="shared" si="6"/>
        <v>0</v>
      </c>
      <c r="AB26" s="252">
        <f t="shared" si="7"/>
        <v>0</v>
      </c>
      <c r="AC26" s="252">
        <f t="shared" si="8"/>
        <v>0</v>
      </c>
      <c r="AD26" s="248">
        <f t="shared" si="9"/>
        <v>0</v>
      </c>
      <c r="AE26" s="361"/>
      <c r="AF26" s="233"/>
      <c r="AG26" s="252">
        <f t="shared" si="41"/>
        <v>0</v>
      </c>
      <c r="AH26" s="252">
        <f t="shared" si="10"/>
        <v>0</v>
      </c>
      <c r="AI26" s="252">
        <f t="shared" si="10"/>
        <v>0</v>
      </c>
      <c r="AJ26" s="252">
        <f t="shared" si="10"/>
        <v>0</v>
      </c>
      <c r="AK26" s="252">
        <f t="shared" si="10"/>
        <v>0</v>
      </c>
      <c r="AL26" s="248">
        <f t="shared" si="11"/>
        <v>0</v>
      </c>
      <c r="AM26" s="188"/>
      <c r="AN26" s="248">
        <f t="shared" si="42"/>
        <v>0</v>
      </c>
      <c r="AO26" s="248">
        <f t="shared" si="43"/>
        <v>0</v>
      </c>
      <c r="AP26" s="248">
        <f t="shared" si="44"/>
        <v>0</v>
      </c>
      <c r="AQ26" s="248">
        <f t="shared" si="45"/>
        <v>0</v>
      </c>
      <c r="AR26" s="248">
        <f t="shared" si="46"/>
        <v>0</v>
      </c>
      <c r="AS26" s="248">
        <f t="shared" si="47"/>
        <v>0</v>
      </c>
      <c r="AT26" s="259">
        <f t="shared" si="48"/>
        <v>0</v>
      </c>
      <c r="AU26" s="191">
        <f t="shared" si="49"/>
        <v>0</v>
      </c>
      <c r="AV26" s="362" t="str">
        <f t="shared" si="50"/>
        <v/>
      </c>
      <c r="AW26" s="248">
        <f t="shared" si="51"/>
        <v>0</v>
      </c>
      <c r="AX26" s="362" t="str">
        <f t="shared" si="52"/>
        <v/>
      </c>
      <c r="AY26" s="49"/>
      <c r="AZ26" s="75">
        <f t="shared" si="12"/>
        <v>0</v>
      </c>
      <c r="BA26" s="75">
        <f t="shared" si="13"/>
        <v>0</v>
      </c>
      <c r="BB26" s="75">
        <f t="shared" si="14"/>
        <v>0</v>
      </c>
      <c r="BC26" s="75">
        <f t="shared" si="15"/>
        <v>0</v>
      </c>
      <c r="BD26" s="75">
        <f t="shared" si="16"/>
        <v>0</v>
      </c>
      <c r="BE26" s="47">
        <f t="shared" si="53"/>
        <v>0</v>
      </c>
      <c r="BF26" s="49"/>
      <c r="BG26" s="234"/>
      <c r="BH26" s="58" t="str">
        <f t="shared" ca="1" si="17"/>
        <v xml:space="preserve">jun </v>
      </c>
      <c r="BI26" s="76">
        <f t="shared" ca="1" si="18"/>
        <v>6</v>
      </c>
      <c r="BJ26" s="76">
        <f t="shared" ca="1" si="19"/>
        <v>0</v>
      </c>
      <c r="BK26" s="76">
        <f t="shared" ca="1" si="20"/>
        <v>0</v>
      </c>
      <c r="BL26" s="77" t="str">
        <f t="shared" ca="1" si="21"/>
        <v>aug</v>
      </c>
      <c r="BM26" s="78">
        <f t="shared" ca="1" si="54"/>
        <v>0</v>
      </c>
      <c r="BN26" s="75">
        <f t="shared" ca="1" si="55"/>
        <v>0</v>
      </c>
      <c r="BO26" s="75">
        <f t="shared" ca="1" si="22"/>
        <v>0</v>
      </c>
      <c r="BP26" s="75">
        <f t="shared" ca="1" si="22"/>
        <v>0</v>
      </c>
      <c r="BQ26" s="75">
        <f t="shared" ca="1" si="22"/>
        <v>0</v>
      </c>
      <c r="BR26" s="75">
        <f t="shared" ca="1" si="22"/>
        <v>0</v>
      </c>
      <c r="BS26" s="47">
        <f t="shared" ca="1" si="56"/>
        <v>0</v>
      </c>
      <c r="BT26" s="79">
        <f t="shared" ca="1" si="23"/>
        <v>0</v>
      </c>
      <c r="BU26" s="79">
        <f t="shared" ca="1" si="24"/>
        <v>0</v>
      </c>
      <c r="BV26" s="79">
        <f t="shared" ca="1" si="25"/>
        <v>0</v>
      </c>
      <c r="BW26" s="79">
        <f t="shared" ca="1" si="26"/>
        <v>0</v>
      </c>
      <c r="BX26" s="79">
        <f t="shared" ca="1" si="27"/>
        <v>0</v>
      </c>
      <c r="BY26" s="79"/>
      <c r="BZ26" s="77" t="str">
        <f t="shared" ca="1" si="57"/>
        <v>aug</v>
      </c>
      <c r="CA26" s="78">
        <f t="shared" ca="1" si="57"/>
        <v>0</v>
      </c>
      <c r="CB26" s="75" t="e">
        <f t="shared" ca="1" si="28"/>
        <v>#DIV/0!</v>
      </c>
      <c r="CC26" s="75" t="e">
        <f t="shared" ca="1" si="29"/>
        <v>#DIV/0!</v>
      </c>
      <c r="CD26" s="75" t="e">
        <f t="shared" ca="1" si="30"/>
        <v>#DIV/0!</v>
      </c>
      <c r="CE26" s="75" t="e">
        <f t="shared" ca="1" si="31"/>
        <v>#DIV/0!</v>
      </c>
      <c r="CF26" s="75" t="e">
        <f t="shared" ca="1" si="32"/>
        <v>#DIV/0!</v>
      </c>
      <c r="CG26" s="47" t="e">
        <f t="shared" ca="1" si="58"/>
        <v>#DIV/0!</v>
      </c>
      <c r="CH26" s="234"/>
      <c r="CI26" s="57"/>
      <c r="CJ26" s="47" t="e">
        <f t="shared" ca="1" si="33"/>
        <v>#DIV/0!</v>
      </c>
      <c r="CK26" s="47" t="e">
        <f t="shared" ca="1" si="34"/>
        <v>#DIV/0!</v>
      </c>
      <c r="CL26" s="47" t="e">
        <f t="shared" ca="1" si="35"/>
        <v>#DIV/0!</v>
      </c>
      <c r="CM26" s="47" t="e">
        <f t="shared" ca="1" si="36"/>
        <v>#DIV/0!</v>
      </c>
      <c r="CN26" s="47" t="e">
        <f t="shared" ca="1" si="37"/>
        <v>#DIV/0!</v>
      </c>
      <c r="CO26" s="47" t="e">
        <f t="shared" ca="1" si="59"/>
        <v>#DIV/0!</v>
      </c>
      <c r="CP26" s="49"/>
      <c r="CQ26" s="52" t="str">
        <f t="shared" ca="1" si="38"/>
        <v>201708</v>
      </c>
      <c r="CR26" s="52">
        <f ca="1">MATCH('Mätvärden referensår'!CQ26,Normalår!$R$5:$R$76,0)-1</f>
        <v>31</v>
      </c>
      <c r="CS26" s="80">
        <f ca="1">OFFSET(Normalår!$S$5,CR26,0)</f>
        <v>1</v>
      </c>
      <c r="CT26" s="234"/>
      <c r="CU26" s="75" t="e">
        <f t="shared" ca="1" si="60"/>
        <v>#DIV/0!</v>
      </c>
      <c r="CV26" s="75" t="e">
        <f t="shared" ca="1" si="61"/>
        <v>#DIV/0!</v>
      </c>
      <c r="CW26" s="75" t="e">
        <f t="shared" ca="1" si="62"/>
        <v>#DIV/0!</v>
      </c>
      <c r="CX26" s="75" t="e">
        <f t="shared" ca="1" si="63"/>
        <v>#DIV/0!</v>
      </c>
      <c r="CY26" s="75" t="e">
        <f t="shared" ca="1" si="64"/>
        <v>#DIV/0!</v>
      </c>
      <c r="CZ26" s="47" t="e">
        <f t="shared" ca="1" si="65"/>
        <v>#DIV/0!</v>
      </c>
      <c r="DA26" s="234"/>
      <c r="DB26" s="81"/>
      <c r="DC26" s="234"/>
      <c r="DD26" s="47" t="e">
        <f t="shared" ca="1" si="66"/>
        <v>#DIV/0!</v>
      </c>
      <c r="DE26" s="47" t="e">
        <f t="shared" ca="1" si="66"/>
        <v>#DIV/0!</v>
      </c>
      <c r="DF26" s="47" t="e">
        <f t="shared" ca="1" si="66"/>
        <v>#DIV/0!</v>
      </c>
      <c r="DG26" s="47" t="e">
        <f t="shared" ca="1" si="66"/>
        <v>#DIV/0!</v>
      </c>
      <c r="DH26" s="47" t="e">
        <f t="shared" ca="1" si="66"/>
        <v>#DIV/0!</v>
      </c>
      <c r="DI26" s="47" t="e">
        <f t="shared" ca="1" si="67"/>
        <v>#DIV/0!</v>
      </c>
      <c r="DJ26" s="234"/>
      <c r="DK26" s="234"/>
      <c r="DL26" s="234"/>
      <c r="DM26" s="47" t="e">
        <f t="shared" ca="1" si="39"/>
        <v>#DIV/0!</v>
      </c>
      <c r="DN26" s="47" t="e">
        <f t="shared" ca="1" si="39"/>
        <v>#DIV/0!</v>
      </c>
      <c r="DO26" s="47" t="e">
        <f t="shared" ca="1" si="39"/>
        <v>#DIV/0!</v>
      </c>
      <c r="DP26" s="47" t="e">
        <f t="shared" ca="1" si="39"/>
        <v>#DIV/0!</v>
      </c>
      <c r="DQ26" s="47" t="e">
        <f t="shared" ca="1" si="39"/>
        <v>#DIV/0!</v>
      </c>
      <c r="DR26" s="47" t="e">
        <f t="shared" ca="1" si="68"/>
        <v>#DIV/0!</v>
      </c>
      <c r="DS26" s="234"/>
      <c r="DT26" s="234"/>
      <c r="EI26" s="34" t="s">
        <v>1072</v>
      </c>
      <c r="EJ26" s="36">
        <v>24</v>
      </c>
      <c r="EK26" s="36"/>
    </row>
    <row r="27" spans="1:156" s="231" customFormat="1" ht="16.5" customHeight="1" x14ac:dyDescent="0.25">
      <c r="A27" s="232"/>
      <c r="B27" s="250"/>
      <c r="E27" s="232"/>
      <c r="F27" s="387">
        <f t="shared" ca="1" si="69"/>
        <v>2017</v>
      </c>
      <c r="G27" s="387" t="str">
        <f t="shared" ca="1" si="1"/>
        <v>sept</v>
      </c>
      <c r="H27" s="70"/>
      <c r="I27" s="72">
        <f t="shared" si="40"/>
        <v>0</v>
      </c>
      <c r="J27" s="388"/>
      <c r="K27" s="73"/>
      <c r="L27" s="72">
        <f t="shared" si="2"/>
        <v>0</v>
      </c>
      <c r="M27" s="388"/>
      <c r="N27" s="73"/>
      <c r="O27" s="72">
        <f t="shared" si="3"/>
        <v>0</v>
      </c>
      <c r="P27" s="388"/>
      <c r="Q27" s="74"/>
      <c r="R27" s="74"/>
      <c r="S27" s="74"/>
      <c r="T27" s="74"/>
      <c r="U27" s="74"/>
      <c r="V27" s="74"/>
      <c r="W27" s="232"/>
      <c r="X27" s="233"/>
      <c r="Y27" s="252">
        <f t="shared" si="4"/>
        <v>0</v>
      </c>
      <c r="Z27" s="252">
        <f t="shared" si="5"/>
        <v>0</v>
      </c>
      <c r="AA27" s="252">
        <f t="shared" si="6"/>
        <v>0</v>
      </c>
      <c r="AB27" s="252">
        <f t="shared" si="7"/>
        <v>0</v>
      </c>
      <c r="AC27" s="252">
        <f t="shared" si="8"/>
        <v>0</v>
      </c>
      <c r="AD27" s="248">
        <f t="shared" si="9"/>
        <v>0</v>
      </c>
      <c r="AE27" s="361"/>
      <c r="AF27" s="233"/>
      <c r="AG27" s="252">
        <f t="shared" si="41"/>
        <v>0</v>
      </c>
      <c r="AH27" s="252">
        <f t="shared" si="10"/>
        <v>0</v>
      </c>
      <c r="AI27" s="252">
        <f t="shared" si="10"/>
        <v>0</v>
      </c>
      <c r="AJ27" s="252">
        <f t="shared" si="10"/>
        <v>0</v>
      </c>
      <c r="AK27" s="252">
        <f t="shared" si="10"/>
        <v>0</v>
      </c>
      <c r="AL27" s="248">
        <f t="shared" si="11"/>
        <v>0</v>
      </c>
      <c r="AM27" s="188"/>
      <c r="AN27" s="248">
        <f t="shared" si="42"/>
        <v>0</v>
      </c>
      <c r="AO27" s="248">
        <f t="shared" si="43"/>
        <v>0</v>
      </c>
      <c r="AP27" s="248">
        <f t="shared" si="44"/>
        <v>0</v>
      </c>
      <c r="AQ27" s="248">
        <f t="shared" si="45"/>
        <v>0</v>
      </c>
      <c r="AR27" s="248">
        <f t="shared" si="46"/>
        <v>0</v>
      </c>
      <c r="AS27" s="248">
        <f t="shared" si="47"/>
        <v>0</v>
      </c>
      <c r="AT27" s="259">
        <f t="shared" si="48"/>
        <v>0</v>
      </c>
      <c r="AU27" s="191">
        <f t="shared" si="49"/>
        <v>0</v>
      </c>
      <c r="AV27" s="362" t="str">
        <f t="shared" si="50"/>
        <v/>
      </c>
      <c r="AW27" s="248">
        <f t="shared" si="51"/>
        <v>0</v>
      </c>
      <c r="AX27" s="362" t="str">
        <f t="shared" si="52"/>
        <v/>
      </c>
      <c r="AY27" s="49"/>
      <c r="AZ27" s="75">
        <f t="shared" si="12"/>
        <v>0</v>
      </c>
      <c r="BA27" s="75">
        <f t="shared" si="13"/>
        <v>0</v>
      </c>
      <c r="BB27" s="75">
        <f t="shared" si="14"/>
        <v>0</v>
      </c>
      <c r="BC27" s="75">
        <f t="shared" si="15"/>
        <v>0</v>
      </c>
      <c r="BD27" s="75">
        <f t="shared" si="16"/>
        <v>0</v>
      </c>
      <c r="BE27" s="47">
        <f t="shared" si="53"/>
        <v>0</v>
      </c>
      <c r="BF27" s="49"/>
      <c r="BG27" s="234"/>
      <c r="BH27" s="58" t="str">
        <f t="shared" ca="1" si="17"/>
        <v>jul</v>
      </c>
      <c r="BI27" s="76">
        <f t="shared" ca="1" si="18"/>
        <v>7</v>
      </c>
      <c r="BJ27" s="76">
        <f t="shared" ca="1" si="19"/>
        <v>0</v>
      </c>
      <c r="BK27" s="76">
        <f t="shared" ca="1" si="20"/>
        <v>0</v>
      </c>
      <c r="BL27" s="77" t="str">
        <f t="shared" ca="1" si="21"/>
        <v>sept</v>
      </c>
      <c r="BM27" s="78">
        <f t="shared" ca="1" si="54"/>
        <v>0</v>
      </c>
      <c r="BN27" s="75">
        <f t="shared" ca="1" si="55"/>
        <v>0</v>
      </c>
      <c r="BO27" s="75">
        <f t="shared" ca="1" si="22"/>
        <v>0</v>
      </c>
      <c r="BP27" s="75">
        <f t="shared" ca="1" si="22"/>
        <v>0</v>
      </c>
      <c r="BQ27" s="75">
        <f t="shared" ca="1" si="22"/>
        <v>0</v>
      </c>
      <c r="BR27" s="75">
        <f t="shared" ca="1" si="22"/>
        <v>0</v>
      </c>
      <c r="BS27" s="47">
        <f t="shared" ca="1" si="56"/>
        <v>0</v>
      </c>
      <c r="BT27" s="79">
        <f t="shared" ca="1" si="23"/>
        <v>0</v>
      </c>
      <c r="BU27" s="79">
        <f t="shared" ca="1" si="24"/>
        <v>0</v>
      </c>
      <c r="BV27" s="79">
        <f t="shared" ca="1" si="25"/>
        <v>0</v>
      </c>
      <c r="BW27" s="79">
        <f t="shared" ca="1" si="26"/>
        <v>0</v>
      </c>
      <c r="BX27" s="79">
        <f t="shared" ca="1" si="27"/>
        <v>0</v>
      </c>
      <c r="BY27" s="79"/>
      <c r="BZ27" s="77" t="str">
        <f t="shared" ca="1" si="57"/>
        <v>sept</v>
      </c>
      <c r="CA27" s="78">
        <f t="shared" ca="1" si="57"/>
        <v>0</v>
      </c>
      <c r="CB27" s="75" t="e">
        <f t="shared" ca="1" si="28"/>
        <v>#DIV/0!</v>
      </c>
      <c r="CC27" s="75" t="e">
        <f t="shared" ca="1" si="29"/>
        <v>#DIV/0!</v>
      </c>
      <c r="CD27" s="75" t="e">
        <f t="shared" ca="1" si="30"/>
        <v>#DIV/0!</v>
      </c>
      <c r="CE27" s="75" t="e">
        <f t="shared" ca="1" si="31"/>
        <v>#DIV/0!</v>
      </c>
      <c r="CF27" s="75" t="e">
        <f t="shared" ca="1" si="32"/>
        <v>#DIV/0!</v>
      </c>
      <c r="CG27" s="47" t="e">
        <f t="shared" ca="1" si="58"/>
        <v>#DIV/0!</v>
      </c>
      <c r="CH27" s="234"/>
      <c r="CI27" s="57"/>
      <c r="CJ27" s="47" t="e">
        <f t="shared" ca="1" si="33"/>
        <v>#DIV/0!</v>
      </c>
      <c r="CK27" s="47" t="e">
        <f t="shared" ca="1" si="34"/>
        <v>#DIV/0!</v>
      </c>
      <c r="CL27" s="47" t="e">
        <f t="shared" ca="1" si="35"/>
        <v>#DIV/0!</v>
      </c>
      <c r="CM27" s="47" t="e">
        <f t="shared" ca="1" si="36"/>
        <v>#DIV/0!</v>
      </c>
      <c r="CN27" s="47" t="e">
        <f t="shared" ca="1" si="37"/>
        <v>#DIV/0!</v>
      </c>
      <c r="CO27" s="47" t="e">
        <f t="shared" ca="1" si="59"/>
        <v>#DIV/0!</v>
      </c>
      <c r="CP27" s="49"/>
      <c r="CQ27" s="52" t="str">
        <f t="shared" ca="1" si="38"/>
        <v>201709</v>
      </c>
      <c r="CR27" s="52">
        <f ca="1">MATCH('Mätvärden referensår'!CQ27,Normalår!$R$5:$R$76,0)-1</f>
        <v>32</v>
      </c>
      <c r="CS27" s="80">
        <f ca="1">OFFSET(Normalår!$S$5,CR27,0)</f>
        <v>1</v>
      </c>
      <c r="CT27" s="234"/>
      <c r="CU27" s="75" t="e">
        <f t="shared" ca="1" si="60"/>
        <v>#DIV/0!</v>
      </c>
      <c r="CV27" s="75" t="e">
        <f t="shared" ca="1" si="61"/>
        <v>#DIV/0!</v>
      </c>
      <c r="CW27" s="75" t="e">
        <f t="shared" ca="1" si="62"/>
        <v>#DIV/0!</v>
      </c>
      <c r="CX27" s="75" t="e">
        <f t="shared" ca="1" si="63"/>
        <v>#DIV/0!</v>
      </c>
      <c r="CY27" s="75" t="e">
        <f t="shared" ca="1" si="64"/>
        <v>#DIV/0!</v>
      </c>
      <c r="CZ27" s="47" t="e">
        <f t="shared" ca="1" si="65"/>
        <v>#DIV/0!</v>
      </c>
      <c r="DA27" s="234"/>
      <c r="DB27" s="81"/>
      <c r="DC27" s="234"/>
      <c r="DD27" s="47" t="e">
        <f t="shared" ca="1" si="66"/>
        <v>#DIV/0!</v>
      </c>
      <c r="DE27" s="47" t="e">
        <f t="shared" ca="1" si="66"/>
        <v>#DIV/0!</v>
      </c>
      <c r="DF27" s="47" t="e">
        <f t="shared" ca="1" si="66"/>
        <v>#DIV/0!</v>
      </c>
      <c r="DG27" s="47" t="e">
        <f t="shared" ca="1" si="66"/>
        <v>#DIV/0!</v>
      </c>
      <c r="DH27" s="47" t="e">
        <f t="shared" ca="1" si="66"/>
        <v>#DIV/0!</v>
      </c>
      <c r="DI27" s="47" t="e">
        <f t="shared" ca="1" si="67"/>
        <v>#DIV/0!</v>
      </c>
      <c r="DJ27" s="234"/>
      <c r="DK27" s="234"/>
      <c r="DL27" s="234"/>
      <c r="DM27" s="47" t="e">
        <f t="shared" ca="1" si="39"/>
        <v>#DIV/0!</v>
      </c>
      <c r="DN27" s="47" t="e">
        <f t="shared" ca="1" si="39"/>
        <v>#DIV/0!</v>
      </c>
      <c r="DO27" s="47" t="e">
        <f t="shared" ca="1" si="39"/>
        <v>#DIV/0!</v>
      </c>
      <c r="DP27" s="47" t="e">
        <f t="shared" ca="1" si="39"/>
        <v>#DIV/0!</v>
      </c>
      <c r="DQ27" s="47" t="e">
        <f t="shared" ca="1" si="39"/>
        <v>#DIV/0!</v>
      </c>
      <c r="DR27" s="47" t="e">
        <f t="shared" ca="1" si="68"/>
        <v>#DIV/0!</v>
      </c>
      <c r="DS27" s="234"/>
      <c r="DT27" s="234"/>
      <c r="EI27" s="253" t="str">
        <f>G15</f>
        <v>jan</v>
      </c>
      <c r="EJ27" s="233"/>
      <c r="EK27" s="233"/>
    </row>
    <row r="28" spans="1:156" s="231" customFormat="1" ht="16.5" customHeight="1" x14ac:dyDescent="0.25">
      <c r="A28" s="232"/>
      <c r="B28" s="250"/>
      <c r="E28" s="232"/>
      <c r="F28" s="387">
        <f t="shared" ca="1" si="69"/>
        <v>2017</v>
      </c>
      <c r="G28" s="387" t="str">
        <f t="shared" ca="1" si="1"/>
        <v>okt</v>
      </c>
      <c r="H28" s="70"/>
      <c r="I28" s="72">
        <f t="shared" si="40"/>
        <v>0</v>
      </c>
      <c r="J28" s="388"/>
      <c r="K28" s="73"/>
      <c r="L28" s="72">
        <f t="shared" si="2"/>
        <v>0</v>
      </c>
      <c r="M28" s="388"/>
      <c r="N28" s="73"/>
      <c r="O28" s="72">
        <f t="shared" si="3"/>
        <v>0</v>
      </c>
      <c r="P28" s="388"/>
      <c r="Q28" s="74"/>
      <c r="R28" s="74"/>
      <c r="S28" s="74"/>
      <c r="T28" s="74"/>
      <c r="U28" s="74"/>
      <c r="V28" s="74"/>
      <c r="W28" s="232"/>
      <c r="X28" s="233"/>
      <c r="Y28" s="252">
        <f t="shared" si="4"/>
        <v>0</v>
      </c>
      <c r="Z28" s="252">
        <f t="shared" si="5"/>
        <v>0</v>
      </c>
      <c r="AA28" s="252">
        <f t="shared" si="6"/>
        <v>0</v>
      </c>
      <c r="AB28" s="252">
        <f t="shared" si="7"/>
        <v>0</v>
      </c>
      <c r="AC28" s="252">
        <f t="shared" si="8"/>
        <v>0</v>
      </c>
      <c r="AD28" s="248">
        <f t="shared" si="9"/>
        <v>0</v>
      </c>
      <c r="AE28" s="361"/>
      <c r="AF28" s="233"/>
      <c r="AG28" s="252">
        <f t="shared" si="41"/>
        <v>0</v>
      </c>
      <c r="AH28" s="252">
        <f t="shared" si="10"/>
        <v>0</v>
      </c>
      <c r="AI28" s="252">
        <f t="shared" si="10"/>
        <v>0</v>
      </c>
      <c r="AJ28" s="252">
        <f t="shared" si="10"/>
        <v>0</v>
      </c>
      <c r="AK28" s="252">
        <f t="shared" si="10"/>
        <v>0</v>
      </c>
      <c r="AL28" s="248">
        <f t="shared" si="11"/>
        <v>0</v>
      </c>
      <c r="AM28" s="188"/>
      <c r="AN28" s="248">
        <f t="shared" si="42"/>
        <v>0</v>
      </c>
      <c r="AO28" s="248">
        <f t="shared" si="43"/>
        <v>0</v>
      </c>
      <c r="AP28" s="248">
        <f t="shared" si="44"/>
        <v>0</v>
      </c>
      <c r="AQ28" s="248">
        <f t="shared" si="45"/>
        <v>0</v>
      </c>
      <c r="AR28" s="248">
        <f t="shared" si="46"/>
        <v>0</v>
      </c>
      <c r="AS28" s="248">
        <f t="shared" si="47"/>
        <v>0</v>
      </c>
      <c r="AT28" s="259">
        <f t="shared" si="48"/>
        <v>0</v>
      </c>
      <c r="AU28" s="191">
        <f t="shared" si="49"/>
        <v>0</v>
      </c>
      <c r="AV28" s="362" t="str">
        <f t="shared" si="50"/>
        <v/>
      </c>
      <c r="AW28" s="248">
        <f t="shared" si="51"/>
        <v>0</v>
      </c>
      <c r="AX28" s="362" t="str">
        <f t="shared" si="52"/>
        <v/>
      </c>
      <c r="AY28" s="49"/>
      <c r="AZ28" s="75">
        <f t="shared" si="12"/>
        <v>0</v>
      </c>
      <c r="BA28" s="75">
        <f t="shared" si="13"/>
        <v>0</v>
      </c>
      <c r="BB28" s="75">
        <f t="shared" si="14"/>
        <v>0</v>
      </c>
      <c r="BC28" s="75">
        <f t="shared" si="15"/>
        <v>0</v>
      </c>
      <c r="BD28" s="75">
        <f t="shared" si="16"/>
        <v>0</v>
      </c>
      <c r="BE28" s="47">
        <f t="shared" si="53"/>
        <v>0</v>
      </c>
      <c r="BF28" s="49"/>
      <c r="BG28" s="234"/>
      <c r="BH28" s="58" t="str">
        <f t="shared" ca="1" si="17"/>
        <v>aug</v>
      </c>
      <c r="BI28" s="76">
        <f t="shared" ca="1" si="18"/>
        <v>8</v>
      </c>
      <c r="BJ28" s="76">
        <f t="shared" ca="1" si="19"/>
        <v>0</v>
      </c>
      <c r="BK28" s="76">
        <f t="shared" ca="1" si="20"/>
        <v>0</v>
      </c>
      <c r="BL28" s="77" t="str">
        <f t="shared" ca="1" si="21"/>
        <v>okt</v>
      </c>
      <c r="BM28" s="78">
        <f t="shared" ca="1" si="54"/>
        <v>0</v>
      </c>
      <c r="BN28" s="75">
        <f t="shared" ca="1" si="55"/>
        <v>0</v>
      </c>
      <c r="BO28" s="75">
        <f t="shared" ca="1" si="22"/>
        <v>0</v>
      </c>
      <c r="BP28" s="75">
        <f t="shared" ca="1" si="22"/>
        <v>0</v>
      </c>
      <c r="BQ28" s="75">
        <f t="shared" ca="1" si="22"/>
        <v>0</v>
      </c>
      <c r="BR28" s="75">
        <f t="shared" ca="1" si="22"/>
        <v>0</v>
      </c>
      <c r="BS28" s="47">
        <f t="shared" ca="1" si="56"/>
        <v>0</v>
      </c>
      <c r="BT28" s="79">
        <f t="shared" ca="1" si="23"/>
        <v>0</v>
      </c>
      <c r="BU28" s="79">
        <f t="shared" ca="1" si="24"/>
        <v>0</v>
      </c>
      <c r="BV28" s="79">
        <f t="shared" ca="1" si="25"/>
        <v>0</v>
      </c>
      <c r="BW28" s="79">
        <f t="shared" ca="1" si="26"/>
        <v>0</v>
      </c>
      <c r="BX28" s="79">
        <f t="shared" ca="1" si="27"/>
        <v>0</v>
      </c>
      <c r="BY28" s="79"/>
      <c r="BZ28" s="77" t="str">
        <f t="shared" ca="1" si="57"/>
        <v>okt</v>
      </c>
      <c r="CA28" s="78">
        <f t="shared" ca="1" si="57"/>
        <v>0</v>
      </c>
      <c r="CB28" s="75" t="e">
        <f t="shared" ca="1" si="28"/>
        <v>#DIV/0!</v>
      </c>
      <c r="CC28" s="75" t="e">
        <f t="shared" ca="1" si="29"/>
        <v>#DIV/0!</v>
      </c>
      <c r="CD28" s="75" t="e">
        <f t="shared" ca="1" si="30"/>
        <v>#DIV/0!</v>
      </c>
      <c r="CE28" s="75" t="e">
        <f t="shared" ca="1" si="31"/>
        <v>#DIV/0!</v>
      </c>
      <c r="CF28" s="75" t="e">
        <f t="shared" ca="1" si="32"/>
        <v>#DIV/0!</v>
      </c>
      <c r="CG28" s="47" t="e">
        <f t="shared" ca="1" si="58"/>
        <v>#DIV/0!</v>
      </c>
      <c r="CH28" s="234"/>
      <c r="CI28" s="57"/>
      <c r="CJ28" s="47" t="e">
        <f t="shared" ca="1" si="33"/>
        <v>#DIV/0!</v>
      </c>
      <c r="CK28" s="47" t="e">
        <f t="shared" ca="1" si="34"/>
        <v>#DIV/0!</v>
      </c>
      <c r="CL28" s="47" t="e">
        <f t="shared" ca="1" si="35"/>
        <v>#DIV/0!</v>
      </c>
      <c r="CM28" s="47" t="e">
        <f t="shared" ca="1" si="36"/>
        <v>#DIV/0!</v>
      </c>
      <c r="CN28" s="47" t="e">
        <f t="shared" ca="1" si="37"/>
        <v>#DIV/0!</v>
      </c>
      <c r="CO28" s="47" t="e">
        <f t="shared" ca="1" si="59"/>
        <v>#DIV/0!</v>
      </c>
      <c r="CP28" s="49"/>
      <c r="CQ28" s="52" t="str">
        <f t="shared" ca="1" si="38"/>
        <v>201710</v>
      </c>
      <c r="CR28" s="52">
        <f ca="1">MATCH('Mätvärden referensår'!CQ28,Normalår!$R$5:$R$76,0)-1</f>
        <v>33</v>
      </c>
      <c r="CS28" s="80">
        <f ca="1">OFFSET(Normalår!$S$5,CR28,0)</f>
        <v>1.1312021723031349</v>
      </c>
      <c r="CT28" s="234"/>
      <c r="CU28" s="75" t="e">
        <f t="shared" ca="1" si="60"/>
        <v>#DIV/0!</v>
      </c>
      <c r="CV28" s="75" t="e">
        <f t="shared" ca="1" si="61"/>
        <v>#DIV/0!</v>
      </c>
      <c r="CW28" s="75" t="e">
        <f t="shared" ca="1" si="62"/>
        <v>#DIV/0!</v>
      </c>
      <c r="CX28" s="75" t="e">
        <f t="shared" ca="1" si="63"/>
        <v>#DIV/0!</v>
      </c>
      <c r="CY28" s="75" t="e">
        <f t="shared" ca="1" si="64"/>
        <v>#DIV/0!</v>
      </c>
      <c r="CZ28" s="47" t="e">
        <f t="shared" ca="1" si="65"/>
        <v>#DIV/0!</v>
      </c>
      <c r="DA28" s="234"/>
      <c r="DB28" s="81"/>
      <c r="DC28" s="234"/>
      <c r="DD28" s="47" t="e">
        <f t="shared" ca="1" si="66"/>
        <v>#DIV/0!</v>
      </c>
      <c r="DE28" s="47" t="e">
        <f t="shared" ca="1" si="66"/>
        <v>#DIV/0!</v>
      </c>
      <c r="DF28" s="47" t="e">
        <f t="shared" ca="1" si="66"/>
        <v>#DIV/0!</v>
      </c>
      <c r="DG28" s="47" t="e">
        <f t="shared" ca="1" si="66"/>
        <v>#DIV/0!</v>
      </c>
      <c r="DH28" s="47" t="e">
        <f t="shared" ca="1" si="66"/>
        <v>#DIV/0!</v>
      </c>
      <c r="DI28" s="47" t="e">
        <f t="shared" ca="1" si="67"/>
        <v>#DIV/0!</v>
      </c>
      <c r="DJ28" s="234"/>
      <c r="DK28" s="234"/>
      <c r="DL28" s="234"/>
      <c r="DM28" s="47" t="e">
        <f t="shared" ca="1" si="39"/>
        <v>#DIV/0!</v>
      </c>
      <c r="DN28" s="47" t="e">
        <f t="shared" ca="1" si="39"/>
        <v>#DIV/0!</v>
      </c>
      <c r="DO28" s="47" t="e">
        <f t="shared" ca="1" si="39"/>
        <v>#DIV/0!</v>
      </c>
      <c r="DP28" s="47" t="e">
        <f t="shared" ca="1" si="39"/>
        <v>#DIV/0!</v>
      </c>
      <c r="DQ28" s="47" t="e">
        <f t="shared" ca="1" si="39"/>
        <v>#DIV/0!</v>
      </c>
      <c r="DR28" s="47" t="e">
        <f t="shared" ca="1" si="68"/>
        <v>#DIV/0!</v>
      </c>
      <c r="DS28" s="234"/>
      <c r="DT28" s="234"/>
      <c r="EI28" s="287">
        <f>MATCH(EI27,EI3:EI14,0)</f>
        <v>1</v>
      </c>
      <c r="EJ28" s="287"/>
      <c r="EK28" s="287"/>
    </row>
    <row r="29" spans="1:156" s="231" customFormat="1" ht="16.5" customHeight="1" x14ac:dyDescent="0.25">
      <c r="A29" s="232"/>
      <c r="B29" s="250"/>
      <c r="E29" s="232"/>
      <c r="F29" s="387">
        <f t="shared" ca="1" si="69"/>
        <v>2017</v>
      </c>
      <c r="G29" s="387" t="str">
        <f t="shared" ca="1" si="1"/>
        <v>nov</v>
      </c>
      <c r="H29" s="70"/>
      <c r="I29" s="72">
        <f t="shared" si="40"/>
        <v>0</v>
      </c>
      <c r="J29" s="388"/>
      <c r="K29" s="73"/>
      <c r="L29" s="72">
        <f t="shared" si="2"/>
        <v>0</v>
      </c>
      <c r="M29" s="388"/>
      <c r="N29" s="73"/>
      <c r="O29" s="72">
        <f t="shared" si="3"/>
        <v>0</v>
      </c>
      <c r="P29" s="388"/>
      <c r="Q29" s="74"/>
      <c r="R29" s="74"/>
      <c r="S29" s="74"/>
      <c r="T29" s="74"/>
      <c r="U29" s="74"/>
      <c r="V29" s="74"/>
      <c r="W29" s="232"/>
      <c r="X29" s="233"/>
      <c r="Y29" s="252">
        <f t="shared" si="4"/>
        <v>0</v>
      </c>
      <c r="Z29" s="252">
        <f t="shared" si="5"/>
        <v>0</v>
      </c>
      <c r="AA29" s="252">
        <f t="shared" si="6"/>
        <v>0</v>
      </c>
      <c r="AB29" s="252">
        <f t="shared" si="7"/>
        <v>0</v>
      </c>
      <c r="AC29" s="252">
        <f t="shared" si="8"/>
        <v>0</v>
      </c>
      <c r="AD29" s="248">
        <f t="shared" si="9"/>
        <v>0</v>
      </c>
      <c r="AE29" s="361"/>
      <c r="AF29" s="233"/>
      <c r="AG29" s="252">
        <f t="shared" si="41"/>
        <v>0</v>
      </c>
      <c r="AH29" s="252">
        <f t="shared" si="10"/>
        <v>0</v>
      </c>
      <c r="AI29" s="252">
        <f t="shared" si="10"/>
        <v>0</v>
      </c>
      <c r="AJ29" s="252">
        <f t="shared" si="10"/>
        <v>0</v>
      </c>
      <c r="AK29" s="252">
        <f t="shared" si="10"/>
        <v>0</v>
      </c>
      <c r="AL29" s="248">
        <f t="shared" si="11"/>
        <v>0</v>
      </c>
      <c r="AM29" s="188"/>
      <c r="AN29" s="248">
        <f t="shared" si="42"/>
        <v>0</v>
      </c>
      <c r="AO29" s="248">
        <f t="shared" si="43"/>
        <v>0</v>
      </c>
      <c r="AP29" s="248">
        <f t="shared" si="44"/>
        <v>0</v>
      </c>
      <c r="AQ29" s="248">
        <f t="shared" si="45"/>
        <v>0</v>
      </c>
      <c r="AR29" s="248">
        <f t="shared" si="46"/>
        <v>0</v>
      </c>
      <c r="AS29" s="248">
        <f t="shared" si="47"/>
        <v>0</v>
      </c>
      <c r="AT29" s="259">
        <f t="shared" si="48"/>
        <v>0</v>
      </c>
      <c r="AU29" s="191">
        <f t="shared" si="49"/>
        <v>0</v>
      </c>
      <c r="AV29" s="362" t="str">
        <f t="shared" si="50"/>
        <v/>
      </c>
      <c r="AW29" s="248">
        <f t="shared" si="51"/>
        <v>0</v>
      </c>
      <c r="AX29" s="362" t="str">
        <f t="shared" si="52"/>
        <v/>
      </c>
      <c r="AY29" s="49"/>
      <c r="AZ29" s="75">
        <f t="shared" si="12"/>
        <v>0</v>
      </c>
      <c r="BA29" s="75">
        <f t="shared" si="13"/>
        <v>0</v>
      </c>
      <c r="BB29" s="75">
        <f t="shared" si="14"/>
        <v>0</v>
      </c>
      <c r="BC29" s="75">
        <f t="shared" si="15"/>
        <v>0</v>
      </c>
      <c r="BD29" s="75">
        <f t="shared" si="16"/>
        <v>0</v>
      </c>
      <c r="BE29" s="47">
        <f t="shared" si="53"/>
        <v>0</v>
      </c>
      <c r="BF29" s="49"/>
      <c r="BG29" s="234"/>
      <c r="BH29" s="58" t="str">
        <f t="shared" ca="1" si="17"/>
        <v>sept</v>
      </c>
      <c r="BI29" s="76">
        <f t="shared" ca="1" si="18"/>
        <v>9</v>
      </c>
      <c r="BJ29" s="76">
        <f t="shared" ca="1" si="19"/>
        <v>0</v>
      </c>
      <c r="BK29" s="76">
        <f t="shared" ca="1" si="20"/>
        <v>0</v>
      </c>
      <c r="BL29" s="77" t="str">
        <f t="shared" ca="1" si="21"/>
        <v>nov</v>
      </c>
      <c r="BM29" s="78">
        <f t="shared" ca="1" si="54"/>
        <v>1</v>
      </c>
      <c r="BN29" s="75" t="e">
        <f t="shared" ca="1" si="55"/>
        <v>#DIV/0!</v>
      </c>
      <c r="BO29" s="75" t="e">
        <f t="shared" ca="1" si="22"/>
        <v>#DIV/0!</v>
      </c>
      <c r="BP29" s="75" t="e">
        <f t="shared" ca="1" si="22"/>
        <v>#DIV/0!</v>
      </c>
      <c r="BQ29" s="75" t="e">
        <f t="shared" ca="1" si="22"/>
        <v>#DIV/0!</v>
      </c>
      <c r="BR29" s="75" t="e">
        <f t="shared" ca="1" si="22"/>
        <v>#DIV/0!</v>
      </c>
      <c r="BS29" s="47" t="e">
        <f t="shared" ca="1" si="56"/>
        <v>#DIV/0!</v>
      </c>
      <c r="BT29" s="79" t="e">
        <f t="shared" ca="1" si="23"/>
        <v>#DIV/0!</v>
      </c>
      <c r="BU29" s="79" t="e">
        <f t="shared" ca="1" si="24"/>
        <v>#DIV/0!</v>
      </c>
      <c r="BV29" s="79" t="e">
        <f t="shared" ca="1" si="25"/>
        <v>#DIV/0!</v>
      </c>
      <c r="BW29" s="79" t="e">
        <f t="shared" ca="1" si="26"/>
        <v>#DIV/0!</v>
      </c>
      <c r="BX29" s="79" t="e">
        <f t="shared" ca="1" si="27"/>
        <v>#DIV/0!</v>
      </c>
      <c r="BY29" s="79"/>
      <c r="BZ29" s="77" t="str">
        <f t="shared" ca="1" si="57"/>
        <v>nov</v>
      </c>
      <c r="CA29" s="78">
        <f t="shared" ca="1" si="57"/>
        <v>1</v>
      </c>
      <c r="CB29" s="75" t="e">
        <f t="shared" ca="1" si="28"/>
        <v>#DIV/0!</v>
      </c>
      <c r="CC29" s="75" t="e">
        <f t="shared" ca="1" si="29"/>
        <v>#DIV/0!</v>
      </c>
      <c r="CD29" s="75" t="e">
        <f t="shared" ca="1" si="30"/>
        <v>#DIV/0!</v>
      </c>
      <c r="CE29" s="75" t="e">
        <f t="shared" ca="1" si="31"/>
        <v>#DIV/0!</v>
      </c>
      <c r="CF29" s="75" t="e">
        <f t="shared" ca="1" si="32"/>
        <v>#DIV/0!</v>
      </c>
      <c r="CG29" s="47" t="e">
        <f t="shared" ca="1" si="58"/>
        <v>#DIV/0!</v>
      </c>
      <c r="CH29" s="234"/>
      <c r="CI29" s="57"/>
      <c r="CJ29" s="47" t="e">
        <f t="shared" ca="1" si="33"/>
        <v>#DIV/0!</v>
      </c>
      <c r="CK29" s="47" t="e">
        <f t="shared" ca="1" si="34"/>
        <v>#DIV/0!</v>
      </c>
      <c r="CL29" s="47" t="e">
        <f t="shared" ca="1" si="35"/>
        <v>#DIV/0!</v>
      </c>
      <c r="CM29" s="47" t="e">
        <f t="shared" ca="1" si="36"/>
        <v>#DIV/0!</v>
      </c>
      <c r="CN29" s="47" t="e">
        <f t="shared" ca="1" si="37"/>
        <v>#DIV/0!</v>
      </c>
      <c r="CO29" s="47" t="e">
        <f t="shared" ca="1" si="59"/>
        <v>#DIV/0!</v>
      </c>
      <c r="CP29" s="49"/>
      <c r="CQ29" s="52" t="str">
        <f t="shared" ca="1" si="38"/>
        <v>201711</v>
      </c>
      <c r="CR29" s="52">
        <f ca="1">MATCH('Mätvärden referensår'!CQ29,Normalår!$R$5:$R$76,0)-1</f>
        <v>34</v>
      </c>
      <c r="CS29" s="80">
        <f ca="1">OFFSET(Normalår!$S$5,CR29,0)</f>
        <v>1.0117094272076372</v>
      </c>
      <c r="CT29" s="234"/>
      <c r="CU29" s="75" t="e">
        <f t="shared" ca="1" si="60"/>
        <v>#DIV/0!</v>
      </c>
      <c r="CV29" s="75" t="e">
        <f t="shared" ca="1" si="61"/>
        <v>#DIV/0!</v>
      </c>
      <c r="CW29" s="75" t="e">
        <f t="shared" ca="1" si="62"/>
        <v>#DIV/0!</v>
      </c>
      <c r="CX29" s="75" t="e">
        <f t="shared" ca="1" si="63"/>
        <v>#DIV/0!</v>
      </c>
      <c r="CY29" s="75" t="e">
        <f ca="1">CN29*CS29</f>
        <v>#DIV/0!</v>
      </c>
      <c r="CZ29" s="47" t="e">
        <f t="shared" ca="1" si="65"/>
        <v>#DIV/0!</v>
      </c>
      <c r="DA29" s="234"/>
      <c r="DB29" s="81"/>
      <c r="DC29" s="234"/>
      <c r="DD29" s="47" t="e">
        <f t="shared" ca="1" si="66"/>
        <v>#DIV/0!</v>
      </c>
      <c r="DE29" s="47" t="e">
        <f t="shared" ca="1" si="66"/>
        <v>#DIV/0!</v>
      </c>
      <c r="DF29" s="47" t="e">
        <f t="shared" ca="1" si="66"/>
        <v>#DIV/0!</v>
      </c>
      <c r="DG29" s="47" t="e">
        <f t="shared" ca="1" si="66"/>
        <v>#DIV/0!</v>
      </c>
      <c r="DH29" s="47" t="e">
        <f t="shared" ca="1" si="66"/>
        <v>#DIV/0!</v>
      </c>
      <c r="DI29" s="47" t="e">
        <f t="shared" ca="1" si="67"/>
        <v>#DIV/0!</v>
      </c>
      <c r="DJ29" s="234"/>
      <c r="DK29" s="234"/>
      <c r="DL29" s="234"/>
      <c r="DM29" s="47" t="e">
        <f t="shared" ca="1" si="39"/>
        <v>#DIV/0!</v>
      </c>
      <c r="DN29" s="47" t="e">
        <f t="shared" ca="1" si="39"/>
        <v>#DIV/0!</v>
      </c>
      <c r="DO29" s="47" t="e">
        <f t="shared" ca="1" si="39"/>
        <v>#DIV/0!</v>
      </c>
      <c r="DP29" s="47" t="e">
        <f t="shared" ca="1" si="39"/>
        <v>#DIV/0!</v>
      </c>
      <c r="DQ29" s="47" t="e">
        <f t="shared" ca="1" si="39"/>
        <v>#DIV/0!</v>
      </c>
      <c r="DR29" s="47" t="e">
        <f t="shared" ca="1" si="68"/>
        <v>#DIV/0!</v>
      </c>
      <c r="DS29" s="234"/>
      <c r="DT29" s="234"/>
    </row>
    <row r="30" spans="1:156" s="231" customFormat="1" ht="16.5" customHeight="1" thickBot="1" x14ac:dyDescent="0.3">
      <c r="A30" s="232"/>
      <c r="B30" s="250"/>
      <c r="E30" s="232"/>
      <c r="F30" s="387">
        <f t="shared" ca="1" si="69"/>
        <v>2017</v>
      </c>
      <c r="G30" s="387" t="str">
        <f t="shared" ca="1" si="1"/>
        <v>dec</v>
      </c>
      <c r="H30" s="70"/>
      <c r="I30" s="72">
        <f t="shared" si="40"/>
        <v>0</v>
      </c>
      <c r="J30" s="388"/>
      <c r="K30" s="73"/>
      <c r="L30" s="72">
        <f t="shared" si="2"/>
        <v>0</v>
      </c>
      <c r="M30" s="388"/>
      <c r="N30" s="73"/>
      <c r="O30" s="72">
        <f t="shared" si="3"/>
        <v>0</v>
      </c>
      <c r="P30" s="388"/>
      <c r="Q30" s="74"/>
      <c r="R30" s="74"/>
      <c r="S30" s="74"/>
      <c r="T30" s="74"/>
      <c r="U30" s="74"/>
      <c r="V30" s="74"/>
      <c r="W30" s="232"/>
      <c r="X30" s="233"/>
      <c r="Y30" s="254">
        <f t="shared" si="4"/>
        <v>0</v>
      </c>
      <c r="Z30" s="254">
        <f t="shared" si="5"/>
        <v>0</v>
      </c>
      <c r="AA30" s="254">
        <f t="shared" si="6"/>
        <v>0</v>
      </c>
      <c r="AB30" s="254">
        <f t="shared" si="7"/>
        <v>0</v>
      </c>
      <c r="AC30" s="254">
        <f t="shared" si="8"/>
        <v>0</v>
      </c>
      <c r="AD30" s="255">
        <f t="shared" si="9"/>
        <v>0</v>
      </c>
      <c r="AE30" s="361"/>
      <c r="AF30" s="233"/>
      <c r="AG30" s="254">
        <f t="shared" si="41"/>
        <v>0</v>
      </c>
      <c r="AH30" s="254">
        <f t="shared" si="10"/>
        <v>0</v>
      </c>
      <c r="AI30" s="254">
        <f t="shared" si="10"/>
        <v>0</v>
      </c>
      <c r="AJ30" s="254">
        <f t="shared" si="10"/>
        <v>0</v>
      </c>
      <c r="AK30" s="254">
        <f t="shared" si="10"/>
        <v>0</v>
      </c>
      <c r="AL30" s="255">
        <f t="shared" si="11"/>
        <v>0</v>
      </c>
      <c r="AM30" s="188"/>
      <c r="AN30" s="255">
        <f t="shared" si="42"/>
        <v>0</v>
      </c>
      <c r="AO30" s="255">
        <f t="shared" si="43"/>
        <v>0</v>
      </c>
      <c r="AP30" s="255">
        <f t="shared" si="44"/>
        <v>0</v>
      </c>
      <c r="AQ30" s="255">
        <f t="shared" si="45"/>
        <v>0</v>
      </c>
      <c r="AR30" s="255">
        <f t="shared" si="46"/>
        <v>0</v>
      </c>
      <c r="AS30" s="255">
        <f t="shared" si="47"/>
        <v>0</v>
      </c>
      <c r="AT30" s="274">
        <f t="shared" si="48"/>
        <v>0</v>
      </c>
      <c r="AU30" s="192">
        <f t="shared" si="49"/>
        <v>0</v>
      </c>
      <c r="AV30" s="362" t="str">
        <f>IF(AT30&lt;0,"Fel i indata","")</f>
        <v/>
      </c>
      <c r="AW30" s="248">
        <f t="shared" si="51"/>
        <v>0</v>
      </c>
      <c r="AX30" s="362" t="str">
        <f t="shared" si="52"/>
        <v/>
      </c>
      <c r="AY30" s="49"/>
      <c r="AZ30" s="82">
        <f t="shared" si="12"/>
        <v>0</v>
      </c>
      <c r="BA30" s="82">
        <f t="shared" si="13"/>
        <v>0</v>
      </c>
      <c r="BB30" s="82">
        <f t="shared" si="14"/>
        <v>0</v>
      </c>
      <c r="BC30" s="82">
        <f t="shared" si="15"/>
        <v>0</v>
      </c>
      <c r="BD30" s="82">
        <f t="shared" si="16"/>
        <v>0</v>
      </c>
      <c r="BE30" s="83">
        <f t="shared" si="53"/>
        <v>0</v>
      </c>
      <c r="BF30" s="49"/>
      <c r="BG30" s="234"/>
      <c r="BH30" s="58" t="str">
        <f t="shared" ca="1" si="17"/>
        <v>okt</v>
      </c>
      <c r="BI30" s="76">
        <f t="shared" ca="1" si="18"/>
        <v>10</v>
      </c>
      <c r="BJ30" s="76">
        <f t="shared" ca="1" si="19"/>
        <v>0</v>
      </c>
      <c r="BK30" s="76">
        <f t="shared" ca="1" si="20"/>
        <v>0</v>
      </c>
      <c r="BL30" s="77" t="str">
        <f t="shared" ca="1" si="21"/>
        <v>dec</v>
      </c>
      <c r="BM30" s="78">
        <f t="shared" ca="1" si="54"/>
        <v>1</v>
      </c>
      <c r="BN30" s="82" t="e">
        <f t="shared" ca="1" si="55"/>
        <v>#DIV/0!</v>
      </c>
      <c r="BO30" s="82" t="e">
        <f t="shared" ca="1" si="22"/>
        <v>#DIV/0!</v>
      </c>
      <c r="BP30" s="82" t="e">
        <f t="shared" ca="1" si="22"/>
        <v>#DIV/0!</v>
      </c>
      <c r="BQ30" s="82" t="e">
        <f t="shared" ca="1" si="22"/>
        <v>#DIV/0!</v>
      </c>
      <c r="BR30" s="82" t="e">
        <f t="shared" ca="1" si="22"/>
        <v>#DIV/0!</v>
      </c>
      <c r="BS30" s="83" t="e">
        <f t="shared" ca="1" si="56"/>
        <v>#DIV/0!</v>
      </c>
      <c r="BT30" s="79" t="e">
        <f t="shared" ca="1" si="23"/>
        <v>#DIV/0!</v>
      </c>
      <c r="BU30" s="79" t="e">
        <f t="shared" ca="1" si="24"/>
        <v>#DIV/0!</v>
      </c>
      <c r="BV30" s="79" t="e">
        <f t="shared" ca="1" si="25"/>
        <v>#DIV/0!</v>
      </c>
      <c r="BW30" s="79" t="e">
        <f t="shared" ca="1" si="26"/>
        <v>#DIV/0!</v>
      </c>
      <c r="BX30" s="79" t="e">
        <f t="shared" ca="1" si="27"/>
        <v>#DIV/0!</v>
      </c>
      <c r="BY30" s="79"/>
      <c r="BZ30" s="77" t="str">
        <f t="shared" ca="1" si="57"/>
        <v>dec</v>
      </c>
      <c r="CA30" s="78">
        <f t="shared" ca="1" si="57"/>
        <v>1</v>
      </c>
      <c r="CB30" s="82" t="e">
        <f t="shared" ca="1" si="28"/>
        <v>#DIV/0!</v>
      </c>
      <c r="CC30" s="82" t="e">
        <f t="shared" ca="1" si="29"/>
        <v>#DIV/0!</v>
      </c>
      <c r="CD30" s="82" t="e">
        <f t="shared" ca="1" si="30"/>
        <v>#DIV/0!</v>
      </c>
      <c r="CE30" s="82" t="e">
        <f t="shared" ca="1" si="31"/>
        <v>#DIV/0!</v>
      </c>
      <c r="CF30" s="82" t="e">
        <f t="shared" ca="1" si="32"/>
        <v>#DIV/0!</v>
      </c>
      <c r="CG30" s="83" t="e">
        <f t="shared" ca="1" si="58"/>
        <v>#DIV/0!</v>
      </c>
      <c r="CH30" s="234"/>
      <c r="CI30" s="57"/>
      <c r="CJ30" s="83" t="e">
        <f t="shared" ca="1" si="33"/>
        <v>#DIV/0!</v>
      </c>
      <c r="CK30" s="83" t="e">
        <f t="shared" ca="1" si="34"/>
        <v>#DIV/0!</v>
      </c>
      <c r="CL30" s="83" t="e">
        <f t="shared" ca="1" si="35"/>
        <v>#DIV/0!</v>
      </c>
      <c r="CM30" s="83" t="e">
        <f t="shared" ca="1" si="36"/>
        <v>#DIV/0!</v>
      </c>
      <c r="CN30" s="83" t="e">
        <f t="shared" ca="1" si="37"/>
        <v>#DIV/0!</v>
      </c>
      <c r="CO30" s="83" t="e">
        <f t="shared" ca="1" si="59"/>
        <v>#DIV/0!</v>
      </c>
      <c r="CP30" s="49"/>
      <c r="CQ30" s="52" t="str">
        <f t="shared" ca="1" si="38"/>
        <v>201712</v>
      </c>
      <c r="CR30" s="52">
        <f ca="1">MATCH('Mätvärden referensår'!CQ30,Normalår!$R$5:$R$76,0)-1</f>
        <v>35</v>
      </c>
      <c r="CS30" s="80">
        <f ca="1">OFFSET(Normalår!$S$5,CR30,0)</f>
        <v>0.9943389713496722</v>
      </c>
      <c r="CT30" s="234"/>
      <c r="CU30" s="82" t="e">
        <f t="shared" ca="1" si="60"/>
        <v>#DIV/0!</v>
      </c>
      <c r="CV30" s="82" t="e">
        <f t="shared" ca="1" si="61"/>
        <v>#DIV/0!</v>
      </c>
      <c r="CW30" s="82" t="e">
        <f t="shared" ca="1" si="62"/>
        <v>#DIV/0!</v>
      </c>
      <c r="CX30" s="82" t="e">
        <f t="shared" ca="1" si="63"/>
        <v>#DIV/0!</v>
      </c>
      <c r="CY30" s="82" t="e">
        <f ca="1">CN30*CS30</f>
        <v>#DIV/0!</v>
      </c>
      <c r="CZ30" s="83" t="e">
        <f t="shared" ca="1" si="65"/>
        <v>#DIV/0!</v>
      </c>
      <c r="DA30" s="234"/>
      <c r="DB30" s="81"/>
      <c r="DC30" s="234"/>
      <c r="DD30" s="83" t="e">
        <f t="shared" ca="1" si="66"/>
        <v>#DIV/0!</v>
      </c>
      <c r="DE30" s="83" t="e">
        <f t="shared" ca="1" si="66"/>
        <v>#DIV/0!</v>
      </c>
      <c r="DF30" s="83" t="e">
        <f t="shared" ca="1" si="66"/>
        <v>#DIV/0!</v>
      </c>
      <c r="DG30" s="83" t="e">
        <f t="shared" ca="1" si="66"/>
        <v>#DIV/0!</v>
      </c>
      <c r="DH30" s="83" t="e">
        <f t="shared" ca="1" si="66"/>
        <v>#DIV/0!</v>
      </c>
      <c r="DI30" s="83" t="e">
        <f t="shared" ca="1" si="67"/>
        <v>#DIV/0!</v>
      </c>
      <c r="DJ30" s="234"/>
      <c r="DK30" s="234"/>
      <c r="DL30" s="234"/>
      <c r="DM30" s="83" t="e">
        <f t="shared" ca="1" si="39"/>
        <v>#DIV/0!</v>
      </c>
      <c r="DN30" s="83" t="e">
        <f t="shared" ca="1" si="39"/>
        <v>#DIV/0!</v>
      </c>
      <c r="DO30" s="83" t="e">
        <f t="shared" ca="1" si="39"/>
        <v>#DIV/0!</v>
      </c>
      <c r="DP30" s="83" t="e">
        <f t="shared" ca="1" si="39"/>
        <v>#DIV/0!</v>
      </c>
      <c r="DQ30" s="83" t="e">
        <f t="shared" ca="1" si="39"/>
        <v>#DIV/0!</v>
      </c>
      <c r="DR30" s="83" t="e">
        <f t="shared" ca="1" si="68"/>
        <v>#DIV/0!</v>
      </c>
      <c r="DS30" s="234"/>
      <c r="DT30" s="234"/>
    </row>
    <row r="31" spans="1:156" s="231" customFormat="1" ht="16.5" customHeight="1" thickTop="1" x14ac:dyDescent="0.25">
      <c r="A31" s="232"/>
      <c r="B31" s="250"/>
      <c r="E31" s="232"/>
      <c r="F31" s="232"/>
      <c r="G31" s="37"/>
      <c r="H31" s="37"/>
      <c r="I31" s="84">
        <f>SUM(I19:I30)</f>
        <v>0</v>
      </c>
      <c r="J31" s="84">
        <f>SUM(J19:J30)</f>
        <v>0</v>
      </c>
      <c r="K31" s="37"/>
      <c r="L31" s="84">
        <f>SUM(L19:L30)</f>
        <v>0</v>
      </c>
      <c r="M31" s="84">
        <f>SUM(M19:M30)</f>
        <v>0</v>
      </c>
      <c r="N31" s="232"/>
      <c r="O31" s="84">
        <f>SUM(O19:O30)</f>
        <v>0</v>
      </c>
      <c r="P31" s="84">
        <f>SUM(P19:P30)</f>
        <v>0</v>
      </c>
      <c r="Q31" s="232"/>
      <c r="R31" s="232"/>
      <c r="S31" s="232"/>
      <c r="T31" s="232"/>
      <c r="U31" s="232"/>
      <c r="V31" s="232"/>
      <c r="W31" s="232"/>
      <c r="X31" s="236" t="s">
        <v>1296</v>
      </c>
      <c r="Y31" s="256">
        <f t="shared" ref="Y31:AD31" si="70">SUM(Y19:Y30)</f>
        <v>0</v>
      </c>
      <c r="Z31" s="256">
        <f t="shared" si="70"/>
        <v>0</v>
      </c>
      <c r="AA31" s="257">
        <f t="shared" si="70"/>
        <v>0</v>
      </c>
      <c r="AB31" s="257">
        <f t="shared" si="70"/>
        <v>0</v>
      </c>
      <c r="AC31" s="257">
        <f t="shared" si="70"/>
        <v>0</v>
      </c>
      <c r="AD31" s="256">
        <f t="shared" si="70"/>
        <v>0</v>
      </c>
      <c r="AE31" s="361"/>
      <c r="AF31" s="236" t="s">
        <v>1296</v>
      </c>
      <c r="AG31" s="256">
        <f t="shared" ref="AG31:AL31" si="71">SUM(AG19:AG30)</f>
        <v>0</v>
      </c>
      <c r="AH31" s="256">
        <f t="shared" si="71"/>
        <v>0</v>
      </c>
      <c r="AI31" s="257">
        <f t="shared" si="71"/>
        <v>0</v>
      </c>
      <c r="AJ31" s="257">
        <f t="shared" si="71"/>
        <v>0</v>
      </c>
      <c r="AK31" s="257">
        <f t="shared" si="71"/>
        <v>0</v>
      </c>
      <c r="AL31" s="256">
        <f t="shared" si="71"/>
        <v>0</v>
      </c>
      <c r="AM31" s="188"/>
      <c r="AN31" s="256">
        <f t="shared" ref="AN31:AU31" si="72">SUM(AN19:AN30)</f>
        <v>0</v>
      </c>
      <c r="AO31" s="256">
        <f t="shared" si="72"/>
        <v>0</v>
      </c>
      <c r="AP31" s="256">
        <f t="shared" si="72"/>
        <v>0</v>
      </c>
      <c r="AQ31" s="256">
        <f t="shared" si="72"/>
        <v>0</v>
      </c>
      <c r="AR31" s="256">
        <f t="shared" si="72"/>
        <v>0</v>
      </c>
      <c r="AS31" s="256">
        <f t="shared" si="72"/>
        <v>0</v>
      </c>
      <c r="AT31" s="256">
        <f t="shared" si="72"/>
        <v>0</v>
      </c>
      <c r="AU31" s="256">
        <f t="shared" si="72"/>
        <v>0</v>
      </c>
      <c r="AV31" s="233"/>
      <c r="AW31" s="256">
        <f>SUM(AW19:AW30)</f>
        <v>0</v>
      </c>
      <c r="AX31" s="233"/>
      <c r="AY31" s="41" t="s">
        <v>1296</v>
      </c>
      <c r="AZ31" s="85">
        <f t="shared" ref="AZ31:BE31" si="73">SUM(AZ19:AZ30)</f>
        <v>0</v>
      </c>
      <c r="BA31" s="85">
        <f t="shared" si="73"/>
        <v>0</v>
      </c>
      <c r="BB31" s="85">
        <f t="shared" si="73"/>
        <v>0</v>
      </c>
      <c r="BC31" s="85">
        <f t="shared" si="73"/>
        <v>0</v>
      </c>
      <c r="BD31" s="86">
        <f t="shared" si="73"/>
        <v>0</v>
      </c>
      <c r="BE31" s="85">
        <f t="shared" si="73"/>
        <v>0</v>
      </c>
      <c r="BF31" s="49"/>
      <c r="BG31" s="49"/>
      <c r="BH31" s="49"/>
      <c r="BI31" s="49"/>
      <c r="BJ31" s="49"/>
      <c r="BK31" s="76">
        <f ca="1">SUM(BK19:BK30)</f>
        <v>2880</v>
      </c>
      <c r="BL31" s="31"/>
      <c r="BM31" s="41" t="s">
        <v>1296</v>
      </c>
      <c r="BN31" s="87" t="e">
        <f t="shared" ref="BN31:BS31" ca="1" si="74">SUM(BN19:BN30)</f>
        <v>#DIV/0!</v>
      </c>
      <c r="BO31" s="87" t="e">
        <f t="shared" ca="1" si="74"/>
        <v>#DIV/0!</v>
      </c>
      <c r="BP31" s="87" t="e">
        <f t="shared" ca="1" si="74"/>
        <v>#DIV/0!</v>
      </c>
      <c r="BQ31" s="86" t="e">
        <f t="shared" ca="1" si="74"/>
        <v>#DIV/0!</v>
      </c>
      <c r="BR31" s="86" t="e">
        <f t="shared" ca="1" si="74"/>
        <v>#DIV/0!</v>
      </c>
      <c r="BS31" s="87" t="e">
        <f t="shared" ca="1" si="74"/>
        <v>#DIV/0!</v>
      </c>
      <c r="BT31" s="88"/>
      <c r="BU31" s="88"/>
      <c r="BV31" s="88"/>
      <c r="BW31" s="88"/>
      <c r="BX31" s="88"/>
      <c r="BY31" s="88"/>
      <c r="BZ31" s="31"/>
      <c r="CA31" s="41" t="s">
        <v>1296</v>
      </c>
      <c r="CB31" s="87" t="e">
        <f t="shared" ref="CB31:CG31" ca="1" si="75">SUM(CB19:CB30)</f>
        <v>#DIV/0!</v>
      </c>
      <c r="CC31" s="87" t="e">
        <f t="shared" ca="1" si="75"/>
        <v>#DIV/0!</v>
      </c>
      <c r="CD31" s="87" t="e">
        <f t="shared" ca="1" si="75"/>
        <v>#DIV/0!</v>
      </c>
      <c r="CE31" s="87" t="e">
        <f t="shared" ca="1" si="75"/>
        <v>#DIV/0!</v>
      </c>
      <c r="CF31" s="87" t="e">
        <f t="shared" ca="1" si="75"/>
        <v>#DIV/0!</v>
      </c>
      <c r="CG31" s="87" t="e">
        <f t="shared" ca="1" si="75"/>
        <v>#DIV/0!</v>
      </c>
      <c r="CH31" s="234"/>
      <c r="CI31" s="41" t="s">
        <v>1296</v>
      </c>
      <c r="CJ31" s="85" t="e">
        <f t="shared" ref="CJ31:CO31" ca="1" si="76">SUM(CJ19:CJ30)</f>
        <v>#DIV/0!</v>
      </c>
      <c r="CK31" s="85" t="e">
        <f t="shared" ca="1" si="76"/>
        <v>#DIV/0!</v>
      </c>
      <c r="CL31" s="85" t="e">
        <f t="shared" ca="1" si="76"/>
        <v>#DIV/0!</v>
      </c>
      <c r="CM31" s="85" t="e">
        <f t="shared" ca="1" si="76"/>
        <v>#DIV/0!</v>
      </c>
      <c r="CN31" s="85" t="e">
        <f t="shared" ca="1" si="76"/>
        <v>#DIV/0!</v>
      </c>
      <c r="CO31" s="85" t="e">
        <f t="shared" ca="1" si="76"/>
        <v>#DIV/0!</v>
      </c>
      <c r="CP31" s="49"/>
      <c r="CQ31" s="49"/>
      <c r="CR31" s="49"/>
      <c r="CS31" s="49"/>
      <c r="CT31" s="41" t="s">
        <v>1296</v>
      </c>
      <c r="CU31" s="85" t="e">
        <f t="shared" ref="CU31:CZ31" ca="1" si="77">SUM(CU19:CU30)</f>
        <v>#DIV/0!</v>
      </c>
      <c r="CV31" s="85" t="e">
        <f t="shared" ca="1" si="77"/>
        <v>#DIV/0!</v>
      </c>
      <c r="CW31" s="85" t="e">
        <f t="shared" ca="1" si="77"/>
        <v>#DIV/0!</v>
      </c>
      <c r="CX31" s="85" t="e">
        <f t="shared" ca="1" si="77"/>
        <v>#DIV/0!</v>
      </c>
      <c r="CY31" s="85" t="e">
        <f t="shared" ca="1" si="77"/>
        <v>#DIV/0!</v>
      </c>
      <c r="CZ31" s="85" t="e">
        <f t="shared" ca="1" si="77"/>
        <v>#DIV/0!</v>
      </c>
      <c r="DA31" s="234"/>
      <c r="DB31" s="81"/>
      <c r="DC31" s="41" t="s">
        <v>1296</v>
      </c>
      <c r="DD31" s="89" t="e">
        <f t="shared" ref="DD31:DH31" ca="1" si="78">SUM(DD19:DD30)</f>
        <v>#DIV/0!</v>
      </c>
      <c r="DE31" s="89" t="e">
        <f t="shared" ca="1" si="78"/>
        <v>#DIV/0!</v>
      </c>
      <c r="DF31" s="89" t="e">
        <f t="shared" ca="1" si="78"/>
        <v>#DIV/0!</v>
      </c>
      <c r="DG31" s="89" t="e">
        <f t="shared" ca="1" si="78"/>
        <v>#DIV/0!</v>
      </c>
      <c r="DH31" s="89" t="e">
        <f t="shared" ca="1" si="78"/>
        <v>#DIV/0!</v>
      </c>
      <c r="DI31" s="89" t="e">
        <f ca="1">SUM(DI19:DI30)</f>
        <v>#DIV/0!</v>
      </c>
      <c r="DJ31" s="234"/>
      <c r="DK31" s="234"/>
      <c r="DL31" s="41" t="s">
        <v>1296</v>
      </c>
      <c r="DM31" s="89" t="e">
        <f ca="1">SUM(DM19:DM30)</f>
        <v>#DIV/0!</v>
      </c>
      <c r="DN31" s="89" t="e">
        <f t="shared" ref="DN31:DQ31" ca="1" si="79">SUM(DN19:DN30)</f>
        <v>#DIV/0!</v>
      </c>
      <c r="DO31" s="89" t="e">
        <f t="shared" ca="1" si="79"/>
        <v>#DIV/0!</v>
      </c>
      <c r="DP31" s="89" t="e">
        <f t="shared" ca="1" si="79"/>
        <v>#DIV/0!</v>
      </c>
      <c r="DQ31" s="89" t="e">
        <f t="shared" ca="1" si="79"/>
        <v>#DIV/0!</v>
      </c>
      <c r="DR31" s="89" t="e">
        <f ca="1">SUM(DR19:DR30)</f>
        <v>#DIV/0!</v>
      </c>
      <c r="DS31" s="234"/>
      <c r="DT31" s="234"/>
      <c r="EI31" s="253" t="str">
        <f>G41</f>
        <v>jan</v>
      </c>
    </row>
    <row r="32" spans="1:156" s="231" customFormat="1" ht="16.5" customHeight="1" x14ac:dyDescent="0.25">
      <c r="A32" s="232"/>
      <c r="B32" s="250"/>
      <c r="E32" s="232"/>
      <c r="F32" s="232"/>
      <c r="G32" s="37"/>
      <c r="H32" s="37"/>
      <c r="I32" s="84"/>
      <c r="J32" s="37"/>
      <c r="K32" s="37"/>
      <c r="L32" s="84"/>
      <c r="M32" s="232"/>
      <c r="N32" s="232"/>
      <c r="O32" s="84"/>
      <c r="P32" s="232"/>
      <c r="Q32" s="232"/>
      <c r="R32" s="232"/>
      <c r="S32" s="232"/>
      <c r="T32" s="232"/>
      <c r="U32" s="232"/>
      <c r="V32" s="232"/>
      <c r="W32" s="232"/>
      <c r="X32" s="236" t="s">
        <v>1377</v>
      </c>
      <c r="Y32" s="256">
        <f>IF($J$14=$Y$18,$I$31*$J$15,0)+IF($M$14=$Y$18,$L$31*$M$15,0)+IF($P$14=$Y$18,$O$31*$P$15,0)</f>
        <v>0</v>
      </c>
      <c r="Z32" s="256">
        <f>IF(OR($J$14="El-panna",$J$14="Värmepump"),$I$31*$J$15,0)+IF(OR($M$14="El-panna",$M$14="Värmepump"),$L$31*$M$15,0)+IF(OR($P$14="El-panna",$P$14="Värmepump"),$O$31*$P$15,0)</f>
        <v>0</v>
      </c>
      <c r="AA32" s="257">
        <f>IF(OR($J$14="Flispanna",$J$14="Pelletspanna",$J$14="Vedpanna"),$I$31*$J$15,0)+IF(OR($M$14="Flispanna",$M$14="Pelletspanna",$M$14="Vedpanna"),$L$31*$M$15,0)+IF(OR($P$14="Flispanna",$P$14="Pelletspanna",$P$14="Vedpanna"),$O$31*$P$15,0)</f>
        <v>0</v>
      </c>
      <c r="AB32" s="257">
        <f>IF($J$14="Gaspanna",$I$31*$J$15,0)+IF(M14="Gaspanna",$L$31*$M$15,0)+IF(P14="Gaspanna",$O$31*$P$15,0)</f>
        <v>0</v>
      </c>
      <c r="AC32" s="257">
        <f>IF($J$14="Oljepanna",$I$31*$J$15,0)+IF($M$14="Oljepanna",$L$31*$M$15,0)+IF($P$14="Oljepanna",$O$31*$P$15,0)</f>
        <v>0</v>
      </c>
      <c r="AD32" s="256">
        <f>SUM(Y32:AC32)</f>
        <v>0</v>
      </c>
      <c r="AE32" s="361"/>
      <c r="AF32" s="236" t="s">
        <v>1377</v>
      </c>
      <c r="AG32" s="256">
        <f>Y32+AG78</f>
        <v>0</v>
      </c>
      <c r="AH32" s="256">
        <f t="shared" ref="AH32:AK32" si="80">Z32+AH78</f>
        <v>0</v>
      </c>
      <c r="AI32" s="256">
        <f t="shared" si="80"/>
        <v>0</v>
      </c>
      <c r="AJ32" s="256">
        <f t="shared" si="80"/>
        <v>0</v>
      </c>
      <c r="AK32" s="256">
        <f t="shared" si="80"/>
        <v>0</v>
      </c>
      <c r="AL32" s="256">
        <f>SUM(AG32:AK32)</f>
        <v>0</v>
      </c>
      <c r="AM32" s="273" t="s">
        <v>1312</v>
      </c>
      <c r="AN32" s="353">
        <f>IF(Y31&gt;0,AG32/AG31,0)</f>
        <v>0</v>
      </c>
      <c r="AO32" s="353">
        <f t="shared" ref="AO32:AR32" si="81">IF(Z31&gt;0,AH32/AH31,0)</f>
        <v>0</v>
      </c>
      <c r="AP32" s="353">
        <f t="shared" si="81"/>
        <v>0</v>
      </c>
      <c r="AQ32" s="353">
        <f t="shared" si="81"/>
        <v>0</v>
      </c>
      <c r="AR32" s="353">
        <f t="shared" si="81"/>
        <v>0</v>
      </c>
      <c r="AS32" s="247"/>
      <c r="AT32" s="247"/>
      <c r="AU32" s="233"/>
      <c r="AV32" s="233"/>
      <c r="AW32" s="247"/>
      <c r="AX32" s="233"/>
      <c r="AY32" s="49"/>
      <c r="AZ32" s="49"/>
      <c r="BA32" s="49"/>
      <c r="BB32" s="49"/>
      <c r="BC32" s="49"/>
      <c r="BD32" s="49"/>
      <c r="BE32" s="49"/>
      <c r="BF32" s="49"/>
      <c r="BG32" s="49"/>
      <c r="BH32" s="49"/>
      <c r="BI32" s="49"/>
      <c r="BJ32" s="49"/>
      <c r="BK32" s="49"/>
      <c r="BL32" s="234"/>
      <c r="BM32" s="41" t="s">
        <v>1108</v>
      </c>
      <c r="BN32" s="80" t="e">
        <f ca="1">IF($BS$31&gt;0,BN31/$BS$31,0)</f>
        <v>#DIV/0!</v>
      </c>
      <c r="BO32" s="80" t="e">
        <f t="shared" ref="BO32:BR32" ca="1" si="82">IF($BS$31&gt;0,BO31/$BS$31,0)</f>
        <v>#DIV/0!</v>
      </c>
      <c r="BP32" s="80" t="e">
        <f t="shared" ca="1" si="82"/>
        <v>#DIV/0!</v>
      </c>
      <c r="BQ32" s="80" t="e">
        <f t="shared" ca="1" si="82"/>
        <v>#DIV/0!</v>
      </c>
      <c r="BR32" s="80" t="e">
        <f t="shared" ca="1" si="82"/>
        <v>#DIV/0!</v>
      </c>
      <c r="BS32" s="234"/>
      <c r="BT32" s="234"/>
      <c r="BU32" s="234"/>
      <c r="BV32" s="234"/>
      <c r="BW32" s="234"/>
      <c r="BX32" s="234"/>
      <c r="BY32" s="234"/>
      <c r="BZ32" s="234"/>
      <c r="CA32" s="41" t="s">
        <v>1108</v>
      </c>
      <c r="CB32" s="80" t="e">
        <f ca="1">IF($CG$31&gt;0,CB31/$CG$31,0)</f>
        <v>#DIV/0!</v>
      </c>
      <c r="CC32" s="80" t="e">
        <f t="shared" ref="CC32:CF32" ca="1" si="83">IF($CG$31&gt;0,CC31/$CG$31,0)</f>
        <v>#DIV/0!</v>
      </c>
      <c r="CD32" s="80" t="e">
        <f t="shared" ca="1" si="83"/>
        <v>#DIV/0!</v>
      </c>
      <c r="CE32" s="80" t="e">
        <f t="shared" ca="1" si="83"/>
        <v>#DIV/0!</v>
      </c>
      <c r="CF32" s="80" t="e">
        <f t="shared" ca="1" si="83"/>
        <v>#DIV/0!</v>
      </c>
      <c r="CG32" s="234"/>
      <c r="CH32" s="90" t="s">
        <v>1184</v>
      </c>
      <c r="CI32" s="41" t="s">
        <v>1108</v>
      </c>
      <c r="CJ32" s="80" t="e">
        <f ca="1">IF($CO$31&gt;0,CJ31/$CO$31,0)</f>
        <v>#DIV/0!</v>
      </c>
      <c r="CK32" s="80" t="e">
        <f t="shared" ref="CK32:CN32" ca="1" si="84">IF($CO$31&gt;0,CK31/$CO$31,0)</f>
        <v>#DIV/0!</v>
      </c>
      <c r="CL32" s="80" t="e">
        <f t="shared" ca="1" si="84"/>
        <v>#DIV/0!</v>
      </c>
      <c r="CM32" s="80" t="e">
        <f t="shared" ca="1" si="84"/>
        <v>#DIV/0!</v>
      </c>
      <c r="CN32" s="80" t="e">
        <f t="shared" ca="1" si="84"/>
        <v>#DIV/0!</v>
      </c>
      <c r="CO32" s="234"/>
      <c r="CP32" s="90" t="s">
        <v>1184</v>
      </c>
      <c r="CQ32" s="49"/>
      <c r="CR32" s="49"/>
      <c r="CS32" s="49"/>
      <c r="CT32" s="41" t="s">
        <v>1108</v>
      </c>
      <c r="CU32" s="80" t="e">
        <f ca="1">IF($CZ$31&gt;0,CU31/$CZ$31,0)</f>
        <v>#DIV/0!</v>
      </c>
      <c r="CV32" s="80" t="e">
        <f t="shared" ref="CV32:CX32" ca="1" si="85">IF($CZ$31&gt;0,CV31/$CZ$31,0)</f>
        <v>#DIV/0!</v>
      </c>
      <c r="CW32" s="80" t="e">
        <f t="shared" ca="1" si="85"/>
        <v>#DIV/0!</v>
      </c>
      <c r="CX32" s="80" t="e">
        <f t="shared" ca="1" si="85"/>
        <v>#DIV/0!</v>
      </c>
      <c r="CY32" s="80" t="e">
        <f ca="1">IF($CZ$31&gt;0,CY31/$CZ$31,0)</f>
        <v>#DIV/0!</v>
      </c>
      <c r="CZ32" s="234"/>
      <c r="DA32" s="234"/>
      <c r="DB32" s="39"/>
      <c r="DC32" s="41" t="s">
        <v>1377</v>
      </c>
      <c r="DD32" s="47" t="e">
        <f ca="1">IF(DD31&gt;0,DD31*(Y32/Y31),0)</f>
        <v>#DIV/0!</v>
      </c>
      <c r="DE32" s="47" t="e">
        <f ca="1">IF(DE31&gt;0,DE31*(Z32/Z31),0)</f>
        <v>#DIV/0!</v>
      </c>
      <c r="DF32" s="47" t="e">
        <f ca="1">IF(DF31&gt;0,DF31*(AA32/AA31),0)</f>
        <v>#DIV/0!</v>
      </c>
      <c r="DG32" s="47" t="e">
        <f ca="1">IF(DG31&gt;0,DG31*(AB32/AB31),0)</f>
        <v>#DIV/0!</v>
      </c>
      <c r="DH32" s="47" t="e">
        <f ca="1">IF(DH31&gt;0,DH31*(AC32/AC31),0)</f>
        <v>#DIV/0!</v>
      </c>
      <c r="DI32" s="47" t="e">
        <f ca="1">SUM(DD32:DH32)</f>
        <v>#DIV/0!</v>
      </c>
      <c r="DJ32" s="234"/>
      <c r="DK32" s="234"/>
      <c r="DL32" s="41" t="s">
        <v>1377</v>
      </c>
      <c r="DM32" s="47" t="e">
        <f ca="1">IF(DM31&gt;0,DM31*(Y32/Y31),0)</f>
        <v>#DIV/0!</v>
      </c>
      <c r="DN32" s="47" t="e">
        <f ca="1">IF(DN31&gt;0,DN31*(Z32/Z31),0)</f>
        <v>#DIV/0!</v>
      </c>
      <c r="DO32" s="47" t="e">
        <f ca="1">IF(DO31&gt;0,DO31*(AA32/AA31),0)</f>
        <v>#DIV/0!</v>
      </c>
      <c r="DP32" s="47" t="e">
        <f ca="1">IF(DP31&gt;0,DP31*(AB32/AB31),0)</f>
        <v>#DIV/0!</v>
      </c>
      <c r="DQ32" s="47" t="e">
        <f ca="1">IF(DQ31&gt;0,DQ31*(AC32/AC31),0)</f>
        <v>#DIV/0!</v>
      </c>
      <c r="DR32" s="47" t="e">
        <f ca="1">SUM(DM32:DQ32)</f>
        <v>#DIV/0!</v>
      </c>
      <c r="DS32" s="234"/>
      <c r="DT32" s="234"/>
      <c r="EI32" s="287">
        <f>MATCH(EI31,EI3:EI14,0)</f>
        <v>1</v>
      </c>
    </row>
    <row r="33" spans="1:139" s="231" customFormat="1" ht="16.5" customHeight="1" x14ac:dyDescent="0.25">
      <c r="A33" s="232"/>
      <c r="B33" s="250"/>
      <c r="C33" s="250"/>
      <c r="D33" s="250"/>
      <c r="E33" s="232"/>
      <c r="F33" s="232"/>
      <c r="G33" s="37"/>
      <c r="H33" s="37"/>
      <c r="I33" s="84"/>
      <c r="J33" s="37"/>
      <c r="K33" s="37"/>
      <c r="L33" s="84"/>
      <c r="M33" s="232"/>
      <c r="N33" s="232"/>
      <c r="O33" s="84"/>
      <c r="P33" s="232"/>
      <c r="Q33" s="232"/>
      <c r="R33" s="232"/>
      <c r="S33" s="232"/>
      <c r="T33" s="232"/>
      <c r="U33" s="232"/>
      <c r="V33" s="232"/>
      <c r="W33" s="232"/>
      <c r="X33" s="273" t="s">
        <v>1195</v>
      </c>
      <c r="Y33" s="258">
        <f>IF($AD$32&gt;0,Y32/$AD$32,0)</f>
        <v>0</v>
      </c>
      <c r="Z33" s="258">
        <f t="shared" ref="Z33:AC33" si="86">IF($AD$32&gt;0,Z32/$AD$32,0)</f>
        <v>0</v>
      </c>
      <c r="AA33" s="258">
        <f t="shared" si="86"/>
        <v>0</v>
      </c>
      <c r="AB33" s="258">
        <f t="shared" si="86"/>
        <v>0</v>
      </c>
      <c r="AC33" s="258">
        <f t="shared" si="86"/>
        <v>0</v>
      </c>
      <c r="AD33" s="233"/>
      <c r="AE33" s="361"/>
      <c r="AF33" s="273" t="s">
        <v>1195</v>
      </c>
      <c r="AG33" s="258">
        <f>IF($AL$32&gt;0,AG32/$AL$32,0)</f>
        <v>0</v>
      </c>
      <c r="AH33" s="258">
        <f t="shared" ref="AH33:AK33" si="87">IF($AL$32&gt;0,AH32/$AL$32,0)</f>
        <v>0</v>
      </c>
      <c r="AI33" s="258">
        <f t="shared" si="87"/>
        <v>0</v>
      </c>
      <c r="AJ33" s="258">
        <f t="shared" si="87"/>
        <v>0</v>
      </c>
      <c r="AK33" s="258">
        <f t="shared" si="87"/>
        <v>0</v>
      </c>
      <c r="AL33" s="233"/>
      <c r="AM33" s="273" t="s">
        <v>1195</v>
      </c>
      <c r="AN33" s="190">
        <f>IF($AS$31&gt;0,AN31/$AS$31,0)</f>
        <v>0</v>
      </c>
      <c r="AO33" s="190">
        <f t="shared" ref="AO33:AR33" si="88">IF($AS$31&gt;0,AO31/$AS$31,0)</f>
        <v>0</v>
      </c>
      <c r="AP33" s="190">
        <f t="shared" si="88"/>
        <v>0</v>
      </c>
      <c r="AQ33" s="190">
        <f t="shared" si="88"/>
        <v>0</v>
      </c>
      <c r="AR33" s="190">
        <f t="shared" si="88"/>
        <v>0</v>
      </c>
      <c r="AS33" s="247"/>
      <c r="AT33" s="247"/>
      <c r="AU33" s="233"/>
      <c r="AV33" s="247"/>
      <c r="AW33" s="247"/>
      <c r="AX33" s="247"/>
      <c r="AY33" s="49"/>
      <c r="AZ33" s="49"/>
      <c r="BA33" s="49"/>
      <c r="BB33" s="49"/>
      <c r="BC33" s="49"/>
      <c r="BD33" s="49"/>
      <c r="BE33" s="49"/>
      <c r="BF33" s="49"/>
      <c r="BG33" s="49"/>
      <c r="BH33" s="49"/>
      <c r="BI33" s="49"/>
      <c r="BJ33" s="49"/>
      <c r="BK33" s="49"/>
      <c r="BL33" s="234"/>
      <c r="BM33" s="234"/>
      <c r="BN33" s="234"/>
      <c r="BO33" s="234"/>
      <c r="BP33" s="234"/>
      <c r="BQ33" s="234"/>
      <c r="BR33" s="234"/>
      <c r="BS33" s="234"/>
      <c r="BT33" s="234"/>
      <c r="BU33" s="234"/>
      <c r="BV33" s="234"/>
      <c r="BW33" s="234"/>
      <c r="BX33" s="234"/>
      <c r="BY33" s="234"/>
      <c r="BZ33" s="234"/>
      <c r="CA33" s="41" t="s">
        <v>1183</v>
      </c>
      <c r="CB33" s="44" t="e">
        <f ca="1">CB31-CB15</f>
        <v>#DIV/0!</v>
      </c>
      <c r="CC33" s="44" t="e">
        <f ca="1">CC31-CC15</f>
        <v>#DIV/0!</v>
      </c>
      <c r="CD33" s="44" t="e">
        <f ca="1">CD31-CD15</f>
        <v>#DIV/0!</v>
      </c>
      <c r="CE33" s="44" t="e">
        <f ca="1">CE31-CE15</f>
        <v>#DIV/0!</v>
      </c>
      <c r="CF33" s="44" t="e">
        <f ca="1">CF31-CF15</f>
        <v>#DIV/0!</v>
      </c>
      <c r="CG33" s="44" t="e">
        <f ca="1">CG31-CB15-CC15</f>
        <v>#DIV/0!</v>
      </c>
      <c r="CH33" s="184" t="e">
        <f ca="1">CG31-CG33</f>
        <v>#DIV/0!</v>
      </c>
      <c r="CI33" s="41" t="s">
        <v>1185</v>
      </c>
      <c r="CJ33" s="44" t="e">
        <f ca="1">CJ31-CJ15</f>
        <v>#DIV/0!</v>
      </c>
      <c r="CK33" s="44" t="e">
        <f ca="1">CK31-CK15</f>
        <v>#DIV/0!</v>
      </c>
      <c r="CL33" s="44" t="e">
        <f ca="1">CL31-CL15</f>
        <v>#DIV/0!</v>
      </c>
      <c r="CM33" s="44" t="e">
        <f ca="1">CM31-CM15</f>
        <v>#DIV/0!</v>
      </c>
      <c r="CN33" s="44" t="e">
        <f ca="1">CN31-CN15</f>
        <v>#DIV/0!</v>
      </c>
      <c r="CO33" s="44" t="e">
        <f ca="1">CO31-CJ15-CK15</f>
        <v>#DIV/0!</v>
      </c>
      <c r="CP33" s="184" t="e">
        <f ca="1">CO31-CO33</f>
        <v>#DIV/0!</v>
      </c>
      <c r="CQ33" s="234"/>
      <c r="CR33" s="234"/>
      <c r="CS33" s="234"/>
      <c r="CT33" s="234"/>
      <c r="CU33" s="234"/>
      <c r="CV33" s="234"/>
      <c r="CW33" s="234"/>
      <c r="CX33" s="234"/>
      <c r="CY33" s="234"/>
      <c r="CZ33" s="234"/>
      <c r="DA33" s="234"/>
      <c r="DB33" s="39"/>
      <c r="DC33" s="57" t="s">
        <v>1447</v>
      </c>
      <c r="DD33" s="47" t="e">
        <f ca="1">DD32+AG78</f>
        <v>#DIV/0!</v>
      </c>
      <c r="DE33" s="47" t="e">
        <f ca="1">DE32+AH78</f>
        <v>#DIV/0!</v>
      </c>
      <c r="DF33" s="47" t="e">
        <f ca="1">DF32+AI78</f>
        <v>#DIV/0!</v>
      </c>
      <c r="DG33" s="47" t="e">
        <f ca="1">DG32+AJ78</f>
        <v>#DIV/0!</v>
      </c>
      <c r="DH33" s="47" t="e">
        <f ca="1">DH32+AK78</f>
        <v>#DIV/0!</v>
      </c>
      <c r="DI33" s="47" t="e">
        <f ca="1">SUM(DD33:DH33)</f>
        <v>#DIV/0!</v>
      </c>
      <c r="DJ33" s="234"/>
      <c r="DK33" s="234"/>
      <c r="DL33" s="57" t="s">
        <v>1447</v>
      </c>
      <c r="DM33" s="47" t="e">
        <f ca="1">DD32+AG78</f>
        <v>#DIV/0!</v>
      </c>
      <c r="DN33" s="47" t="e">
        <f t="shared" ref="DN33:DQ33" ca="1" si="89">DE32+AH78</f>
        <v>#DIV/0!</v>
      </c>
      <c r="DO33" s="47" t="e">
        <f t="shared" ca="1" si="89"/>
        <v>#DIV/0!</v>
      </c>
      <c r="DP33" s="47" t="e">
        <f t="shared" ca="1" si="89"/>
        <v>#DIV/0!</v>
      </c>
      <c r="DQ33" s="47" t="e">
        <f t="shared" ca="1" si="89"/>
        <v>#DIV/0!</v>
      </c>
      <c r="DR33" s="47" t="e">
        <f ca="1">SUM(DM33:DQ33)</f>
        <v>#DIV/0!</v>
      </c>
      <c r="DS33" s="234"/>
      <c r="DT33" s="234"/>
    </row>
    <row r="34" spans="1:139" s="231" customFormat="1" ht="16.5" customHeight="1" x14ac:dyDescent="0.25">
      <c r="A34" s="232"/>
      <c r="B34" s="250"/>
      <c r="C34" s="250"/>
      <c r="D34" s="250"/>
      <c r="E34" s="232"/>
      <c r="F34" s="232"/>
      <c r="G34" s="37"/>
      <c r="H34" s="37"/>
      <c r="I34" s="84"/>
      <c r="J34" s="37"/>
      <c r="K34" s="37"/>
      <c r="L34" s="84"/>
      <c r="M34" s="232"/>
      <c r="N34" s="232"/>
      <c r="O34" s="84"/>
      <c r="P34" s="232"/>
      <c r="Q34" s="232"/>
      <c r="R34" s="232"/>
      <c r="S34" s="232"/>
      <c r="T34" s="232"/>
      <c r="U34" s="232"/>
      <c r="V34" s="232"/>
      <c r="W34" s="232"/>
      <c r="X34" s="236" t="s">
        <v>1378</v>
      </c>
      <c r="Y34" s="248">
        <f>(Y32-$AD$142*Y33)</f>
        <v>0</v>
      </c>
      <c r="Z34" s="248">
        <f>(Z32-$AD$142*Z33)</f>
        <v>0</v>
      </c>
      <c r="AA34" s="248">
        <f>(AA32-$AD$142*AA33)</f>
        <v>0</v>
      </c>
      <c r="AB34" s="248">
        <f>(AB32-$AD$142*AB33)</f>
        <v>0</v>
      </c>
      <c r="AC34" s="248">
        <f>(AC32-$AD$142*AC33)</f>
        <v>0</v>
      </c>
      <c r="AD34" s="248">
        <f>SUM(Y34:AC34)</f>
        <v>0</v>
      </c>
      <c r="AE34" s="361"/>
      <c r="AF34" s="236" t="s">
        <v>1378</v>
      </c>
      <c r="AG34" s="248">
        <f>(AG32-$AD$142*AG33)</f>
        <v>0</v>
      </c>
      <c r="AH34" s="248">
        <f t="shared" ref="AH34:AK34" si="90">(AH32-$AD$142*AH33)</f>
        <v>0</v>
      </c>
      <c r="AI34" s="248">
        <f t="shared" si="90"/>
        <v>0</v>
      </c>
      <c r="AJ34" s="248">
        <f t="shared" si="90"/>
        <v>0</v>
      </c>
      <c r="AK34" s="248">
        <f t="shared" si="90"/>
        <v>0</v>
      </c>
      <c r="AL34" s="248">
        <f>SUM(AG34:AK34)</f>
        <v>0</v>
      </c>
      <c r="AM34" s="247"/>
      <c r="AN34" s="233"/>
      <c r="AO34" s="247"/>
      <c r="AP34" s="247"/>
      <c r="AQ34" s="247"/>
      <c r="AR34" s="247"/>
      <c r="AS34" s="247"/>
      <c r="AT34" s="247"/>
      <c r="AU34" s="233"/>
      <c r="AV34" s="247"/>
      <c r="AW34" s="247"/>
      <c r="AX34" s="247"/>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41" t="s">
        <v>1195</v>
      </c>
      <c r="DD34" s="80" t="e">
        <f ca="1">IF($DI$33&gt;0,DD33/$DI$33,0)</f>
        <v>#DIV/0!</v>
      </c>
      <c r="DE34" s="80" t="e">
        <f ca="1">IF($DI$33&gt;0,DE33/$DI$33,0)</f>
        <v>#DIV/0!</v>
      </c>
      <c r="DF34" s="80" t="e">
        <f t="shared" ref="DF34:DG34" ca="1" si="91">IF($DI$33&gt;0,DF33/$DI$33,0)</f>
        <v>#DIV/0!</v>
      </c>
      <c r="DG34" s="80" t="e">
        <f t="shared" ca="1" si="91"/>
        <v>#DIV/0!</v>
      </c>
      <c r="DH34" s="80" t="e">
        <f ca="1">IF($DI$33&gt;0,DH33/$DI$33,0)</f>
        <v>#DIV/0!</v>
      </c>
      <c r="DI34" s="185"/>
      <c r="DJ34" s="234"/>
      <c r="DK34" s="234"/>
      <c r="DL34" s="41" t="s">
        <v>1195</v>
      </c>
      <c r="DM34" s="186" t="e">
        <f ca="1">IF(DR33&gt;0,DM33/$DR$33,0)</f>
        <v>#DIV/0!</v>
      </c>
      <c r="DN34" s="186">
        <f t="shared" ref="DN34:DQ34" si="92">IF(DS33&gt;0,DN33/$DR$33,0)</f>
        <v>0</v>
      </c>
      <c r="DO34" s="186">
        <f t="shared" si="92"/>
        <v>0</v>
      </c>
      <c r="DP34" s="186">
        <f t="shared" si="92"/>
        <v>0</v>
      </c>
      <c r="DQ34" s="186">
        <f t="shared" si="92"/>
        <v>0</v>
      </c>
      <c r="DR34" s="185"/>
      <c r="DS34" s="234"/>
      <c r="DT34" s="234"/>
    </row>
    <row r="35" spans="1:139" s="231" customFormat="1" ht="18" customHeight="1" x14ac:dyDescent="0.25">
      <c r="A35" s="232"/>
      <c r="B35" s="232"/>
      <c r="C35" s="232"/>
      <c r="D35" s="232"/>
      <c r="E35" s="232"/>
      <c r="F35" s="250"/>
      <c r="G35" s="37"/>
      <c r="H35" s="37"/>
      <c r="I35" s="37"/>
      <c r="J35" s="37"/>
      <c r="K35" s="37"/>
      <c r="L35" s="37"/>
      <c r="M35" s="232"/>
      <c r="N35" s="232"/>
      <c r="O35" s="232"/>
      <c r="P35" s="232"/>
      <c r="Q35" s="232"/>
      <c r="R35" s="232"/>
      <c r="S35" s="232"/>
      <c r="T35" s="232"/>
      <c r="U35" s="232"/>
      <c r="V35" s="232"/>
      <c r="W35" s="232"/>
      <c r="X35" s="236" t="s">
        <v>1379</v>
      </c>
      <c r="Y35" s="248">
        <f>(Y34-($AF$142+$AH$142)*Y33)</f>
        <v>0</v>
      </c>
      <c r="Z35" s="248">
        <f>(Z34-($AF$142+$AH$142)*Z33)</f>
        <v>0</v>
      </c>
      <c r="AA35" s="248">
        <f>(AA34-($AF$142+$AH$142)*AA33)</f>
        <v>0</v>
      </c>
      <c r="AB35" s="248">
        <f>(AB34-($AF$142+$AH$142)*AB33)</f>
        <v>0</v>
      </c>
      <c r="AC35" s="248">
        <f>(AC34-($AF$142+$AH$142)*AC33)</f>
        <v>0</v>
      </c>
      <c r="AD35" s="256">
        <f>SUM(Y35:AC35)</f>
        <v>0</v>
      </c>
      <c r="AE35" s="361"/>
      <c r="AF35" s="236" t="s">
        <v>1379</v>
      </c>
      <c r="AG35" s="248">
        <f>(AG34-($AF$142+$AH$142)*AG33)</f>
        <v>0</v>
      </c>
      <c r="AH35" s="248">
        <f>(AH34-($AF$142+$AH$142)*AH33)</f>
        <v>0</v>
      </c>
      <c r="AI35" s="248">
        <f t="shared" ref="AI35:AK35" si="93">(AI34-($AF$142+$AH$142)*AI33)</f>
        <v>0</v>
      </c>
      <c r="AJ35" s="248">
        <f t="shared" si="93"/>
        <v>0</v>
      </c>
      <c r="AK35" s="248">
        <f t="shared" si="93"/>
        <v>0</v>
      </c>
      <c r="AL35" s="256">
        <f>SUM(AG35:AK35)</f>
        <v>0</v>
      </c>
      <c r="AM35" s="247"/>
      <c r="AN35" s="247"/>
      <c r="AO35" s="247"/>
      <c r="AP35" s="247"/>
      <c r="AQ35" s="247"/>
      <c r="AR35" s="247"/>
      <c r="AS35" s="247"/>
      <c r="AT35" s="247"/>
      <c r="AU35" s="247"/>
      <c r="AV35" s="247"/>
      <c r="AW35" s="247"/>
      <c r="AX35" s="247"/>
      <c r="AY35" s="234"/>
      <c r="AZ35" s="234"/>
      <c r="BA35" s="45"/>
      <c r="BB35" s="290" t="s">
        <v>1392</v>
      </c>
      <c r="BC35" s="234"/>
      <c r="BD35" s="234"/>
      <c r="BE35" s="234"/>
      <c r="BF35" s="234"/>
      <c r="BG35" s="234"/>
      <c r="BH35" s="234"/>
      <c r="BI35" s="290"/>
      <c r="BJ35" s="234"/>
      <c r="BK35" s="290" t="s">
        <v>1393</v>
      </c>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41" t="s">
        <v>1378</v>
      </c>
      <c r="DD35" s="47" t="e">
        <f ca="1">(DD33-$AD$142*DD34)</f>
        <v>#DIV/0!</v>
      </c>
      <c r="DE35" s="47" t="e">
        <f t="shared" ref="DE35:DH35" ca="1" si="94">(DE33-$AD$142*DE34)</f>
        <v>#DIV/0!</v>
      </c>
      <c r="DF35" s="47" t="e">
        <f t="shared" ca="1" si="94"/>
        <v>#DIV/0!</v>
      </c>
      <c r="DG35" s="47" t="e">
        <f t="shared" ca="1" si="94"/>
        <v>#DIV/0!</v>
      </c>
      <c r="DH35" s="47" t="e">
        <f t="shared" ca="1" si="94"/>
        <v>#DIV/0!</v>
      </c>
      <c r="DI35" s="47" t="e">
        <f ca="1">SUM(DD35:DH35)</f>
        <v>#DIV/0!</v>
      </c>
      <c r="DJ35" s="234"/>
      <c r="DK35" s="234"/>
      <c r="DL35" s="291" t="s">
        <v>1450</v>
      </c>
      <c r="DM35" s="47" t="e">
        <f ca="1">DM33</f>
        <v>#DIV/0!</v>
      </c>
      <c r="DN35" s="47" t="e">
        <f t="shared" ref="DN35:DQ35" ca="1" si="95">DN33</f>
        <v>#DIV/0!</v>
      </c>
      <c r="DO35" s="47" t="e">
        <f t="shared" ca="1" si="95"/>
        <v>#DIV/0!</v>
      </c>
      <c r="DP35" s="47" t="e">
        <f t="shared" ca="1" si="95"/>
        <v>#DIV/0!</v>
      </c>
      <c r="DQ35" s="47" t="e">
        <f t="shared" ca="1" si="95"/>
        <v>#DIV/0!</v>
      </c>
      <c r="DR35" s="47" t="e">
        <f t="shared" ref="DR35:DR37" ca="1" si="96">SUM(DM35:DQ35)</f>
        <v>#DIV/0!</v>
      </c>
      <c r="DS35" s="234"/>
      <c r="DT35" s="234"/>
      <c r="EI35" s="253" t="str">
        <f>G81</f>
        <v>jan</v>
      </c>
    </row>
    <row r="36" spans="1:139" s="231" customFormat="1" ht="15.75" customHeight="1" thickBot="1" x14ac:dyDescent="0.3">
      <c r="A36" s="232"/>
      <c r="B36" s="398">
        <v>2</v>
      </c>
      <c r="C36" s="399" t="s">
        <v>1258</v>
      </c>
      <c r="D36" s="400"/>
      <c r="E36" s="400"/>
      <c r="F36" s="385"/>
      <c r="G36" s="385"/>
      <c r="H36" s="385"/>
      <c r="I36" s="385"/>
      <c r="J36" s="384"/>
      <c r="K36" s="384"/>
      <c r="L36" s="384"/>
      <c r="M36" s="385"/>
      <c r="N36" s="385"/>
      <c r="O36" s="385"/>
      <c r="P36" s="385"/>
      <c r="Q36" s="385"/>
      <c r="R36" s="385"/>
      <c r="S36" s="385"/>
      <c r="T36" s="385"/>
      <c r="U36" s="385"/>
      <c r="V36" s="385"/>
      <c r="W36" s="386"/>
      <c r="X36" s="236" t="s">
        <v>1380</v>
      </c>
      <c r="Y36" s="259">
        <f>IF(Y35&gt;0,Y35/(Y32/Y31),0)</f>
        <v>0</v>
      </c>
      <c r="Z36" s="259">
        <f>IF(Z35&gt;0,Z35/(Z32/Z31),0)</f>
        <v>0</v>
      </c>
      <c r="AA36" s="259">
        <f>IF(AA35&gt;0,AA35/(AA32/AA31),0)</f>
        <v>0</v>
      </c>
      <c r="AB36" s="259">
        <f>IF(AB35&gt;0,AB35/(AB32/AB31),0)</f>
        <v>0</v>
      </c>
      <c r="AC36" s="259">
        <f>IF(AC35&gt;0,AC35/(AC32/AC31),0)</f>
        <v>0</v>
      </c>
      <c r="AD36" s="91">
        <f>SUM(Y36:AC36)</f>
        <v>0</v>
      </c>
      <c r="AE36" s="361"/>
      <c r="AF36" s="236" t="s">
        <v>1380</v>
      </c>
      <c r="AG36" s="259">
        <f>IF(AG35&gt;0,AG35/(AG32/AG31),0)</f>
        <v>0</v>
      </c>
      <c r="AH36" s="259">
        <f>IF(AH35&gt;0,AH35/(AH32/AH31),0)</f>
        <v>0</v>
      </c>
      <c r="AI36" s="259">
        <f>IF(AI35&gt;0,AI35/(AI32/AI31),0)</f>
        <v>0</v>
      </c>
      <c r="AJ36" s="259">
        <f>IF(AJ35&gt;0,AJ35/(AJ32/AJ31),0)</f>
        <v>0</v>
      </c>
      <c r="AK36" s="259">
        <f>IF(AK35&gt;0,AK35/(AK32/AK31),0)</f>
        <v>0</v>
      </c>
      <c r="AL36" s="91">
        <f>SUM(AG36:AK36)</f>
        <v>0</v>
      </c>
      <c r="AM36" s="233"/>
      <c r="AN36" s="233"/>
      <c r="AO36" s="233"/>
      <c r="AP36" s="233"/>
      <c r="AQ36" s="233"/>
      <c r="AR36" s="233"/>
      <c r="AS36" s="233"/>
      <c r="AT36" s="233"/>
      <c r="AU36" s="233"/>
      <c r="AV36" s="233"/>
      <c r="AW36" s="233"/>
      <c r="AX36" s="233"/>
      <c r="AY36" s="234"/>
      <c r="AZ36" s="234"/>
      <c r="BA36" s="234"/>
      <c r="BB36" s="38" t="s">
        <v>1199</v>
      </c>
      <c r="BC36" s="234"/>
      <c r="BD36" s="234"/>
      <c r="BE36" s="234"/>
      <c r="BF36" s="234"/>
      <c r="BG36" s="234"/>
      <c r="BH36" s="234"/>
      <c r="BI36" s="38"/>
      <c r="BJ36" s="234"/>
      <c r="BK36" s="38" t="s">
        <v>1199</v>
      </c>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41" t="s">
        <v>1394</v>
      </c>
      <c r="DD36" s="85" t="e">
        <f ca="1">(DD35-($AF$142)*DD34)</f>
        <v>#DIV/0!</v>
      </c>
      <c r="DE36" s="85" t="e">
        <f ca="1">(DE35-($AF$142)*DE34)</f>
        <v>#DIV/0!</v>
      </c>
      <c r="DF36" s="85" t="e">
        <f ca="1">(DF35-($AF$142)*DF34)</f>
        <v>#DIV/0!</v>
      </c>
      <c r="DG36" s="85" t="e">
        <f t="shared" ref="DG36:DH36" ca="1" si="97">(DG35-($AF$142)*DG34)</f>
        <v>#DIV/0!</v>
      </c>
      <c r="DH36" s="85" t="e">
        <f t="shared" ca="1" si="97"/>
        <v>#DIV/0!</v>
      </c>
      <c r="DI36" s="85" t="e">
        <f ca="1">SUM(DD36:DH36)</f>
        <v>#DIV/0!</v>
      </c>
      <c r="DJ36" s="234"/>
      <c r="DK36" s="234"/>
      <c r="DL36" s="41" t="s">
        <v>1394</v>
      </c>
      <c r="DM36" s="85" t="e">
        <f ca="1">(DM35-($AF$142)*DM34)</f>
        <v>#DIV/0!</v>
      </c>
      <c r="DN36" s="85" t="e">
        <f t="shared" ref="DN36:DQ36" ca="1" si="98">(DN35-($AF$142)*DN34)</f>
        <v>#DIV/0!</v>
      </c>
      <c r="DO36" s="85" t="e">
        <f t="shared" ca="1" si="98"/>
        <v>#DIV/0!</v>
      </c>
      <c r="DP36" s="85" t="e">
        <f t="shared" ca="1" si="98"/>
        <v>#DIV/0!</v>
      </c>
      <c r="DQ36" s="85" t="e">
        <f t="shared" ca="1" si="98"/>
        <v>#DIV/0!</v>
      </c>
      <c r="DR36" s="85" t="e">
        <f t="shared" ca="1" si="96"/>
        <v>#DIV/0!</v>
      </c>
      <c r="DS36" s="234"/>
      <c r="DT36" s="234"/>
      <c r="EI36" s="253">
        <f>MATCH(EI35,EI3:EI14,0)</f>
        <v>1</v>
      </c>
    </row>
    <row r="37" spans="1:139" s="231" customFormat="1" ht="16.5" customHeight="1" thickBot="1" x14ac:dyDescent="0.3">
      <c r="B37" s="209"/>
      <c r="C37" s="48"/>
      <c r="D37" s="251"/>
      <c r="E37" s="250"/>
      <c r="F37" s="37"/>
      <c r="G37" s="37"/>
      <c r="H37" s="37"/>
      <c r="I37" s="37"/>
      <c r="J37" s="37"/>
      <c r="K37" s="37"/>
      <c r="L37" s="37"/>
      <c r="M37" s="232"/>
      <c r="N37" s="232"/>
      <c r="O37" s="232"/>
      <c r="P37" s="232"/>
      <c r="Q37" s="232"/>
      <c r="R37" s="232"/>
      <c r="S37" s="232"/>
      <c r="T37" s="232"/>
      <c r="U37" s="232"/>
      <c r="V37" s="232"/>
      <c r="W37" s="232"/>
      <c r="X37" s="236" t="s">
        <v>1381</v>
      </c>
      <c r="Y37" s="248">
        <f>Y36</f>
        <v>0</v>
      </c>
      <c r="Z37" s="248">
        <f>Z36-$Z$142</f>
        <v>0</v>
      </c>
      <c r="AA37" s="248">
        <f>AA36</f>
        <v>0</v>
      </c>
      <c r="AB37" s="248">
        <f>AB36</f>
        <v>0</v>
      </c>
      <c r="AC37" s="263">
        <f>AC36</f>
        <v>0</v>
      </c>
      <c r="AD37" s="248">
        <f>SUM(Y37:AC37)</f>
        <v>0</v>
      </c>
      <c r="AE37" s="361"/>
      <c r="AF37" s="236" t="s">
        <v>1381</v>
      </c>
      <c r="AG37" s="248">
        <f>AG36</f>
        <v>0</v>
      </c>
      <c r="AH37" s="248">
        <f>AH36-$Z$142</f>
        <v>0</v>
      </c>
      <c r="AI37" s="248">
        <f>AI36</f>
        <v>0</v>
      </c>
      <c r="AJ37" s="248">
        <f>AJ36</f>
        <v>0</v>
      </c>
      <c r="AK37" s="248">
        <f>AK36</f>
        <v>0</v>
      </c>
      <c r="AL37" s="260">
        <f>SUM(AG37:AK37)</f>
        <v>0</v>
      </c>
      <c r="AM37" s="233"/>
      <c r="AN37" s="233"/>
      <c r="AO37" s="233"/>
      <c r="AP37" s="233"/>
      <c r="AQ37" s="233"/>
      <c r="AR37" s="233"/>
      <c r="AS37" s="233"/>
      <c r="AT37" s="233"/>
      <c r="AU37" s="233"/>
      <c r="AV37" s="233"/>
      <c r="AW37" s="233"/>
      <c r="AX37" s="233"/>
      <c r="AY37" s="234"/>
      <c r="AZ37" s="234"/>
      <c r="BA37" s="234"/>
      <c r="BB37" s="234"/>
      <c r="BC37" s="234"/>
      <c r="BD37" s="234"/>
      <c r="BE37" s="234"/>
      <c r="BF37" s="234"/>
      <c r="BG37" s="234"/>
      <c r="BH37" s="234"/>
      <c r="BI37" s="234"/>
      <c r="BJ37" s="234"/>
      <c r="BK37" s="234"/>
      <c r="BL37" s="234"/>
      <c r="BM37" s="234"/>
      <c r="BN37" s="234"/>
      <c r="BO37" s="234"/>
      <c r="BP37" s="234"/>
      <c r="BQ37" s="234"/>
      <c r="BR37" s="234"/>
      <c r="BS37" s="234"/>
      <c r="BT37" s="234"/>
      <c r="BU37" s="234"/>
      <c r="BV37" s="234"/>
      <c r="BW37" s="234"/>
      <c r="BX37" s="234"/>
      <c r="BY37" s="234"/>
      <c r="BZ37" s="234"/>
      <c r="CA37" s="234"/>
      <c r="CB37" s="234"/>
      <c r="CC37" s="234"/>
      <c r="CD37" s="234"/>
      <c r="CE37" s="234"/>
      <c r="CF37" s="234"/>
      <c r="CG37" s="234"/>
      <c r="CH37" s="234"/>
      <c r="CI37" s="234"/>
      <c r="CJ37" s="234"/>
      <c r="CK37" s="234"/>
      <c r="CL37" s="234"/>
      <c r="CM37" s="234"/>
      <c r="CN37" s="234"/>
      <c r="CO37" s="234"/>
      <c r="CP37" s="234"/>
      <c r="CQ37" s="234"/>
      <c r="CR37" s="234"/>
      <c r="CS37" s="234"/>
      <c r="CT37" s="234"/>
      <c r="CU37" s="234"/>
      <c r="CV37" s="234"/>
      <c r="CW37" s="234"/>
      <c r="CX37" s="234"/>
      <c r="CY37" s="234"/>
      <c r="CZ37" s="234"/>
      <c r="DA37" s="234"/>
      <c r="DB37" s="234"/>
      <c r="DC37" s="41" t="s">
        <v>1296</v>
      </c>
      <c r="DD37" s="47" t="e">
        <f ca="1">IF(DD36&gt;0,DD36/(AG32/AG31),0)</f>
        <v>#DIV/0!</v>
      </c>
      <c r="DE37" s="47" t="e">
        <f ca="1">IF(DE36&gt;0,DE36/(AH32/AH31),0)</f>
        <v>#DIV/0!</v>
      </c>
      <c r="DF37" s="47" t="e">
        <f t="shared" ref="DF37:DH37" ca="1" si="99">IF(DF36&gt;0,DF36/(AI32/AI31),0)</f>
        <v>#DIV/0!</v>
      </c>
      <c r="DG37" s="47" t="e">
        <f t="shared" ca="1" si="99"/>
        <v>#DIV/0!</v>
      </c>
      <c r="DH37" s="47" t="e">
        <f t="shared" ca="1" si="99"/>
        <v>#DIV/0!</v>
      </c>
      <c r="DI37" s="85" t="e">
        <f ca="1">SUM(DD37:DH37)</f>
        <v>#DIV/0!</v>
      </c>
      <c r="DJ37" s="234"/>
      <c r="DK37" s="234"/>
      <c r="DL37" s="41" t="s">
        <v>1296</v>
      </c>
      <c r="DM37" s="47" t="e">
        <f ca="1">IF(DM36&gt;0,DM36/(AG32/AG31),0)</f>
        <v>#DIV/0!</v>
      </c>
      <c r="DN37" s="47" t="e">
        <f t="shared" ref="DN37:DQ37" ca="1" si="100">IF(DN36&gt;0,DN36/(AH32/AH31),0)</f>
        <v>#DIV/0!</v>
      </c>
      <c r="DO37" s="47" t="e">
        <f t="shared" ca="1" si="100"/>
        <v>#DIV/0!</v>
      </c>
      <c r="DP37" s="47" t="e">
        <f t="shared" ca="1" si="100"/>
        <v>#DIV/0!</v>
      </c>
      <c r="DQ37" s="47" t="e">
        <f t="shared" ca="1" si="100"/>
        <v>#DIV/0!</v>
      </c>
      <c r="DR37" s="85" t="e">
        <f t="shared" ca="1" si="96"/>
        <v>#DIV/0!</v>
      </c>
      <c r="DS37" s="234"/>
      <c r="DT37" s="234"/>
    </row>
    <row r="38" spans="1:139" s="231" customFormat="1" ht="16.5" customHeight="1" x14ac:dyDescent="0.25">
      <c r="B38" s="232"/>
      <c r="C38" s="213" t="s">
        <v>1251</v>
      </c>
      <c r="D38" s="37"/>
      <c r="E38" s="232"/>
      <c r="F38" s="92"/>
      <c r="G38" s="232"/>
      <c r="H38" s="232"/>
      <c r="I38" s="92"/>
      <c r="J38" s="232"/>
      <c r="K38" s="232"/>
      <c r="L38" s="92"/>
      <c r="M38" s="232"/>
      <c r="N38" s="232"/>
      <c r="O38" s="92"/>
      <c r="P38" s="232"/>
      <c r="Q38" s="232"/>
      <c r="R38" s="232"/>
      <c r="S38" s="232"/>
      <c r="T38" s="232"/>
      <c r="U38" s="232"/>
      <c r="V38" s="232"/>
      <c r="W38" s="232"/>
      <c r="X38" s="233"/>
      <c r="Y38" s="258"/>
      <c r="Z38" s="258"/>
      <c r="AA38" s="258"/>
      <c r="AB38" s="258"/>
      <c r="AC38" s="258"/>
      <c r="AD38" s="258"/>
      <c r="AE38" s="361"/>
      <c r="AF38" s="233"/>
      <c r="AG38" s="233"/>
      <c r="AH38" s="233"/>
      <c r="AI38" s="233"/>
      <c r="AJ38" s="233"/>
      <c r="AK38" s="233"/>
      <c r="AL38" s="233"/>
      <c r="AM38" s="276"/>
      <c r="AN38" s="233"/>
      <c r="AO38" s="233"/>
      <c r="AP38" s="233"/>
      <c r="AQ38" s="233"/>
      <c r="AR38" s="233"/>
      <c r="AS38" s="233"/>
      <c r="AT38" s="233"/>
      <c r="AU38" s="354"/>
      <c r="AV38" s="233"/>
      <c r="AW38" s="233"/>
      <c r="AX38" s="233"/>
      <c r="AY38" s="234"/>
      <c r="AZ38" s="234"/>
      <c r="BA38" s="234"/>
      <c r="BB38" s="38" t="s">
        <v>1106</v>
      </c>
      <c r="BC38" s="234"/>
      <c r="BD38" s="234"/>
      <c r="BE38" s="234"/>
      <c r="BF38" s="234"/>
      <c r="BG38" s="234"/>
      <c r="BH38" s="234"/>
      <c r="BI38" s="234"/>
      <c r="BJ38" s="234"/>
      <c r="BK38" s="38" t="s">
        <v>1106</v>
      </c>
      <c r="BL38" s="234"/>
      <c r="BM38" s="234"/>
      <c r="BN38" s="234"/>
      <c r="BO38" s="234"/>
      <c r="BP38" s="234"/>
      <c r="BQ38" s="234"/>
      <c r="BR38" s="234"/>
      <c r="BS38" s="234"/>
      <c r="BT38" s="234"/>
      <c r="BU38" s="234"/>
      <c r="BV38" s="234"/>
      <c r="BW38" s="234"/>
      <c r="BX38" s="234"/>
      <c r="BY38" s="234"/>
      <c r="BZ38" s="234"/>
      <c r="CA38" s="234"/>
      <c r="CB38" s="234"/>
      <c r="CC38" s="234"/>
      <c r="CD38" s="234"/>
      <c r="CE38" s="234"/>
      <c r="CF38" s="234"/>
      <c r="CG38" s="234"/>
      <c r="CH38" s="234"/>
      <c r="CI38" s="234"/>
      <c r="CJ38" s="234"/>
      <c r="CK38" s="234"/>
      <c r="CL38" s="234"/>
      <c r="CM38" s="234"/>
      <c r="CN38" s="234"/>
      <c r="CO38" s="234"/>
      <c r="CP38" s="234"/>
      <c r="CQ38" s="234"/>
      <c r="CR38" s="234"/>
      <c r="CS38" s="234"/>
      <c r="CT38" s="234"/>
      <c r="CU38" s="234"/>
      <c r="CV38" s="234"/>
      <c r="CW38" s="234"/>
      <c r="CX38" s="234"/>
      <c r="CY38" s="31"/>
      <c r="CZ38" s="234"/>
      <c r="DA38" s="234"/>
      <c r="DB38" s="234"/>
      <c r="DC38" s="41" t="s">
        <v>1384</v>
      </c>
      <c r="DD38" s="47" t="e">
        <f ca="1">DD37</f>
        <v>#DIV/0!</v>
      </c>
      <c r="DE38" s="47" t="e">
        <f ca="1">DE37+$AO$117</f>
        <v>#DIV/0!</v>
      </c>
      <c r="DF38" s="47" t="e">
        <f ca="1">DF37</f>
        <v>#DIV/0!</v>
      </c>
      <c r="DG38" s="47" t="e">
        <f t="shared" ref="DG38:DH38" ca="1" si="101">DG37</f>
        <v>#DIV/0!</v>
      </c>
      <c r="DH38" s="47" t="e">
        <f t="shared" ca="1" si="101"/>
        <v>#DIV/0!</v>
      </c>
      <c r="DI38" s="47" t="e">
        <f ca="1">SUM(DD38:DH38)</f>
        <v>#DIV/0!</v>
      </c>
      <c r="DJ38" s="234"/>
      <c r="DK38" s="234"/>
      <c r="DL38" s="41" t="s">
        <v>1384</v>
      </c>
      <c r="DM38" s="85" t="e">
        <f ca="1">DM37</f>
        <v>#DIV/0!</v>
      </c>
      <c r="DN38" s="47" t="e">
        <f ca="1">DN37+$AO$117</f>
        <v>#DIV/0!</v>
      </c>
      <c r="DO38" s="85" t="e">
        <f ca="1">DO37</f>
        <v>#DIV/0!</v>
      </c>
      <c r="DP38" s="85" t="e">
        <f ca="1">DP37</f>
        <v>#DIV/0!</v>
      </c>
      <c r="DQ38" s="85" t="e">
        <f ca="1">DQ37</f>
        <v>#DIV/0!</v>
      </c>
      <c r="DR38" s="85" t="e">
        <f ca="1">SUM(DM38:DQ38)</f>
        <v>#DIV/0!</v>
      </c>
      <c r="DS38" s="234"/>
      <c r="DT38" s="234"/>
    </row>
    <row r="39" spans="1:139" s="231" customFormat="1" ht="15.75" customHeight="1" thickBot="1" x14ac:dyDescent="0.3">
      <c r="A39" s="232"/>
      <c r="B39" s="232"/>
      <c r="D39" s="232"/>
      <c r="E39" s="232"/>
      <c r="F39" s="505" t="s">
        <v>1138</v>
      </c>
      <c r="G39" s="505"/>
      <c r="H39" s="232"/>
      <c r="I39" s="238" t="s">
        <v>1047</v>
      </c>
      <c r="J39" s="232"/>
      <c r="K39" s="232"/>
      <c r="L39" s="238" t="s">
        <v>1048</v>
      </c>
      <c r="M39" s="232"/>
      <c r="N39" s="232"/>
      <c r="O39" s="238" t="s">
        <v>1049</v>
      </c>
      <c r="P39" s="232"/>
      <c r="Q39" s="232"/>
      <c r="R39" s="232"/>
      <c r="S39" s="232"/>
      <c r="T39" s="232"/>
      <c r="U39" s="232"/>
      <c r="V39" s="232"/>
      <c r="W39" s="232"/>
      <c r="X39" s="245"/>
      <c r="Y39" s="245"/>
      <c r="Z39" s="245"/>
      <c r="AA39" s="245"/>
      <c r="AB39" s="245"/>
      <c r="AC39" s="245"/>
      <c r="AD39" s="245"/>
      <c r="AE39" s="233"/>
      <c r="AF39" s="159"/>
      <c r="AG39" s="247"/>
      <c r="AH39" s="247"/>
      <c r="AI39" s="247"/>
      <c r="AJ39" s="247"/>
      <c r="AK39" s="247"/>
      <c r="AL39" s="233"/>
      <c r="AM39" s="276"/>
      <c r="AN39" s="276"/>
      <c r="AO39" s="233"/>
      <c r="AP39" s="233"/>
      <c r="AQ39" s="233"/>
      <c r="AR39" s="233"/>
      <c r="AS39" s="233"/>
      <c r="AT39" s="233"/>
      <c r="AU39" s="233"/>
      <c r="AV39" s="233"/>
      <c r="AW39" s="233"/>
      <c r="AX39" s="233"/>
      <c r="AY39" s="234"/>
      <c r="AZ39" s="234"/>
      <c r="BA39" s="41" t="s">
        <v>1093</v>
      </c>
      <c r="BB39" s="52" t="s">
        <v>14</v>
      </c>
      <c r="BC39" s="52" t="s">
        <v>1085</v>
      </c>
      <c r="BD39" s="52" t="s">
        <v>1100</v>
      </c>
      <c r="BE39" s="52" t="s">
        <v>1096</v>
      </c>
      <c r="BF39" s="52" t="s">
        <v>1097</v>
      </c>
      <c r="BG39" s="39"/>
      <c r="BH39" s="234"/>
      <c r="BI39" s="234"/>
      <c r="BJ39" s="41" t="s">
        <v>1093</v>
      </c>
      <c r="BK39" s="52" t="s">
        <v>14</v>
      </c>
      <c r="BL39" s="52" t="s">
        <v>1085</v>
      </c>
      <c r="BM39" s="52" t="s">
        <v>1100</v>
      </c>
      <c r="BN39" s="52" t="s">
        <v>1096</v>
      </c>
      <c r="BO39" s="52" t="s">
        <v>1097</v>
      </c>
      <c r="BP39" s="39"/>
      <c r="BQ39" s="234"/>
      <c r="BR39" s="234"/>
      <c r="BS39" s="234"/>
      <c r="BT39" s="234"/>
      <c r="BU39" s="234"/>
      <c r="BV39" s="234"/>
      <c r="BW39" s="234"/>
      <c r="BX39" s="234"/>
      <c r="BY39" s="234"/>
      <c r="BZ39" s="234"/>
      <c r="CA39" s="234"/>
      <c r="CB39" s="234"/>
      <c r="CC39" s="234"/>
      <c r="CD39" s="234"/>
      <c r="CE39" s="234"/>
      <c r="CF39" s="234"/>
      <c r="CG39" s="234"/>
      <c r="CH39" s="234"/>
      <c r="CI39" s="234"/>
      <c r="CJ39" s="234"/>
      <c r="CK39" s="234"/>
      <c r="CL39" s="234"/>
      <c r="CM39" s="234"/>
      <c r="CN39" s="234"/>
      <c r="CO39" s="234"/>
      <c r="CP39" s="234"/>
      <c r="CQ39" s="234"/>
      <c r="CR39" s="234"/>
      <c r="CS39" s="234"/>
      <c r="CT39" s="234"/>
      <c r="CU39" s="234"/>
      <c r="CV39" s="234"/>
      <c r="CW39" s="234"/>
      <c r="CX39" s="234"/>
      <c r="CY39" s="31"/>
      <c r="CZ39" s="234"/>
      <c r="DA39" s="234"/>
      <c r="DB39" s="234"/>
      <c r="DC39" s="41" t="s">
        <v>1381</v>
      </c>
      <c r="DD39" s="85" t="e">
        <f ca="1">DD38</f>
        <v>#DIV/0!</v>
      </c>
      <c r="DE39" s="85" t="e">
        <f ca="1">DE38-$Z$142</f>
        <v>#DIV/0!</v>
      </c>
      <c r="DF39" s="85" t="e">
        <f ca="1">DF38</f>
        <v>#DIV/0!</v>
      </c>
      <c r="DG39" s="85" t="e">
        <f ca="1">DG38</f>
        <v>#DIV/0!</v>
      </c>
      <c r="DH39" s="85" t="e">
        <f ca="1">DH38</f>
        <v>#DIV/0!</v>
      </c>
      <c r="DI39" s="85" t="e">
        <f ca="1">SUM(DD39:DH39)</f>
        <v>#DIV/0!</v>
      </c>
      <c r="DJ39" s="234"/>
      <c r="DK39" s="234"/>
      <c r="DL39" s="291" t="s">
        <v>1451</v>
      </c>
      <c r="DM39" s="85" t="e">
        <f ca="1">DM38</f>
        <v>#DIV/0!</v>
      </c>
      <c r="DN39" s="85" t="e">
        <f t="shared" ref="DN39:DQ40" ca="1" si="102">DN38</f>
        <v>#DIV/0!</v>
      </c>
      <c r="DO39" s="85" t="e">
        <f t="shared" ca="1" si="102"/>
        <v>#DIV/0!</v>
      </c>
      <c r="DP39" s="85" t="e">
        <f t="shared" ca="1" si="102"/>
        <v>#DIV/0!</v>
      </c>
      <c r="DQ39" s="85" t="e">
        <f t="shared" ca="1" si="102"/>
        <v>#DIV/0!</v>
      </c>
      <c r="DR39" s="89" t="e">
        <f ca="1">SUM(DM39:DQ39)</f>
        <v>#DIV/0!</v>
      </c>
      <c r="DS39" s="234"/>
      <c r="DT39" s="234"/>
      <c r="EI39" s="253" t="str">
        <f>G104</f>
        <v>jan</v>
      </c>
    </row>
    <row r="40" spans="1:139" s="231" customFormat="1" ht="16.5" customHeight="1" thickBot="1" x14ac:dyDescent="0.3">
      <c r="A40" s="232"/>
      <c r="B40" s="232"/>
      <c r="C40" s="53" t="s">
        <v>1050</v>
      </c>
      <c r="D40" s="372">
        <v>1</v>
      </c>
      <c r="E40" s="232"/>
      <c r="F40" s="54" t="s">
        <v>9</v>
      </c>
      <c r="G40" s="375">
        <f>$G$14</f>
        <v>2017</v>
      </c>
      <c r="H40" s="37"/>
      <c r="I40" s="55" t="s">
        <v>1208</v>
      </c>
      <c r="J40" s="368" t="s">
        <v>14</v>
      </c>
      <c r="K40" s="37"/>
      <c r="L40" s="55" t="s">
        <v>1208</v>
      </c>
      <c r="M40" s="368" t="s">
        <v>15</v>
      </c>
      <c r="N40" s="37"/>
      <c r="O40" s="55" t="s">
        <v>1208</v>
      </c>
      <c r="P40" s="368" t="s">
        <v>1053</v>
      </c>
      <c r="Q40" s="37"/>
      <c r="R40" s="37"/>
      <c r="S40" s="37"/>
      <c r="T40" s="37"/>
      <c r="U40" s="37"/>
      <c r="V40" s="37"/>
      <c r="W40" s="232"/>
      <c r="X40" s="245"/>
      <c r="Y40" s="245"/>
      <c r="Z40" s="245"/>
      <c r="AA40" s="245"/>
      <c r="AB40" s="245"/>
      <c r="AC40" s="245"/>
      <c r="AD40" s="245"/>
      <c r="AE40" s="233"/>
      <c r="AF40" s="159"/>
      <c r="AG40" s="247"/>
      <c r="AH40" s="247"/>
      <c r="AI40" s="247"/>
      <c r="AJ40" s="247"/>
      <c r="AK40" s="247"/>
      <c r="AL40" s="233"/>
      <c r="AM40" s="276"/>
      <c r="AN40" s="244" t="s">
        <v>1250</v>
      </c>
      <c r="AO40" s="233"/>
      <c r="AP40" s="233"/>
      <c r="AQ40" s="233"/>
      <c r="AR40" s="233"/>
      <c r="AS40" s="233"/>
      <c r="AT40" s="233"/>
      <c r="AU40" s="233"/>
      <c r="AV40" s="233"/>
      <c r="AW40" s="233"/>
      <c r="AX40" s="233"/>
      <c r="AY40" s="58"/>
      <c r="AZ40" s="234"/>
      <c r="BA40" s="41" t="s">
        <v>1286</v>
      </c>
      <c r="BB40" s="47">
        <v>1</v>
      </c>
      <c r="BC40" s="47">
        <v>1.6</v>
      </c>
      <c r="BD40" s="47">
        <v>1</v>
      </c>
      <c r="BE40" s="47">
        <v>1</v>
      </c>
      <c r="BF40" s="47">
        <v>1</v>
      </c>
      <c r="BG40" s="39"/>
      <c r="BH40" s="58"/>
      <c r="BI40" s="234"/>
      <c r="BJ40" s="41" t="s">
        <v>1286</v>
      </c>
      <c r="BK40" s="47">
        <v>1</v>
      </c>
      <c r="BL40" s="47">
        <v>1.6</v>
      </c>
      <c r="BM40" s="47">
        <v>1</v>
      </c>
      <c r="BN40" s="47">
        <v>1</v>
      </c>
      <c r="BO40" s="47">
        <v>1</v>
      </c>
      <c r="BP40" s="39"/>
      <c r="BQ40" s="58"/>
      <c r="BR40" s="234"/>
      <c r="BS40" s="234"/>
      <c r="BT40" s="39"/>
      <c r="BU40" s="39"/>
      <c r="BV40" s="39"/>
      <c r="BW40" s="39"/>
      <c r="BX40" s="39"/>
      <c r="BY40" s="39"/>
      <c r="BZ40" s="234"/>
      <c r="CA40" s="234"/>
      <c r="CB40" s="234"/>
      <c r="CC40" s="234"/>
      <c r="CD40" s="234"/>
      <c r="CE40" s="234"/>
      <c r="CF40" s="234"/>
      <c r="CG40" s="234"/>
      <c r="CH40" s="234"/>
      <c r="CI40" s="234"/>
      <c r="CJ40" s="234"/>
      <c r="CK40" s="234"/>
      <c r="CL40" s="234"/>
      <c r="CM40" s="234"/>
      <c r="CN40" s="234"/>
      <c r="CO40" s="234"/>
      <c r="CP40" s="234"/>
      <c r="CQ40" s="234"/>
      <c r="CR40" s="234"/>
      <c r="CS40" s="234"/>
      <c r="CT40" s="234"/>
      <c r="CU40" s="234"/>
      <c r="CV40" s="234"/>
      <c r="CW40" s="234"/>
      <c r="CX40" s="234"/>
      <c r="CY40" s="31"/>
      <c r="CZ40" s="234"/>
      <c r="DA40" s="234"/>
      <c r="DB40" s="234"/>
      <c r="DC40" s="41" t="s">
        <v>1385</v>
      </c>
      <c r="DD40" s="47" t="e">
        <f ca="1">DD39</f>
        <v>#DIV/0!</v>
      </c>
      <c r="DE40" s="47" t="e">
        <f t="shared" ref="DE40:DH40" ca="1" si="103">DE39</f>
        <v>#DIV/0!</v>
      </c>
      <c r="DF40" s="47" t="e">
        <f t="shared" ca="1" si="103"/>
        <v>#DIV/0!</v>
      </c>
      <c r="DG40" s="47" t="e">
        <f t="shared" ca="1" si="103"/>
        <v>#DIV/0!</v>
      </c>
      <c r="DH40" s="47" t="e">
        <f t="shared" ca="1" si="103"/>
        <v>#DIV/0!</v>
      </c>
      <c r="DI40" s="260" t="e">
        <f ca="1">DD40+DE40+DF40+DG40+DH40</f>
        <v>#DIV/0!</v>
      </c>
      <c r="DJ40" s="44" t="e">
        <f ca="1">DI40*1000/'Indata byggnad och BBR krav'!$C$16</f>
        <v>#DIV/0!</v>
      </c>
      <c r="DK40" s="44"/>
      <c r="DL40" s="41" t="s">
        <v>1385</v>
      </c>
      <c r="DM40" s="47" t="e">
        <f ca="1">DM39</f>
        <v>#DIV/0!</v>
      </c>
      <c r="DN40" s="47" t="e">
        <f t="shared" ca="1" si="102"/>
        <v>#DIV/0!</v>
      </c>
      <c r="DO40" s="47" t="e">
        <f t="shared" ca="1" si="102"/>
        <v>#DIV/0!</v>
      </c>
      <c r="DP40" s="47" t="e">
        <f t="shared" ca="1" si="102"/>
        <v>#DIV/0!</v>
      </c>
      <c r="DQ40" s="47" t="e">
        <f t="shared" ca="1" si="102"/>
        <v>#DIV/0!</v>
      </c>
      <c r="DR40" s="260" t="e">
        <f ca="1">DM40+DN40+DO40+DP40+DQ40</f>
        <v>#DIV/0!</v>
      </c>
      <c r="DS40" s="44" t="e">
        <f ca="1">DR40*1000/'Indata byggnad och BBR krav'!$C$16</f>
        <v>#DIV/0!</v>
      </c>
      <c r="DT40" s="44"/>
      <c r="EI40" s="253">
        <f>MATCH(EI39,EI3:EI14,0)</f>
        <v>1</v>
      </c>
    </row>
    <row r="41" spans="1:139" s="231" customFormat="1" ht="16.5" customHeight="1" thickBot="1" x14ac:dyDescent="0.3">
      <c r="A41" s="232"/>
      <c r="B41" s="232"/>
      <c r="C41" s="268" t="s">
        <v>1253</v>
      </c>
      <c r="D41" s="372" t="s">
        <v>1254</v>
      </c>
      <c r="E41" s="232"/>
      <c r="F41" s="54" t="s">
        <v>19</v>
      </c>
      <c r="G41" s="375" t="str">
        <f>$G$15</f>
        <v>jan</v>
      </c>
      <c r="H41" s="37"/>
      <c r="I41" s="53" t="s">
        <v>13</v>
      </c>
      <c r="J41" s="372">
        <v>0.98</v>
      </c>
      <c r="K41" s="246"/>
      <c r="L41" s="53" t="s">
        <v>13</v>
      </c>
      <c r="M41" s="372">
        <v>2</v>
      </c>
      <c r="N41" s="246"/>
      <c r="O41" s="53" t="s">
        <v>13</v>
      </c>
      <c r="P41" s="372">
        <v>1</v>
      </c>
      <c r="Q41" s="246"/>
      <c r="R41" s="246"/>
      <c r="S41" s="246"/>
      <c r="T41" s="246"/>
      <c r="U41" s="246"/>
      <c r="V41" s="246"/>
      <c r="W41" s="232"/>
      <c r="X41" s="233"/>
      <c r="Y41" s="242" t="s">
        <v>1260</v>
      </c>
      <c r="Z41" s="233"/>
      <c r="AA41" s="233"/>
      <c r="AB41" s="233"/>
      <c r="AC41" s="233"/>
      <c r="AD41" s="233"/>
      <c r="AE41" s="233"/>
      <c r="AF41" s="159"/>
      <c r="AG41" s="242" t="s">
        <v>1438</v>
      </c>
      <c r="AH41" s="247"/>
      <c r="AI41" s="247"/>
      <c r="AJ41" s="247"/>
      <c r="AK41" s="247"/>
      <c r="AL41" s="233"/>
      <c r="AM41" s="276"/>
      <c r="AN41" s="233"/>
      <c r="AO41" s="233"/>
      <c r="AP41" s="233"/>
      <c r="AQ41" s="233"/>
      <c r="AR41" s="233"/>
      <c r="AS41" s="233"/>
      <c r="AT41" s="351"/>
      <c r="AU41" s="503" t="s">
        <v>1313</v>
      </c>
      <c r="AV41" s="233"/>
      <c r="AW41" s="233"/>
      <c r="AX41" s="233"/>
      <c r="AY41" s="49"/>
      <c r="AZ41" s="234"/>
      <c r="BA41" s="41" t="s">
        <v>1287</v>
      </c>
      <c r="BB41" s="52">
        <v>0.7</v>
      </c>
      <c r="BC41" s="52">
        <v>1.8</v>
      </c>
      <c r="BD41" s="52">
        <v>0.6</v>
      </c>
      <c r="BE41" s="52">
        <v>1.8</v>
      </c>
      <c r="BF41" s="52">
        <v>1.8</v>
      </c>
      <c r="BG41" s="39" t="s">
        <v>1094</v>
      </c>
      <c r="BH41" s="234"/>
      <c r="BI41" s="234"/>
      <c r="BJ41" s="41" t="s">
        <v>1287</v>
      </c>
      <c r="BK41" s="52">
        <v>0.7</v>
      </c>
      <c r="BL41" s="52">
        <v>1.8</v>
      </c>
      <c r="BM41" s="52">
        <v>0.6</v>
      </c>
      <c r="BN41" s="52">
        <v>1.8</v>
      </c>
      <c r="BO41" s="52">
        <v>1.8</v>
      </c>
      <c r="BP41" s="39" t="s">
        <v>1094</v>
      </c>
      <c r="BQ41" s="234"/>
      <c r="BR41" s="234"/>
      <c r="BS41" s="234"/>
      <c r="BT41" s="39"/>
      <c r="BU41" s="39"/>
      <c r="BV41" s="39"/>
      <c r="BW41" s="39"/>
      <c r="BX41" s="39"/>
      <c r="BY41" s="39"/>
      <c r="BZ41" s="234"/>
      <c r="CA41" s="234"/>
      <c r="CB41" s="234"/>
      <c r="CC41" s="234"/>
      <c r="CD41" s="234"/>
      <c r="CE41" s="234"/>
      <c r="CF41" s="234"/>
      <c r="CG41" s="234"/>
      <c r="CH41" s="234"/>
      <c r="CI41" s="234"/>
      <c r="CJ41" s="234"/>
      <c r="CK41" s="234"/>
      <c r="CL41" s="234"/>
      <c r="CM41" s="234"/>
      <c r="CN41" s="234"/>
      <c r="CO41" s="234"/>
      <c r="CP41" s="234"/>
      <c r="CQ41" s="234"/>
      <c r="CR41" s="234"/>
      <c r="CS41" s="234"/>
      <c r="CT41" s="234"/>
      <c r="CU41" s="234"/>
      <c r="CV41" s="234"/>
      <c r="CW41" s="234"/>
      <c r="CX41" s="234"/>
      <c r="CY41" s="31"/>
      <c r="CZ41" s="234"/>
      <c r="DA41" s="234"/>
      <c r="DB41" s="234"/>
      <c r="DC41" s="41" t="s">
        <v>1198</v>
      </c>
      <c r="DD41" s="85" t="e">
        <f ca="1">DD40/'Indata byggnad och BBR krav'!$C$25</f>
        <v>#DIV/0!</v>
      </c>
      <c r="DE41" s="85" t="e">
        <f ca="1">DE40/'Indata byggnad och BBR krav'!$C$25</f>
        <v>#DIV/0!</v>
      </c>
      <c r="DF41" s="85" t="e">
        <f ca="1">DF40/'Indata byggnad och BBR krav'!$C$25</f>
        <v>#DIV/0!</v>
      </c>
      <c r="DG41" s="85" t="e">
        <f ca="1">DG40/'Indata byggnad och BBR krav'!$C$25</f>
        <v>#DIV/0!</v>
      </c>
      <c r="DH41" s="85" t="e">
        <f ca="1">DH40/'Indata byggnad och BBR krav'!$C$25</f>
        <v>#DIV/0!</v>
      </c>
      <c r="DI41" s="89" t="e">
        <f ca="1">DD41+DE41+DF41+DG41+DH41</f>
        <v>#DIV/0!</v>
      </c>
      <c r="DJ41" s="44" t="e">
        <f ca="1">DJ40/0.9*DD15</f>
        <v>#DIV/0!</v>
      </c>
      <c r="DK41" s="44"/>
      <c r="DL41" s="41" t="s">
        <v>1198</v>
      </c>
      <c r="DM41" s="85" t="e">
        <f ca="1">DM40/'Indata byggnad och BBR krav'!$C$25</f>
        <v>#DIV/0!</v>
      </c>
      <c r="DN41" s="85" t="e">
        <f ca="1">DN40/'Indata byggnad och BBR krav'!$C$25</f>
        <v>#DIV/0!</v>
      </c>
      <c r="DO41" s="85" t="e">
        <f ca="1">DO40/'Indata byggnad och BBR krav'!$C$25</f>
        <v>#DIV/0!</v>
      </c>
      <c r="DP41" s="85" t="e">
        <f ca="1">DP40/'Indata byggnad och BBR krav'!$C$25</f>
        <v>#DIV/0!</v>
      </c>
      <c r="DQ41" s="85" t="e">
        <f ca="1">DQ40/'Indata byggnad och BBR krav'!$C$25</f>
        <v>#DIV/0!</v>
      </c>
      <c r="DR41" s="89" t="e">
        <f ca="1">DM41+DN41+DO41+DP41+DQ41</f>
        <v>#DIV/0!</v>
      </c>
      <c r="DS41" s="44" t="e">
        <f ca="1">DS40/0.9*DM15</f>
        <v>#DIV/0!</v>
      </c>
      <c r="DT41" s="44"/>
    </row>
    <row r="42" spans="1:139" s="231" customFormat="1" ht="16.5" customHeight="1" thickBot="1" x14ac:dyDescent="0.3">
      <c r="A42" s="232"/>
      <c r="B42" s="232"/>
      <c r="C42" s="95" t="s">
        <v>20</v>
      </c>
      <c r="D42" s="372" t="s">
        <v>1222</v>
      </c>
      <c r="E42" s="232"/>
      <c r="F42" s="93"/>
      <c r="G42" s="93"/>
      <c r="H42" s="37"/>
      <c r="I42" s="54" t="s">
        <v>1136</v>
      </c>
      <c r="J42" s="368" t="s">
        <v>1046</v>
      </c>
      <c r="K42" s="350"/>
      <c r="L42" s="54" t="s">
        <v>1136</v>
      </c>
      <c r="M42" s="368" t="s">
        <v>1046</v>
      </c>
      <c r="N42" s="60"/>
      <c r="O42" s="54" t="s">
        <v>1136</v>
      </c>
      <c r="P42" s="368" t="s">
        <v>1046</v>
      </c>
      <c r="Q42" s="37"/>
      <c r="R42" s="37"/>
      <c r="S42" s="37"/>
      <c r="T42" s="37"/>
      <c r="U42" s="37"/>
      <c r="V42" s="37"/>
      <c r="W42" s="232"/>
      <c r="X42" s="233"/>
      <c r="Y42" s="242"/>
      <c r="Z42" s="233"/>
      <c r="AA42" s="233"/>
      <c r="AB42" s="233"/>
      <c r="AC42" s="233"/>
      <c r="AD42" s="233"/>
      <c r="AE42" s="233"/>
      <c r="AF42" s="249"/>
      <c r="AG42" s="244" t="s">
        <v>1439</v>
      </c>
      <c r="AH42" s="233"/>
      <c r="AI42" s="233"/>
      <c r="AJ42" s="233"/>
      <c r="AK42" s="233"/>
      <c r="AL42" s="233"/>
      <c r="AM42" s="276"/>
      <c r="AN42" s="242" t="s">
        <v>1440</v>
      </c>
      <c r="AO42" s="233"/>
      <c r="AP42" s="233"/>
      <c r="AQ42" s="233"/>
      <c r="AR42" s="233"/>
      <c r="AS42" s="233"/>
      <c r="AT42" s="503" t="s">
        <v>1448</v>
      </c>
      <c r="AU42" s="503"/>
      <c r="AV42" s="233"/>
      <c r="AW42" s="503" t="s">
        <v>1449</v>
      </c>
      <c r="AX42" s="233"/>
      <c r="AY42" s="49"/>
      <c r="AZ42" s="234"/>
      <c r="BA42" s="41" t="s">
        <v>1288</v>
      </c>
      <c r="BB42" s="47">
        <f>AG57</f>
        <v>0</v>
      </c>
      <c r="BC42" s="47">
        <f>AH57</f>
        <v>0</v>
      </c>
      <c r="BD42" s="47">
        <f>AI57</f>
        <v>0</v>
      </c>
      <c r="BE42" s="47">
        <f>AJ57</f>
        <v>0</v>
      </c>
      <c r="BF42" s="47">
        <f>AK57</f>
        <v>0</v>
      </c>
      <c r="BG42" s="47">
        <f>SUM(BB42:BF42)</f>
        <v>0</v>
      </c>
      <c r="BH42" s="49"/>
      <c r="BI42" s="234"/>
      <c r="BJ42" s="41" t="s">
        <v>1288</v>
      </c>
      <c r="BK42" s="47">
        <f>AG57</f>
        <v>0</v>
      </c>
      <c r="BL42" s="47">
        <f>AH57</f>
        <v>0</v>
      </c>
      <c r="BM42" s="47">
        <f>AI57</f>
        <v>0</v>
      </c>
      <c r="BN42" s="47">
        <f>AJ57</f>
        <v>0</v>
      </c>
      <c r="BO42" s="47">
        <f>AK57</f>
        <v>0</v>
      </c>
      <c r="BP42" s="47">
        <f>SUM(BK42:BO42)</f>
        <v>0</v>
      </c>
      <c r="BQ42" s="49"/>
      <c r="BR42" s="234"/>
      <c r="BS42" s="234"/>
      <c r="BT42" s="39"/>
      <c r="BU42" s="39"/>
      <c r="BV42" s="39"/>
      <c r="BW42" s="39"/>
      <c r="BX42" s="39"/>
      <c r="BY42" s="39"/>
      <c r="BZ42" s="234"/>
      <c r="CA42" s="234"/>
      <c r="CB42" s="234"/>
      <c r="CC42" s="234"/>
      <c r="CD42" s="234"/>
      <c r="CE42" s="234"/>
      <c r="CF42" s="234"/>
      <c r="CG42" s="234"/>
      <c r="CH42" s="234"/>
      <c r="CI42" s="234"/>
      <c r="CJ42" s="234"/>
      <c r="CK42" s="234"/>
      <c r="CL42" s="234"/>
      <c r="CM42" s="234"/>
      <c r="CN42" s="234"/>
      <c r="CO42" s="234"/>
      <c r="CP42" s="234"/>
      <c r="CQ42" s="234"/>
      <c r="CR42" s="234"/>
      <c r="CS42" s="234"/>
      <c r="CT42" s="234"/>
      <c r="CU42" s="234"/>
      <c r="CV42" s="234"/>
      <c r="CW42" s="234"/>
      <c r="CX42" s="234"/>
      <c r="CY42" s="31"/>
      <c r="CZ42" s="234"/>
      <c r="DA42" s="234"/>
      <c r="DB42" s="234"/>
      <c r="DC42" s="41" t="s">
        <v>1386</v>
      </c>
      <c r="DD42" s="47" t="e">
        <f ca="1">DD41*DD15</f>
        <v>#DIV/0!</v>
      </c>
      <c r="DE42" s="47" t="e">
        <f ca="1">DE41*DE15</f>
        <v>#DIV/0!</v>
      </c>
      <c r="DF42" s="47" t="e">
        <f ca="1">DF41*DF15</f>
        <v>#DIV/0!</v>
      </c>
      <c r="DG42" s="47" t="e">
        <f ca="1">DG41*DG15</f>
        <v>#DIV/0!</v>
      </c>
      <c r="DH42" s="47" t="e">
        <f ca="1">DH41*DH15</f>
        <v>#DIV/0!</v>
      </c>
      <c r="DI42" s="96" t="e">
        <f ca="1">DD42+DE42+DF42+DG42+DH42</f>
        <v>#DIV/0!</v>
      </c>
      <c r="DJ42" s="44" t="e">
        <f ca="1">DI42*1000/'Indata byggnad och BBR krav'!$C$16</f>
        <v>#DIV/0!</v>
      </c>
      <c r="DK42" s="44"/>
      <c r="DL42" s="41" t="s">
        <v>1386</v>
      </c>
      <c r="DM42" s="47" t="e">
        <f ca="1">DM41*DM15</f>
        <v>#DIV/0!</v>
      </c>
      <c r="DN42" s="47" t="e">
        <f ca="1">DN41*DN15</f>
        <v>#DIV/0!</v>
      </c>
      <c r="DO42" s="47" t="e">
        <f ca="1">DO41*DO15</f>
        <v>#DIV/0!</v>
      </c>
      <c r="DP42" s="47" t="e">
        <f ca="1">DP41*DP15</f>
        <v>#DIV/0!</v>
      </c>
      <c r="DQ42" s="47" t="e">
        <f ca="1">DQ41*DQ15</f>
        <v>#DIV/0!</v>
      </c>
      <c r="DR42" s="96" t="e">
        <f ca="1">DM42+DN42+DO42+DP42+DQ42</f>
        <v>#DIV/0!</v>
      </c>
      <c r="DS42" s="44" t="e">
        <f ca="1">DR42*1000/'Indata byggnad och BBR krav'!$C$16</f>
        <v>#DIV/0!</v>
      </c>
      <c r="DT42" s="44"/>
      <c r="EI42" s="253" t="str">
        <f>G130</f>
        <v>jan</v>
      </c>
    </row>
    <row r="43" spans="1:139" s="231" customFormat="1" ht="16.5" customHeight="1" thickBot="1" x14ac:dyDescent="0.3">
      <c r="A43" s="232"/>
      <c r="B43" s="232"/>
      <c r="C43" s="217" t="s">
        <v>1356</v>
      </c>
      <c r="D43" s="232"/>
      <c r="E43" s="232"/>
      <c r="F43" s="232"/>
      <c r="G43" s="37"/>
      <c r="H43" s="37"/>
      <c r="I43" s="97"/>
      <c r="J43" s="66" t="s">
        <v>1132</v>
      </c>
      <c r="K43" s="66"/>
      <c r="L43" s="97"/>
      <c r="M43" s="66" t="s">
        <v>1132</v>
      </c>
      <c r="N43" s="66"/>
      <c r="O43" s="97"/>
      <c r="P43" s="66" t="s">
        <v>1132</v>
      </c>
      <c r="Q43" s="66"/>
      <c r="R43" s="66"/>
      <c r="S43" s="66"/>
      <c r="T43" s="66"/>
      <c r="U43" s="66"/>
      <c r="V43" s="66"/>
      <c r="W43" s="232"/>
      <c r="X43" s="233"/>
      <c r="Y43" s="287" t="s">
        <v>14</v>
      </c>
      <c r="Z43" s="287" t="s">
        <v>1085</v>
      </c>
      <c r="AA43" s="287" t="s">
        <v>1100</v>
      </c>
      <c r="AB43" s="287" t="s">
        <v>1096</v>
      </c>
      <c r="AC43" s="287" t="s">
        <v>1097</v>
      </c>
      <c r="AD43" s="249" t="s">
        <v>1094</v>
      </c>
      <c r="AE43" s="233"/>
      <c r="AF43" s="98"/>
      <c r="AG43" s="287" t="s">
        <v>14</v>
      </c>
      <c r="AH43" s="287" t="s">
        <v>1085</v>
      </c>
      <c r="AI43" s="287" t="s">
        <v>1100</v>
      </c>
      <c r="AJ43" s="287" t="s">
        <v>1096</v>
      </c>
      <c r="AK43" s="287" t="s">
        <v>1097</v>
      </c>
      <c r="AL43" s="249" t="s">
        <v>1094</v>
      </c>
      <c r="AM43" s="276"/>
      <c r="AN43" s="287" t="s">
        <v>14</v>
      </c>
      <c r="AO43" s="287" t="s">
        <v>1085</v>
      </c>
      <c r="AP43" s="287" t="s">
        <v>1100</v>
      </c>
      <c r="AQ43" s="287" t="s">
        <v>1096</v>
      </c>
      <c r="AR43" s="287" t="s">
        <v>1097</v>
      </c>
      <c r="AS43" s="249" t="s">
        <v>1094</v>
      </c>
      <c r="AT43" s="504"/>
      <c r="AU43" s="504"/>
      <c r="AV43" s="244" t="s">
        <v>1370</v>
      </c>
      <c r="AW43" s="504"/>
      <c r="AX43" s="244" t="s">
        <v>1370</v>
      </c>
      <c r="AY43" s="49"/>
      <c r="AZ43" s="234"/>
      <c r="BA43" s="41" t="s">
        <v>1289</v>
      </c>
      <c r="BB43" s="47">
        <f>AG56</f>
        <v>0</v>
      </c>
      <c r="BC43" s="47">
        <f>AH56</f>
        <v>0</v>
      </c>
      <c r="BD43" s="47">
        <f>AI56</f>
        <v>0</v>
      </c>
      <c r="BE43" s="47">
        <f>AJ56</f>
        <v>0</v>
      </c>
      <c r="BF43" s="47">
        <f>AK56</f>
        <v>0</v>
      </c>
      <c r="BG43" s="47">
        <f>SUM(BB43:BF43)</f>
        <v>0</v>
      </c>
      <c r="BH43" s="49"/>
      <c r="BI43" s="234"/>
      <c r="BJ43" s="41" t="s">
        <v>1289</v>
      </c>
      <c r="BK43" s="47">
        <f>AG56</f>
        <v>0</v>
      </c>
      <c r="BL43" s="47">
        <f>AH56</f>
        <v>0</v>
      </c>
      <c r="BM43" s="47">
        <f>AI56</f>
        <v>0</v>
      </c>
      <c r="BN43" s="47">
        <f>AJ56</f>
        <v>0</v>
      </c>
      <c r="BO43" s="47">
        <f>AK56</f>
        <v>0</v>
      </c>
      <c r="BP43" s="47">
        <f>SUM(BK43:BO43)</f>
        <v>0</v>
      </c>
      <c r="BQ43" s="49"/>
      <c r="BR43" s="234"/>
      <c r="BS43" s="234"/>
      <c r="BT43" s="39"/>
      <c r="BU43" s="39"/>
      <c r="BV43" s="39"/>
      <c r="BW43" s="39"/>
      <c r="BX43" s="39"/>
      <c r="BY43" s="39"/>
      <c r="BZ43" s="234"/>
      <c r="CA43" s="234"/>
      <c r="CB43" s="234"/>
      <c r="CC43" s="234"/>
      <c r="CD43" s="234"/>
      <c r="CE43" s="234"/>
      <c r="CF43" s="234"/>
      <c r="CG43" s="234"/>
      <c r="CH43" s="234"/>
      <c r="CI43" s="234"/>
      <c r="CJ43" s="234"/>
      <c r="CK43" s="234"/>
      <c r="CL43" s="234"/>
      <c r="CM43" s="234"/>
      <c r="CN43" s="234"/>
      <c r="CO43" s="234"/>
      <c r="CP43" s="234"/>
      <c r="CQ43" s="234"/>
      <c r="CR43" s="234"/>
      <c r="CS43" s="234"/>
      <c r="CT43" s="234"/>
      <c r="CU43" s="234"/>
      <c r="CV43" s="234"/>
      <c r="CW43" s="234"/>
      <c r="CX43" s="234"/>
      <c r="CY43" s="31"/>
      <c r="CZ43" s="234"/>
      <c r="DA43" s="234"/>
      <c r="DB43" s="234"/>
      <c r="DC43" s="41" t="s">
        <v>1387</v>
      </c>
      <c r="DD43" s="47" t="e">
        <f ca="1">DD41*DD16</f>
        <v>#DIV/0!</v>
      </c>
      <c r="DE43" s="47" t="e">
        <f ca="1">DE41*DE16</f>
        <v>#DIV/0!</v>
      </c>
      <c r="DF43" s="47" t="e">
        <f ca="1">DF41*DF16</f>
        <v>#DIV/0!</v>
      </c>
      <c r="DG43" s="47" t="e">
        <f ca="1">DG41*DG16</f>
        <v>#DIV/0!</v>
      </c>
      <c r="DH43" s="47" t="e">
        <f ca="1">DH41*DH16</f>
        <v>#DIV/0!</v>
      </c>
      <c r="DI43" s="96" t="e">
        <f ca="1">DD43+DE43+DF43+DG43+DH43</f>
        <v>#DIV/0!</v>
      </c>
      <c r="DJ43" s="234"/>
      <c r="DK43" s="234"/>
      <c r="DL43" s="41" t="s">
        <v>1387</v>
      </c>
      <c r="DM43" s="47" t="e">
        <f ca="1">DM41*DM16</f>
        <v>#DIV/0!</v>
      </c>
      <c r="DN43" s="47" t="e">
        <f ca="1">DN41*DN16</f>
        <v>#DIV/0!</v>
      </c>
      <c r="DO43" s="47" t="e">
        <f ca="1">DO41*DO16</f>
        <v>#DIV/0!</v>
      </c>
      <c r="DP43" s="47" t="e">
        <f ca="1">DP41*DP16</f>
        <v>#DIV/0!</v>
      </c>
      <c r="DQ43" s="47" t="e">
        <f ca="1">DQ41*DQ16</f>
        <v>#DIV/0!</v>
      </c>
      <c r="DR43" s="96" t="e">
        <f ca="1">DM43+DN43+DO43+DP43+DQ43</f>
        <v>#DIV/0!</v>
      </c>
      <c r="DS43" s="234"/>
      <c r="DT43" s="234"/>
      <c r="EI43" s="253">
        <f>MATCH(EI42,EI3:EI14,0)</f>
        <v>1</v>
      </c>
    </row>
    <row r="44" spans="1:139" s="231" customFormat="1" ht="16.5" customHeight="1" x14ac:dyDescent="0.25">
      <c r="A44" s="232"/>
      <c r="B44" s="250"/>
      <c r="C44" s="506"/>
      <c r="D44" s="507"/>
      <c r="E44" s="251"/>
      <c r="F44" s="391" t="s">
        <v>1044</v>
      </c>
      <c r="G44" s="391" t="s">
        <v>1045</v>
      </c>
      <c r="H44" s="70"/>
      <c r="I44" s="71" t="s">
        <v>1075</v>
      </c>
      <c r="J44" s="391" t="str">
        <f>J42</f>
        <v>Producerad energi</v>
      </c>
      <c r="K44" s="70"/>
      <c r="L44" s="71" t="s">
        <v>1075</v>
      </c>
      <c r="M44" s="442" t="str">
        <f>M42</f>
        <v>Producerad energi</v>
      </c>
      <c r="N44" s="70"/>
      <c r="O44" s="71" t="s">
        <v>1075</v>
      </c>
      <c r="P44" s="442" t="str">
        <f>P42</f>
        <v>Producerad energi</v>
      </c>
      <c r="Q44" s="37"/>
      <c r="R44" s="37"/>
      <c r="S44" s="37"/>
      <c r="T44" s="37"/>
      <c r="U44" s="37"/>
      <c r="V44" s="37"/>
      <c r="W44" s="232"/>
      <c r="X44" s="233"/>
      <c r="Y44" s="252">
        <f>IF($J$40=$Y$43,I45,0)+IF($M$40=$Y$43,L45,0)+IF($P$40=$Y$43,O45,0)</f>
        <v>0</v>
      </c>
      <c r="Z44" s="252">
        <f t="shared" ref="Z44:Z55" si="104">IF(OR($J$40="El-panna",$J$40="Värmepump"),I45,0)+IF(OR($M$40="El-panna",$M$40="Värmepump"),L45,0)+IF(OR($P$40="El-panna",$P$40="Värmepump"),O45,0)</f>
        <v>0</v>
      </c>
      <c r="AA44" s="252">
        <f t="shared" ref="AA44:AA55" si="105">IF(OR($J$40="Flispanna",$J$40="Pelletspanna",$J$40="Vedpanna"),I45,0)+IF(OR($M$40="Flispanna",$M$40="Pelletspanna",$M$40="Vedpanna"),L45,0)+IF(OR($P$40="Flispanna",$P$40="Pelletspanna",$P$40="Vedpanna"),O45,0)</f>
        <v>0</v>
      </c>
      <c r="AB44" s="248">
        <f t="shared" ref="AB44:AB55" si="106">IF($J$40="Gaspanna",I45,0)+IF($M$40="Gaspanna",L45,0)+IF($P$40="Gaspanna",O45,0)</f>
        <v>0</v>
      </c>
      <c r="AC44" s="248">
        <f t="shared" ref="AC44:AC55" si="107">IF($J$40="Oljepanna",I45,0)+IF($M$40="Oljepanna",L45,0)+IF($P$40="Oljepanna",O45,0)</f>
        <v>0</v>
      </c>
      <c r="AD44" s="248">
        <f t="shared" ref="AD44:AD55" si="108">Y44+Z44+AA44+AB44+AC44</f>
        <v>0</v>
      </c>
      <c r="AE44" s="233"/>
      <c r="AF44" s="98"/>
      <c r="AG44" s="225">
        <f>IF($D$41="Inkluderad i energi för tappvarmvatten",Y44*0.75,Y44)</f>
        <v>0</v>
      </c>
      <c r="AH44" s="252">
        <f>IF($D$41="Inkluderad i energi för tappvarmvatten",Z44*0.75,Z44)</f>
        <v>0</v>
      </c>
      <c r="AI44" s="252">
        <f>IF($D$41="Inkluderad i energi för tappvarmvatten",AA44*0.75,AA44)</f>
        <v>0</v>
      </c>
      <c r="AJ44" s="252">
        <f>IF($D$41="Inkluderad i energi för tappvarmvatten",AB44*0.75,AB44)</f>
        <v>0</v>
      </c>
      <c r="AK44" s="252">
        <f>IF($D$41="Inkluderad i energi för tappvarmvatten",AC44*0.75,AC44)</f>
        <v>0</v>
      </c>
      <c r="AL44" s="248">
        <f t="shared" ref="AL44:AL55" si="109">AG44+AH44+AI44+AJ44+AK44</f>
        <v>0</v>
      </c>
      <c r="AM44" s="276"/>
      <c r="AN44" s="252">
        <f>IF($AG$58&gt;0,AG44*($Y$57/$Y$56),0)</f>
        <v>0</v>
      </c>
      <c r="AO44" s="252">
        <f>IF($AH$58&gt;0,AH44*($Z$57/$Z$56),0)</f>
        <v>0</v>
      </c>
      <c r="AP44" s="252">
        <f>IF($AI$58&gt;0,AI44*($AA$57/$AA$56),0)</f>
        <v>0</v>
      </c>
      <c r="AQ44" s="252">
        <f>IF($AJ$58&gt;0,AJ44*($AB$57/$AB$56),0)</f>
        <v>0</v>
      </c>
      <c r="AR44" s="252">
        <f>IF($AK$57&gt;0,AK44*($AC$57/$AC$56),0)</f>
        <v>0</v>
      </c>
      <c r="AS44" s="248">
        <f>AN44+AO44+AP44+AQ44+AR44</f>
        <v>0</v>
      </c>
      <c r="AT44" s="259">
        <f>IF($AN$58&gt;0,(AN44-$AN$58*(AC131+AE131+AG131))/$AN$57,0)+IF($AO$58&gt;0,(AO44-$AO$58*(AC131+AE131+AG131))/$AO$57,0)+IF($AP$58&gt;0,(AP44-$AP$58*(AC131+AE131+AG131))/$AP$57,0)+IF($AQ$58&gt;0,(AQ44-$AQ$58*(AC131+AE131+AG131))/$AQ$57,0)+IF($AR$58&gt;0,(AR44-$AR$58*(AC131+AE131+AG131))/$AR$57,0)</f>
        <v>0</v>
      </c>
      <c r="AU44" s="277">
        <f t="shared" ref="AU44:AU55" si="110">AT44-Y130</f>
        <v>0</v>
      </c>
      <c r="AV44" s="362" t="str">
        <f>IF(AT44&lt;0,"Fel i indata","")</f>
        <v/>
      </c>
      <c r="AW44" s="248">
        <f>IF($AO$58&gt;0,(AO44/$AO$57-Y130),0)</f>
        <v>0</v>
      </c>
      <c r="AX44" s="362" t="str">
        <f>IF(AW44&lt;0,"Fel i indata","")</f>
        <v/>
      </c>
      <c r="AY44" s="49"/>
      <c r="AZ44" s="234"/>
      <c r="BA44" s="41" t="s">
        <v>1107</v>
      </c>
      <c r="BB44" s="80">
        <f>IF(BB42&gt;0,BB42/BB43,0)</f>
        <v>0</v>
      </c>
      <c r="BC44" s="80">
        <f>IF(BC42&gt;0,BC42/BC43,0)</f>
        <v>0</v>
      </c>
      <c r="BD44" s="80">
        <f>IF(BD42&gt;0,BD42/BD43,0)</f>
        <v>0</v>
      </c>
      <c r="BE44" s="80">
        <f>IF(BE42&gt;0,BE42/BE43,0)</f>
        <v>0</v>
      </c>
      <c r="BF44" s="80">
        <f>IF(BF42&gt;0,BF42/BF43,0)</f>
        <v>0</v>
      </c>
      <c r="BG44" s="39"/>
      <c r="BH44" s="49"/>
      <c r="BI44" s="234"/>
      <c r="BJ44" s="41" t="s">
        <v>1107</v>
      </c>
      <c r="BK44" s="80">
        <f>IF(BB42&gt;0,BB42/BB43,0)</f>
        <v>0</v>
      </c>
      <c r="BL44" s="80">
        <f t="shared" ref="BL44:BO44" si="111">IF(BC42&gt;0,BC42/BC43,0)</f>
        <v>0</v>
      </c>
      <c r="BM44" s="80">
        <f t="shared" si="111"/>
        <v>0</v>
      </c>
      <c r="BN44" s="80">
        <f t="shared" si="111"/>
        <v>0</v>
      </c>
      <c r="BO44" s="80">
        <f t="shared" si="111"/>
        <v>0</v>
      </c>
      <c r="BP44" s="39"/>
      <c r="BQ44" s="49"/>
      <c r="BR44" s="234"/>
      <c r="BS44" s="234"/>
      <c r="BT44" s="39"/>
      <c r="BU44" s="39"/>
      <c r="BV44" s="39"/>
      <c r="BW44" s="39"/>
      <c r="BX44" s="39"/>
      <c r="BY44" s="39"/>
      <c r="BZ44" s="234"/>
      <c r="CA44" s="234"/>
      <c r="CB44" s="234"/>
      <c r="CC44" s="234"/>
      <c r="CD44" s="234"/>
      <c r="CE44" s="234"/>
      <c r="CF44" s="234"/>
      <c r="CG44" s="234"/>
      <c r="CH44" s="234"/>
      <c r="CI44" s="234"/>
      <c r="CJ44" s="234"/>
      <c r="CK44" s="234"/>
      <c r="CL44" s="234"/>
      <c r="CM44" s="234"/>
      <c r="CN44" s="234"/>
      <c r="CO44" s="234"/>
      <c r="CP44" s="234"/>
      <c r="CQ44" s="234"/>
      <c r="CR44" s="234"/>
      <c r="CS44" s="234"/>
      <c r="CT44" s="234"/>
      <c r="CU44" s="234"/>
      <c r="CV44" s="234"/>
      <c r="CW44" s="234"/>
      <c r="CX44" s="234"/>
      <c r="CY44" s="31"/>
      <c r="CZ44" s="234"/>
      <c r="DA44" s="234"/>
      <c r="DB44" s="234"/>
      <c r="DC44" s="234"/>
      <c r="DD44" s="234"/>
      <c r="DE44" s="234"/>
      <c r="DF44" s="234"/>
      <c r="DG44" s="234"/>
      <c r="DH44" s="234"/>
      <c r="DI44" s="234"/>
      <c r="DJ44" s="234"/>
      <c r="DK44" s="234"/>
      <c r="DL44" s="234"/>
      <c r="DM44" s="234"/>
      <c r="DN44" s="234"/>
      <c r="DO44" s="234"/>
      <c r="DP44" s="234"/>
      <c r="DQ44" s="234"/>
      <c r="DR44" s="234"/>
      <c r="DS44" s="234"/>
      <c r="DT44" s="234"/>
    </row>
    <row r="45" spans="1:139" s="231" customFormat="1" ht="16.5" customHeight="1" thickBot="1" x14ac:dyDescent="0.3">
      <c r="A45" s="232"/>
      <c r="B45" s="250"/>
      <c r="C45" s="508"/>
      <c r="D45" s="509"/>
      <c r="E45" s="232"/>
      <c r="F45" s="387">
        <f t="shared" ref="F45:G56" si="112">F19</f>
        <v>2017</v>
      </c>
      <c r="G45" s="387" t="str">
        <f t="shared" ca="1" si="112"/>
        <v>jan</v>
      </c>
      <c r="H45" s="70"/>
      <c r="I45" s="72">
        <f t="shared" ref="I45:I56" si="113">IF($D$40&gt;0,IF($I$44=$J$44,J45,J45/$J$41),0)</f>
        <v>0</v>
      </c>
      <c r="J45" s="388"/>
      <c r="K45" s="73"/>
      <c r="L45" s="72">
        <f t="shared" ref="L45:L56" si="114">IF($D$40&gt;1,IF($L$44=$M$44,M45,M45/$M$41),0)</f>
        <v>0</v>
      </c>
      <c r="M45" s="388"/>
      <c r="N45" s="73"/>
      <c r="O45" s="72">
        <f t="shared" ref="O45:O56" si="115">IF($D$40&gt;2,IF($O$44=$P$44,P45,P45/$P$41),0)</f>
        <v>0</v>
      </c>
      <c r="P45" s="443"/>
      <c r="Q45" s="246"/>
      <c r="R45" s="246"/>
      <c r="S45" s="246"/>
      <c r="T45" s="246"/>
      <c r="U45" s="246"/>
      <c r="V45" s="246"/>
      <c r="W45" s="232"/>
      <c r="X45" s="233"/>
      <c r="Y45" s="252">
        <f t="shared" ref="Y45:Y55" si="116">IF($J$40=$Y$43,I46,0)+IF($M$40=$Y$43,L46,0)+IF($P$40=$Y$43,O46,0)</f>
        <v>0</v>
      </c>
      <c r="Z45" s="252">
        <f t="shared" si="104"/>
        <v>0</v>
      </c>
      <c r="AA45" s="252">
        <f t="shared" si="105"/>
        <v>0</v>
      </c>
      <c r="AB45" s="248">
        <f t="shared" si="106"/>
        <v>0</v>
      </c>
      <c r="AC45" s="248">
        <f t="shared" si="107"/>
        <v>0</v>
      </c>
      <c r="AD45" s="248">
        <f t="shared" si="108"/>
        <v>0</v>
      </c>
      <c r="AE45" s="233"/>
      <c r="AF45" s="98"/>
      <c r="AG45" s="225">
        <f t="shared" ref="AG45:AK55" si="117">IF($D$41="Inkluderad i energi för tappvarmvatten",Y45*0.75,Y45)</f>
        <v>0</v>
      </c>
      <c r="AH45" s="252">
        <f t="shared" si="117"/>
        <v>0</v>
      </c>
      <c r="AI45" s="252">
        <f t="shared" si="117"/>
        <v>0</v>
      </c>
      <c r="AJ45" s="252">
        <f t="shared" si="117"/>
        <v>0</v>
      </c>
      <c r="AK45" s="252">
        <f t="shared" si="117"/>
        <v>0</v>
      </c>
      <c r="AL45" s="248">
        <f t="shared" si="109"/>
        <v>0</v>
      </c>
      <c r="AM45" s="276"/>
      <c r="AN45" s="252">
        <f t="shared" ref="AN45:AN55" si="118">IF($AG$58&gt;0,AG45*($Y$57/$Y$56),0)</f>
        <v>0</v>
      </c>
      <c r="AO45" s="252">
        <f t="shared" ref="AO45:AO55" si="119">IF($AH$58&gt;0,AH45*($Z$57/$Z$56),0)</f>
        <v>0</v>
      </c>
      <c r="AP45" s="252">
        <f t="shared" ref="AP45:AP55" si="120">IF($AI$58&gt;0,AI45*($AA$57/$AA$56),0)</f>
        <v>0</v>
      </c>
      <c r="AQ45" s="252">
        <f t="shared" ref="AQ45:AQ55" si="121">IF($AJ$58&gt;0,AJ45*($AB$57/$AB$56),0)</f>
        <v>0</v>
      </c>
      <c r="AR45" s="252">
        <f t="shared" ref="AR45:AR55" si="122">IF($AK$57&gt;0,AK45*($AC$57/$AC$56),0)</f>
        <v>0</v>
      </c>
      <c r="AS45" s="248">
        <f t="shared" ref="AS45:AS55" si="123">AN45+AO45+AP45+AQ45+AR45</f>
        <v>0</v>
      </c>
      <c r="AT45" s="259">
        <f t="shared" ref="AT45:AT55" si="124">IF($AN$58&gt;0,(AN45-$AN$58*(AC132+AE132+AG132))/$AN$57,0)+IF($AO$58&gt;0,(AO45-$AO$58*(AC132+AE132+AG132))/$AO$57,0)+IF($AP$58&gt;0,(AP45-$AP$58*(AC132+AE132+AG132))/$AP$57,0)+IF($AQ$58&gt;0,(AQ45-$AQ$58*(AC132+AE132+AG132))/$AQ$57,0)+IF($AR$58&gt;0,(AR45-$AR$58*(AC132+AE132+AG132))/$AR$57,0)</f>
        <v>0</v>
      </c>
      <c r="AU45" s="277">
        <f t="shared" si="110"/>
        <v>0</v>
      </c>
      <c r="AV45" s="362" t="str">
        <f t="shared" ref="AV45:AV55" si="125">IF(AT45&lt;0,"Fel i indata","")</f>
        <v/>
      </c>
      <c r="AW45" s="248">
        <f t="shared" ref="AW45:AW55" si="126">IF($AO$58&gt;0,(AO45/$AO$57-Y131),0)</f>
        <v>0</v>
      </c>
      <c r="AX45" s="362" t="str">
        <f t="shared" ref="AX45:AX55" si="127">IF(AW45&lt;0,"Fel i indata","")</f>
        <v/>
      </c>
      <c r="AY45" s="49"/>
      <c r="AZ45" s="234"/>
      <c r="BA45" s="41" t="s">
        <v>1200</v>
      </c>
      <c r="BB45" s="80">
        <f>IF($BG$42&gt;0,BB42/$BG$42,0)</f>
        <v>0</v>
      </c>
      <c r="BC45" s="80">
        <f t="shared" ref="BC45:BF45" si="128">IF($BG$42&gt;0,BC42/$BG$42,0)</f>
        <v>0</v>
      </c>
      <c r="BD45" s="80">
        <f t="shared" si="128"/>
        <v>0</v>
      </c>
      <c r="BE45" s="80">
        <f t="shared" si="128"/>
        <v>0</v>
      </c>
      <c r="BF45" s="80">
        <f t="shared" si="128"/>
        <v>0</v>
      </c>
      <c r="BG45" s="39"/>
      <c r="BH45" s="49"/>
      <c r="BI45" s="234"/>
      <c r="BJ45" s="41" t="s">
        <v>1200</v>
      </c>
      <c r="BK45" s="80">
        <f>IF($BP$42&gt;0,BK42/$BP$42,0)</f>
        <v>0</v>
      </c>
      <c r="BL45" s="80">
        <f t="shared" ref="BL45:BO45" si="129">IF($BP$42&gt;0,BL42/$BP$42,0)</f>
        <v>0</v>
      </c>
      <c r="BM45" s="80">
        <f t="shared" si="129"/>
        <v>0</v>
      </c>
      <c r="BN45" s="80">
        <f t="shared" si="129"/>
        <v>0</v>
      </c>
      <c r="BO45" s="80">
        <f t="shared" si="129"/>
        <v>0</v>
      </c>
      <c r="BP45" s="39"/>
      <c r="BQ45" s="49"/>
      <c r="BR45" s="234"/>
      <c r="BS45" s="234"/>
      <c r="BT45" s="39"/>
      <c r="BU45" s="39"/>
      <c r="BV45" s="39"/>
      <c r="BW45" s="39"/>
      <c r="BX45" s="39"/>
      <c r="BY45" s="39"/>
      <c r="BZ45" s="234"/>
      <c r="CA45" s="234"/>
      <c r="CB45" s="234"/>
      <c r="CC45" s="234"/>
      <c r="CD45" s="234"/>
      <c r="CE45" s="234"/>
      <c r="CF45" s="234"/>
      <c r="CG45" s="234"/>
      <c r="CH45" s="234"/>
      <c r="CI45" s="234"/>
      <c r="CJ45" s="234"/>
      <c r="CK45" s="234"/>
      <c r="CL45" s="234"/>
      <c r="CM45" s="234"/>
      <c r="CN45" s="234"/>
      <c r="CO45" s="234"/>
      <c r="CP45" s="234"/>
      <c r="CQ45" s="234"/>
      <c r="CR45" s="234"/>
      <c r="CS45" s="234"/>
      <c r="CT45" s="234"/>
      <c r="CU45" s="234"/>
      <c r="CV45" s="234"/>
      <c r="CW45" s="234"/>
      <c r="CX45" s="234"/>
      <c r="CY45" s="31"/>
      <c r="CZ45" s="234"/>
      <c r="DA45" s="234"/>
      <c r="DB45" s="234"/>
      <c r="DC45" s="122" t="s">
        <v>1401</v>
      </c>
      <c r="DD45" s="52">
        <f>'Indata byggnad och BBR krav'!$AA$9</f>
        <v>0.06</v>
      </c>
      <c r="DE45" s="52">
        <f>'Indata byggnad och BBR krav'!$AA$8</f>
        <v>2.1999999999999999E-2</v>
      </c>
      <c r="DF45" s="52">
        <f>'Indata byggnad och BBR krav'!$AA$10</f>
        <v>2.1999999999999999E-2</v>
      </c>
      <c r="DG45" s="52">
        <f>'Indata byggnad och BBR krav'!$AA$11</f>
        <v>0.26369999999999999</v>
      </c>
      <c r="DH45" s="52">
        <f>'Indata byggnad och BBR krav'!$AA$12</f>
        <v>0.30130000000000001</v>
      </c>
      <c r="DI45" s="299"/>
      <c r="DJ45" s="234"/>
      <c r="DK45" s="234"/>
      <c r="DL45" s="122" t="s">
        <v>1401</v>
      </c>
      <c r="DM45" s="52">
        <f>'Indata byggnad och BBR krav'!$AA$9</f>
        <v>0.06</v>
      </c>
      <c r="DN45" s="52">
        <f>'Indata byggnad och BBR krav'!$AA$8</f>
        <v>2.1999999999999999E-2</v>
      </c>
      <c r="DO45" s="52">
        <f>'Indata byggnad och BBR krav'!$AA$10</f>
        <v>2.1999999999999999E-2</v>
      </c>
      <c r="DP45" s="52">
        <f>'Indata byggnad och BBR krav'!$AA$11</f>
        <v>0.26369999999999999</v>
      </c>
      <c r="DQ45" s="52">
        <f>'Indata byggnad och BBR krav'!$AA$12</f>
        <v>0.30130000000000001</v>
      </c>
      <c r="DR45" s="299"/>
      <c r="DS45" s="234"/>
      <c r="DT45" s="234"/>
      <c r="EI45" s="253" t="str">
        <f>G155</f>
        <v>jan</v>
      </c>
    </row>
    <row r="46" spans="1:139" s="231" customFormat="1" ht="16.5" customHeight="1" thickBot="1" x14ac:dyDescent="0.3">
      <c r="A46" s="232"/>
      <c r="B46" s="250"/>
      <c r="C46" s="508"/>
      <c r="D46" s="509"/>
      <c r="E46" s="232"/>
      <c r="F46" s="387">
        <f t="shared" ca="1" si="112"/>
        <v>2017</v>
      </c>
      <c r="G46" s="387" t="str">
        <f t="shared" ca="1" si="112"/>
        <v>feb</v>
      </c>
      <c r="H46" s="70"/>
      <c r="I46" s="72">
        <f t="shared" si="113"/>
        <v>0</v>
      </c>
      <c r="J46" s="388"/>
      <c r="K46" s="73"/>
      <c r="L46" s="72">
        <f t="shared" si="114"/>
        <v>0</v>
      </c>
      <c r="M46" s="388"/>
      <c r="N46" s="73"/>
      <c r="O46" s="72">
        <f t="shared" si="115"/>
        <v>0</v>
      </c>
      <c r="P46" s="443"/>
      <c r="Q46" s="246"/>
      <c r="R46" s="246"/>
      <c r="S46" s="246"/>
      <c r="T46" s="246"/>
      <c r="U46" s="246"/>
      <c r="V46" s="246"/>
      <c r="W46" s="232"/>
      <c r="X46" s="233"/>
      <c r="Y46" s="252">
        <f t="shared" si="116"/>
        <v>0</v>
      </c>
      <c r="Z46" s="252">
        <f t="shared" si="104"/>
        <v>0</v>
      </c>
      <c r="AA46" s="252">
        <f t="shared" si="105"/>
        <v>0</v>
      </c>
      <c r="AB46" s="248">
        <f t="shared" si="106"/>
        <v>0</v>
      </c>
      <c r="AC46" s="248">
        <f t="shared" si="107"/>
        <v>0</v>
      </c>
      <c r="AD46" s="248">
        <f t="shared" si="108"/>
        <v>0</v>
      </c>
      <c r="AE46" s="233"/>
      <c r="AF46" s="98"/>
      <c r="AG46" s="225">
        <f t="shared" si="117"/>
        <v>0</v>
      </c>
      <c r="AH46" s="252">
        <f t="shared" si="117"/>
        <v>0</v>
      </c>
      <c r="AI46" s="252">
        <f t="shared" si="117"/>
        <v>0</v>
      </c>
      <c r="AJ46" s="252">
        <f t="shared" si="117"/>
        <v>0</v>
      </c>
      <c r="AK46" s="252">
        <f t="shared" si="117"/>
        <v>0</v>
      </c>
      <c r="AL46" s="248">
        <f t="shared" si="109"/>
        <v>0</v>
      </c>
      <c r="AM46" s="276"/>
      <c r="AN46" s="252">
        <f t="shared" si="118"/>
        <v>0</v>
      </c>
      <c r="AO46" s="252">
        <f t="shared" si="119"/>
        <v>0</v>
      </c>
      <c r="AP46" s="252">
        <f t="shared" si="120"/>
        <v>0</v>
      </c>
      <c r="AQ46" s="252">
        <f t="shared" si="121"/>
        <v>0</v>
      </c>
      <c r="AR46" s="252">
        <f t="shared" si="122"/>
        <v>0</v>
      </c>
      <c r="AS46" s="248">
        <f t="shared" si="123"/>
        <v>0</v>
      </c>
      <c r="AT46" s="259">
        <f t="shared" si="124"/>
        <v>0</v>
      </c>
      <c r="AU46" s="277">
        <f t="shared" si="110"/>
        <v>0</v>
      </c>
      <c r="AV46" s="362" t="str">
        <f t="shared" si="125"/>
        <v/>
      </c>
      <c r="AW46" s="248">
        <f t="shared" si="126"/>
        <v>0</v>
      </c>
      <c r="AX46" s="362" t="str">
        <f t="shared" si="127"/>
        <v/>
      </c>
      <c r="AY46" s="49"/>
      <c r="AZ46" s="234"/>
      <c r="BA46" s="234"/>
      <c r="BB46" s="234"/>
      <c r="BC46" s="234"/>
      <c r="BD46" s="234"/>
      <c r="BE46" s="234"/>
      <c r="BF46" s="234"/>
      <c r="BG46" s="49"/>
      <c r="BH46" s="49"/>
      <c r="BI46" s="234"/>
      <c r="BJ46" s="234"/>
      <c r="BK46" s="234"/>
      <c r="BL46" s="234"/>
      <c r="BM46" s="234"/>
      <c r="BN46" s="234"/>
      <c r="BO46" s="234"/>
      <c r="BP46" s="49"/>
      <c r="BQ46" s="49"/>
      <c r="BR46" s="234"/>
      <c r="BS46" s="234"/>
      <c r="BT46" s="39"/>
      <c r="BU46" s="39"/>
      <c r="BV46" s="39"/>
      <c r="BW46" s="39"/>
      <c r="BX46" s="39"/>
      <c r="BY46" s="39"/>
      <c r="BZ46" s="234"/>
      <c r="CA46" s="234"/>
      <c r="CB46" s="234"/>
      <c r="CC46" s="234"/>
      <c r="CD46" s="234"/>
      <c r="CE46" s="234"/>
      <c r="CF46" s="234"/>
      <c r="CG46" s="234"/>
      <c r="CH46" s="234"/>
      <c r="CI46" s="234"/>
      <c r="CJ46" s="234"/>
      <c r="CK46" s="234"/>
      <c r="CL46" s="234"/>
      <c r="CM46" s="234"/>
      <c r="CN46" s="234"/>
      <c r="CO46" s="234"/>
      <c r="CP46" s="234"/>
      <c r="CQ46" s="234"/>
      <c r="CR46" s="234"/>
      <c r="CS46" s="234"/>
      <c r="CT46" s="234"/>
      <c r="CU46" s="234"/>
      <c r="CV46" s="234"/>
      <c r="CW46" s="234"/>
      <c r="CX46" s="234"/>
      <c r="CY46" s="31"/>
      <c r="CZ46" s="234"/>
      <c r="DA46" s="234"/>
      <c r="DB46" s="234"/>
      <c r="DC46" s="438" t="s">
        <v>1411</v>
      </c>
      <c r="DD46" s="417" t="e">
        <f ca="1">DD40*1000/'Indata byggnad och BBR krav'!$C$40*'Indata byggnad och BBR krav'!$C$38*DD45</f>
        <v>#DIV/0!</v>
      </c>
      <c r="DE46" s="417" t="e">
        <f ca="1">DE40*1000/'Indata byggnad och BBR krav'!$C$40*'Indata byggnad och BBR krav'!$C$38*DE45</f>
        <v>#DIV/0!</v>
      </c>
      <c r="DF46" s="417" t="e">
        <f ca="1">DF40*1000/'Indata byggnad och BBR krav'!$C$40*'Indata byggnad och BBR krav'!$C$38*DF45</f>
        <v>#DIV/0!</v>
      </c>
      <c r="DG46" s="417" t="e">
        <f ca="1">DG40*1000/'Indata byggnad och BBR krav'!$C$40*'Indata byggnad och BBR krav'!$C$38*DG45</f>
        <v>#DIV/0!</v>
      </c>
      <c r="DH46" s="421" t="e">
        <f ca="1">DH40*1000/'Indata byggnad och BBR krav'!$C$40*'Indata byggnad och BBR krav'!$C$38*DH45</f>
        <v>#DIV/0!</v>
      </c>
      <c r="DI46" s="418" t="e">
        <f ca="1">SUM(DD46:DH46)</f>
        <v>#DIV/0!</v>
      </c>
      <c r="DJ46" s="298"/>
      <c r="DK46" s="234"/>
      <c r="DL46" s="438" t="s">
        <v>1411</v>
      </c>
      <c r="DM46" s="417" t="e">
        <f ca="1">DM40*1000/'Indata byggnad och BBR krav'!$C$40*'Indata byggnad och BBR krav'!$C$38*DM45</f>
        <v>#DIV/0!</v>
      </c>
      <c r="DN46" s="417" t="e">
        <f ca="1">DN40*1000/'Indata byggnad och BBR krav'!$C$40*'Indata byggnad och BBR krav'!$C$38*DN45</f>
        <v>#DIV/0!</v>
      </c>
      <c r="DO46" s="417" t="e">
        <f ca="1">DO40*1000/'Indata byggnad och BBR krav'!$C$40*'Indata byggnad och BBR krav'!$C$38*DO45</f>
        <v>#DIV/0!</v>
      </c>
      <c r="DP46" s="417" t="e">
        <f ca="1">DP40*1000/'Indata byggnad och BBR krav'!$C$40*'Indata byggnad och BBR krav'!$C$38*DP45</f>
        <v>#DIV/0!</v>
      </c>
      <c r="DQ46" s="421" t="e">
        <f ca="1">DQ40*1000/'Indata byggnad och BBR krav'!$C$40*'Indata byggnad och BBR krav'!$C$38*DQ45</f>
        <v>#DIV/0!</v>
      </c>
      <c r="DR46" s="418" t="e">
        <f ca="1">SUM(DM46:DQ46)</f>
        <v>#DIV/0!</v>
      </c>
      <c r="DS46" s="234"/>
      <c r="DT46" s="234"/>
      <c r="EI46" s="253">
        <f>MATCH(EI45,EI3:EI14,0)</f>
        <v>1</v>
      </c>
    </row>
    <row r="47" spans="1:139" s="231" customFormat="1" ht="16.5" customHeight="1" thickBot="1" x14ac:dyDescent="0.3">
      <c r="A47" s="232"/>
      <c r="B47" s="250"/>
      <c r="C47" s="510"/>
      <c r="D47" s="511"/>
      <c r="E47" s="232"/>
      <c r="F47" s="387">
        <f t="shared" ca="1" si="112"/>
        <v>2017</v>
      </c>
      <c r="G47" s="387" t="str">
        <f t="shared" ca="1" si="112"/>
        <v>mars</v>
      </c>
      <c r="H47" s="70"/>
      <c r="I47" s="72">
        <f t="shared" si="113"/>
        <v>0</v>
      </c>
      <c r="J47" s="388"/>
      <c r="K47" s="73"/>
      <c r="L47" s="72">
        <f t="shared" si="114"/>
        <v>0</v>
      </c>
      <c r="M47" s="388"/>
      <c r="N47" s="73"/>
      <c r="O47" s="72">
        <f t="shared" si="115"/>
        <v>0</v>
      </c>
      <c r="P47" s="443"/>
      <c r="Q47" s="246"/>
      <c r="R47" s="246"/>
      <c r="S47" s="246"/>
      <c r="T47" s="246"/>
      <c r="U47" s="246"/>
      <c r="V47" s="246"/>
      <c r="W47" s="232"/>
      <c r="X47" s="233"/>
      <c r="Y47" s="252">
        <f t="shared" si="116"/>
        <v>0</v>
      </c>
      <c r="Z47" s="252">
        <f t="shared" si="104"/>
        <v>0</v>
      </c>
      <c r="AA47" s="252">
        <f t="shared" si="105"/>
        <v>0</v>
      </c>
      <c r="AB47" s="248">
        <f t="shared" si="106"/>
        <v>0</v>
      </c>
      <c r="AC47" s="248">
        <f t="shared" si="107"/>
        <v>0</v>
      </c>
      <c r="AD47" s="248">
        <f t="shared" si="108"/>
        <v>0</v>
      </c>
      <c r="AE47" s="233"/>
      <c r="AF47" s="98"/>
      <c r="AG47" s="225">
        <f t="shared" si="117"/>
        <v>0</v>
      </c>
      <c r="AH47" s="252">
        <f t="shared" si="117"/>
        <v>0</v>
      </c>
      <c r="AI47" s="252">
        <f t="shared" si="117"/>
        <v>0</v>
      </c>
      <c r="AJ47" s="252">
        <f t="shared" si="117"/>
        <v>0</v>
      </c>
      <c r="AK47" s="252">
        <f t="shared" si="117"/>
        <v>0</v>
      </c>
      <c r="AL47" s="248">
        <f t="shared" si="109"/>
        <v>0</v>
      </c>
      <c r="AM47" s="276"/>
      <c r="AN47" s="252">
        <f t="shared" si="118"/>
        <v>0</v>
      </c>
      <c r="AO47" s="252">
        <f t="shared" si="119"/>
        <v>0</v>
      </c>
      <c r="AP47" s="252">
        <f t="shared" si="120"/>
        <v>0</v>
      </c>
      <c r="AQ47" s="252">
        <f t="shared" si="121"/>
        <v>0</v>
      </c>
      <c r="AR47" s="252">
        <f t="shared" si="122"/>
        <v>0</v>
      </c>
      <c r="AS47" s="248">
        <f t="shared" si="123"/>
        <v>0</v>
      </c>
      <c r="AT47" s="259">
        <f t="shared" si="124"/>
        <v>0</v>
      </c>
      <c r="AU47" s="277">
        <f t="shared" si="110"/>
        <v>0</v>
      </c>
      <c r="AV47" s="362" t="str">
        <f t="shared" si="125"/>
        <v/>
      </c>
      <c r="AW47" s="248">
        <f t="shared" si="126"/>
        <v>0</v>
      </c>
      <c r="AX47" s="362" t="str">
        <f t="shared" si="127"/>
        <v/>
      </c>
      <c r="AY47" s="49"/>
      <c r="AZ47" s="234"/>
      <c r="BA47" s="41" t="s">
        <v>1164</v>
      </c>
      <c r="BB47" s="39">
        <v>25</v>
      </c>
      <c r="BC47" s="39"/>
      <c r="BD47" s="39"/>
      <c r="BE47" s="39"/>
      <c r="BF47" s="49"/>
      <c r="BG47" s="49"/>
      <c r="BH47" s="49"/>
      <c r="BI47" s="234"/>
      <c r="BJ47" s="41" t="s">
        <v>1164</v>
      </c>
      <c r="BK47" s="39">
        <v>25</v>
      </c>
      <c r="BL47" s="39"/>
      <c r="BM47" s="39"/>
      <c r="BN47" s="39"/>
      <c r="BO47" s="49"/>
      <c r="BP47" s="49"/>
      <c r="BQ47" s="49"/>
      <c r="BR47" s="234"/>
      <c r="BS47" s="234"/>
      <c r="BT47" s="39"/>
      <c r="BU47" s="39"/>
      <c r="BV47" s="39"/>
      <c r="BW47" s="39"/>
      <c r="BX47" s="39"/>
      <c r="BY47" s="39"/>
      <c r="BZ47" s="234"/>
      <c r="CA47" s="234"/>
      <c r="CB47" s="234"/>
      <c r="CC47" s="234"/>
      <c r="CD47" s="234"/>
      <c r="CE47" s="234"/>
      <c r="CF47" s="234"/>
      <c r="CG47" s="234"/>
      <c r="CH47" s="234"/>
      <c r="CI47" s="234"/>
      <c r="CJ47" s="234"/>
      <c r="CK47" s="234"/>
      <c r="CL47" s="234"/>
      <c r="CM47" s="234"/>
      <c r="CN47" s="234"/>
      <c r="CO47" s="234"/>
      <c r="CP47" s="234"/>
      <c r="CQ47" s="234"/>
      <c r="CR47" s="234"/>
      <c r="CS47" s="234"/>
      <c r="CT47" s="234"/>
      <c r="CU47" s="234"/>
      <c r="CV47" s="234"/>
      <c r="CW47" s="234"/>
      <c r="CX47" s="234"/>
      <c r="CY47" s="31"/>
      <c r="CZ47" s="234"/>
      <c r="DA47" s="234"/>
      <c r="DB47" s="234"/>
      <c r="DC47" s="439" t="s">
        <v>1459</v>
      </c>
      <c r="DD47" s="417" t="e">
        <f ca="1">DD40*1000/'Indata byggnad och BBR krav'!$C$16*'Indata byggnad och BBR krav'!$C$38*DD45</f>
        <v>#DIV/0!</v>
      </c>
      <c r="DE47" s="417" t="e">
        <f ca="1">DE40*1000/'Indata byggnad och BBR krav'!$C$16*'Indata byggnad och BBR krav'!$C$38*DE45</f>
        <v>#DIV/0!</v>
      </c>
      <c r="DF47" s="417" t="e">
        <f ca="1">DF40*1000/'Indata byggnad och BBR krav'!$C$16*'Indata byggnad och BBR krav'!$C$38*DF45</f>
        <v>#DIV/0!</v>
      </c>
      <c r="DG47" s="417" t="e">
        <f ca="1">DG40*1000/'Indata byggnad och BBR krav'!$C$16*'Indata byggnad och BBR krav'!$C$38*DG45</f>
        <v>#DIV/0!</v>
      </c>
      <c r="DH47" s="421" t="e">
        <f ca="1">DH40*1000/'Indata byggnad och BBR krav'!$C$16*'Indata byggnad och BBR krav'!$C$38*DH45</f>
        <v>#DIV/0!</v>
      </c>
      <c r="DI47" s="418" t="e">
        <f t="shared" ref="DI47:DI48" ca="1" si="130">SUM(DD47:DH47)</f>
        <v>#DIV/0!</v>
      </c>
      <c r="DJ47" s="234"/>
      <c r="DK47" s="234"/>
      <c r="DL47" s="439" t="s">
        <v>1459</v>
      </c>
      <c r="DM47" s="417" t="e">
        <f ca="1">DM40*1000/'Indata byggnad och BBR krav'!$C$16*'Indata byggnad och BBR krav'!$C$38*DM45</f>
        <v>#DIV/0!</v>
      </c>
      <c r="DN47" s="417" t="e">
        <f ca="1">DN40*1000/'Indata byggnad och BBR krav'!$C$16*'Indata byggnad och BBR krav'!$C$38*DN45</f>
        <v>#DIV/0!</v>
      </c>
      <c r="DO47" s="417" t="e">
        <f ca="1">DO40*1000/'Indata byggnad och BBR krav'!$C$16*'Indata byggnad och BBR krav'!$C$38*DO45</f>
        <v>#DIV/0!</v>
      </c>
      <c r="DP47" s="417" t="e">
        <f ca="1">DP40*1000/'Indata byggnad och BBR krav'!$C$16*'Indata byggnad och BBR krav'!$C$38*DP45</f>
        <v>#DIV/0!</v>
      </c>
      <c r="DQ47" s="421" t="e">
        <f ca="1">DQ40*1000/'Indata byggnad och BBR krav'!$C$16*'Indata byggnad och BBR krav'!$C$38*DQ45</f>
        <v>#DIV/0!</v>
      </c>
      <c r="DR47" s="418" t="e">
        <f t="shared" ref="DR47:DR48" ca="1" si="131">SUM(DM47:DQ47)</f>
        <v>#DIV/0!</v>
      </c>
      <c r="DS47" s="234"/>
      <c r="DT47" s="234"/>
    </row>
    <row r="48" spans="1:139" s="231" customFormat="1" ht="16.5" customHeight="1" thickBot="1" x14ac:dyDescent="0.3">
      <c r="A48" s="232"/>
      <c r="B48" s="250"/>
      <c r="C48" s="250"/>
      <c r="D48" s="250"/>
      <c r="E48" s="232"/>
      <c r="F48" s="387">
        <f t="shared" ca="1" si="112"/>
        <v>2017</v>
      </c>
      <c r="G48" s="387" t="str">
        <f t="shared" ca="1" si="112"/>
        <v>apr</v>
      </c>
      <c r="H48" s="70"/>
      <c r="I48" s="72">
        <f t="shared" si="113"/>
        <v>0</v>
      </c>
      <c r="J48" s="388"/>
      <c r="K48" s="73"/>
      <c r="L48" s="72">
        <f t="shared" si="114"/>
        <v>0</v>
      </c>
      <c r="M48" s="388"/>
      <c r="N48" s="73"/>
      <c r="O48" s="72">
        <f t="shared" si="115"/>
        <v>0</v>
      </c>
      <c r="P48" s="443"/>
      <c r="Q48" s="246"/>
      <c r="R48" s="246"/>
      <c r="S48" s="246"/>
      <c r="T48" s="246"/>
      <c r="U48" s="246"/>
      <c r="V48" s="246"/>
      <c r="W48" s="232"/>
      <c r="X48" s="233"/>
      <c r="Y48" s="252">
        <f t="shared" si="116"/>
        <v>0</v>
      </c>
      <c r="Z48" s="252">
        <f t="shared" si="104"/>
        <v>0</v>
      </c>
      <c r="AA48" s="252">
        <f t="shared" si="105"/>
        <v>0</v>
      </c>
      <c r="AB48" s="248">
        <f t="shared" si="106"/>
        <v>0</v>
      </c>
      <c r="AC48" s="248">
        <f t="shared" si="107"/>
        <v>0</v>
      </c>
      <c r="AD48" s="248">
        <f t="shared" si="108"/>
        <v>0</v>
      </c>
      <c r="AE48" s="233"/>
      <c r="AF48" s="98"/>
      <c r="AG48" s="225">
        <f t="shared" si="117"/>
        <v>0</v>
      </c>
      <c r="AH48" s="252">
        <f t="shared" si="117"/>
        <v>0</v>
      </c>
      <c r="AI48" s="252">
        <f t="shared" si="117"/>
        <v>0</v>
      </c>
      <c r="AJ48" s="252">
        <f t="shared" si="117"/>
        <v>0</v>
      </c>
      <c r="AK48" s="252">
        <f t="shared" si="117"/>
        <v>0</v>
      </c>
      <c r="AL48" s="248">
        <f t="shared" si="109"/>
        <v>0</v>
      </c>
      <c r="AM48" s="276"/>
      <c r="AN48" s="252">
        <f t="shared" si="118"/>
        <v>0</v>
      </c>
      <c r="AO48" s="252">
        <f t="shared" si="119"/>
        <v>0</v>
      </c>
      <c r="AP48" s="252">
        <f t="shared" si="120"/>
        <v>0</v>
      </c>
      <c r="AQ48" s="252">
        <f t="shared" si="121"/>
        <v>0</v>
      </c>
      <c r="AR48" s="252">
        <f t="shared" si="122"/>
        <v>0</v>
      </c>
      <c r="AS48" s="248">
        <f t="shared" si="123"/>
        <v>0</v>
      </c>
      <c r="AT48" s="259">
        <f t="shared" si="124"/>
        <v>0</v>
      </c>
      <c r="AU48" s="277">
        <f t="shared" si="110"/>
        <v>0</v>
      </c>
      <c r="AV48" s="362" t="str">
        <f t="shared" si="125"/>
        <v/>
      </c>
      <c r="AW48" s="248">
        <f t="shared" si="126"/>
        <v>0</v>
      </c>
      <c r="AX48" s="362" t="str">
        <f t="shared" si="127"/>
        <v/>
      </c>
      <c r="AY48" s="49"/>
      <c r="AZ48" s="234"/>
      <c r="BA48" s="41" t="s">
        <v>1441</v>
      </c>
      <c r="BB48" s="39">
        <f>'Indata byggnad och BBR krav'!$C$17</f>
        <v>0</v>
      </c>
      <c r="BC48" s="39"/>
      <c r="BD48" s="39"/>
      <c r="BE48" s="39"/>
      <c r="BF48" s="49"/>
      <c r="BG48" s="49"/>
      <c r="BH48" s="49"/>
      <c r="BI48" s="234"/>
      <c r="BJ48" s="41" t="s">
        <v>1441</v>
      </c>
      <c r="BK48" s="39">
        <f>'Indata byggnad och BBR krav'!$C$17</f>
        <v>0</v>
      </c>
      <c r="BL48" s="39"/>
      <c r="BM48" s="39"/>
      <c r="BN48" s="39"/>
      <c r="BO48" s="49"/>
      <c r="BP48" s="49"/>
      <c r="BQ48" s="49"/>
      <c r="BR48" s="234"/>
      <c r="BS48" s="234"/>
      <c r="BT48" s="39"/>
      <c r="BU48" s="39"/>
      <c r="BV48" s="39"/>
      <c r="BW48" s="39"/>
      <c r="BX48" s="39"/>
      <c r="BY48" s="39"/>
      <c r="BZ48" s="234"/>
      <c r="CA48" s="234"/>
      <c r="CB48" s="234"/>
      <c r="CC48" s="234"/>
      <c r="CD48" s="234"/>
      <c r="CE48" s="234"/>
      <c r="CF48" s="234"/>
      <c r="CG48" s="234"/>
      <c r="CH48" s="234"/>
      <c r="CI48" s="234"/>
      <c r="CJ48" s="234"/>
      <c r="CK48" s="234"/>
      <c r="CL48" s="234"/>
      <c r="CM48" s="234"/>
      <c r="CN48" s="234"/>
      <c r="CO48" s="234"/>
      <c r="CP48" s="234"/>
      <c r="CQ48" s="234"/>
      <c r="CR48" s="234"/>
      <c r="CS48" s="234"/>
      <c r="CT48" s="234"/>
      <c r="CU48" s="234"/>
      <c r="CV48" s="234"/>
      <c r="CW48" s="234"/>
      <c r="CX48" s="234"/>
      <c r="CY48" s="234"/>
      <c r="CZ48" s="234"/>
      <c r="DA48" s="234"/>
      <c r="DB48" s="234"/>
      <c r="DC48" s="439" t="s">
        <v>1460</v>
      </c>
      <c r="DD48" s="419" t="e">
        <f ca="1">DD46/50</f>
        <v>#DIV/0!</v>
      </c>
      <c r="DE48" s="419" t="e">
        <f t="shared" ref="DE48:DH48" ca="1" si="132">DE46/50</f>
        <v>#DIV/0!</v>
      </c>
      <c r="DF48" s="419" t="e">
        <f t="shared" ca="1" si="132"/>
        <v>#DIV/0!</v>
      </c>
      <c r="DG48" s="419" t="e">
        <f t="shared" ca="1" si="132"/>
        <v>#DIV/0!</v>
      </c>
      <c r="DH48" s="419" t="e">
        <f t="shared" ca="1" si="132"/>
        <v>#DIV/0!</v>
      </c>
      <c r="DI48" s="420" t="e">
        <f t="shared" ca="1" si="130"/>
        <v>#DIV/0!</v>
      </c>
      <c r="DJ48" s="234"/>
      <c r="DK48" s="234"/>
      <c r="DL48" s="439" t="s">
        <v>1460</v>
      </c>
      <c r="DM48" s="419" t="e">
        <f ca="1">DM46/50</f>
        <v>#DIV/0!</v>
      </c>
      <c r="DN48" s="419" t="e">
        <f t="shared" ref="DN48:DQ48" ca="1" si="133">DN46/50</f>
        <v>#DIV/0!</v>
      </c>
      <c r="DO48" s="419" t="e">
        <f t="shared" ca="1" si="133"/>
        <v>#DIV/0!</v>
      </c>
      <c r="DP48" s="419" t="e">
        <f t="shared" ca="1" si="133"/>
        <v>#DIV/0!</v>
      </c>
      <c r="DQ48" s="419" t="e">
        <f t="shared" ca="1" si="133"/>
        <v>#DIV/0!</v>
      </c>
      <c r="DR48" s="420" t="e">
        <f t="shared" ca="1" si="131"/>
        <v>#DIV/0!</v>
      </c>
      <c r="DS48" s="234"/>
      <c r="DT48" s="234"/>
    </row>
    <row r="49" spans="1:124" s="231" customFormat="1" ht="16.5" customHeight="1" x14ac:dyDescent="0.25">
      <c r="A49" s="232"/>
      <c r="B49" s="250"/>
      <c r="C49" s="250"/>
      <c r="D49" s="250"/>
      <c r="E49" s="232"/>
      <c r="F49" s="387">
        <f t="shared" ca="1" si="112"/>
        <v>2017</v>
      </c>
      <c r="G49" s="387" t="str">
        <f t="shared" ca="1" si="112"/>
        <v>maj</v>
      </c>
      <c r="H49" s="70"/>
      <c r="I49" s="72">
        <f t="shared" si="113"/>
        <v>0</v>
      </c>
      <c r="J49" s="388"/>
      <c r="K49" s="73"/>
      <c r="L49" s="72">
        <f t="shared" si="114"/>
        <v>0</v>
      </c>
      <c r="M49" s="388"/>
      <c r="N49" s="73"/>
      <c r="O49" s="72">
        <f t="shared" si="115"/>
        <v>0</v>
      </c>
      <c r="P49" s="443"/>
      <c r="Q49" s="246"/>
      <c r="R49" s="246"/>
      <c r="S49" s="246"/>
      <c r="T49" s="246"/>
      <c r="U49" s="246"/>
      <c r="V49" s="246"/>
      <c r="W49" s="232"/>
      <c r="X49" s="233"/>
      <c r="Y49" s="252">
        <f t="shared" si="116"/>
        <v>0</v>
      </c>
      <c r="Z49" s="252">
        <f t="shared" si="104"/>
        <v>0</v>
      </c>
      <c r="AA49" s="252">
        <f t="shared" si="105"/>
        <v>0</v>
      </c>
      <c r="AB49" s="248">
        <f t="shared" si="106"/>
        <v>0</v>
      </c>
      <c r="AC49" s="248">
        <f t="shared" si="107"/>
        <v>0</v>
      </c>
      <c r="AD49" s="248">
        <f t="shared" si="108"/>
        <v>0</v>
      </c>
      <c r="AE49" s="233"/>
      <c r="AF49" s="98"/>
      <c r="AG49" s="225">
        <f t="shared" si="117"/>
        <v>0</v>
      </c>
      <c r="AH49" s="252">
        <f t="shared" si="117"/>
        <v>0</v>
      </c>
      <c r="AI49" s="252">
        <f t="shared" si="117"/>
        <v>0</v>
      </c>
      <c r="AJ49" s="252">
        <f t="shared" si="117"/>
        <v>0</v>
      </c>
      <c r="AK49" s="252">
        <f t="shared" si="117"/>
        <v>0</v>
      </c>
      <c r="AL49" s="248">
        <f t="shared" si="109"/>
        <v>0</v>
      </c>
      <c r="AM49" s="276"/>
      <c r="AN49" s="252">
        <f t="shared" si="118"/>
        <v>0</v>
      </c>
      <c r="AO49" s="252">
        <f t="shared" si="119"/>
        <v>0</v>
      </c>
      <c r="AP49" s="252">
        <f t="shared" si="120"/>
        <v>0</v>
      </c>
      <c r="AQ49" s="252">
        <f t="shared" si="121"/>
        <v>0</v>
      </c>
      <c r="AR49" s="252">
        <f t="shared" si="122"/>
        <v>0</v>
      </c>
      <c r="AS49" s="248">
        <f t="shared" si="123"/>
        <v>0</v>
      </c>
      <c r="AT49" s="259">
        <f t="shared" si="124"/>
        <v>0</v>
      </c>
      <c r="AU49" s="277">
        <f t="shared" si="110"/>
        <v>0</v>
      </c>
      <c r="AV49" s="362" t="str">
        <f t="shared" si="125"/>
        <v/>
      </c>
      <c r="AW49" s="248">
        <f t="shared" si="126"/>
        <v>0</v>
      </c>
      <c r="AX49" s="362" t="str">
        <f t="shared" si="127"/>
        <v/>
      </c>
      <c r="AY49" s="49"/>
      <c r="AZ49" s="234"/>
      <c r="BA49" s="41"/>
      <c r="BB49" s="39"/>
      <c r="BC49" s="39"/>
      <c r="BD49" s="39"/>
      <c r="BE49" s="39"/>
      <c r="BF49" s="49"/>
      <c r="BG49" s="49"/>
      <c r="BH49" s="49"/>
      <c r="BI49" s="234"/>
      <c r="BJ49" s="41"/>
      <c r="BK49" s="39"/>
      <c r="BL49" s="39"/>
      <c r="BM49" s="39"/>
      <c r="BN49" s="39"/>
      <c r="BO49" s="49"/>
      <c r="BP49" s="49"/>
      <c r="BQ49" s="49"/>
      <c r="BR49" s="234"/>
      <c r="BS49" s="234"/>
      <c r="BT49" s="39"/>
      <c r="BU49" s="39"/>
      <c r="BV49" s="39"/>
      <c r="BW49" s="39"/>
      <c r="BX49" s="39"/>
      <c r="BY49" s="39"/>
      <c r="BZ49" s="234"/>
      <c r="CA49" s="234"/>
      <c r="CB49" s="234"/>
      <c r="CC49" s="234"/>
      <c r="CD49" s="234"/>
      <c r="CE49" s="234"/>
      <c r="CF49" s="234"/>
      <c r="CG49" s="234"/>
      <c r="CH49" s="234"/>
      <c r="CI49" s="234"/>
      <c r="CJ49" s="234"/>
      <c r="CK49" s="234"/>
      <c r="CL49" s="234"/>
      <c r="CM49" s="234"/>
      <c r="CN49" s="234"/>
      <c r="CO49" s="234"/>
      <c r="CP49" s="234"/>
      <c r="CQ49" s="234"/>
      <c r="CR49" s="234"/>
      <c r="CS49" s="234"/>
      <c r="CT49" s="234"/>
      <c r="CU49" s="234"/>
      <c r="CV49" s="234"/>
      <c r="CW49" s="234"/>
      <c r="CX49" s="234"/>
      <c r="CY49" s="234"/>
      <c r="CZ49" s="234"/>
      <c r="DA49" s="234"/>
      <c r="DB49" s="234"/>
      <c r="DC49" s="234"/>
      <c r="DD49" s="234"/>
      <c r="DE49" s="234"/>
      <c r="DF49" s="234"/>
      <c r="DG49" s="234"/>
      <c r="DH49" s="234"/>
      <c r="DI49" s="234"/>
      <c r="DJ49" s="234"/>
      <c r="DK49" s="234"/>
      <c r="DL49" s="234"/>
      <c r="DM49" s="234"/>
      <c r="DN49" s="234"/>
      <c r="DO49" s="234"/>
      <c r="DP49" s="234"/>
      <c r="DQ49" s="234"/>
      <c r="DR49" s="234"/>
      <c r="DS49" s="234"/>
      <c r="DT49" s="234"/>
    </row>
    <row r="50" spans="1:124" s="231" customFormat="1" ht="16.5" customHeight="1" x14ac:dyDescent="0.25">
      <c r="A50" s="232"/>
      <c r="B50" s="250"/>
      <c r="C50" s="250"/>
      <c r="D50" s="250"/>
      <c r="E50" s="232"/>
      <c r="F50" s="387">
        <f t="shared" ca="1" si="112"/>
        <v>2017</v>
      </c>
      <c r="G50" s="387" t="str">
        <f t="shared" ca="1" si="112"/>
        <v xml:space="preserve">jun </v>
      </c>
      <c r="H50" s="70"/>
      <c r="I50" s="72">
        <f t="shared" si="113"/>
        <v>0</v>
      </c>
      <c r="J50" s="388"/>
      <c r="K50" s="73"/>
      <c r="L50" s="72">
        <f t="shared" si="114"/>
        <v>0</v>
      </c>
      <c r="M50" s="388"/>
      <c r="N50" s="73"/>
      <c r="O50" s="72">
        <f t="shared" si="115"/>
        <v>0</v>
      </c>
      <c r="P50" s="443"/>
      <c r="Q50" s="246"/>
      <c r="R50" s="246"/>
      <c r="S50" s="246"/>
      <c r="T50" s="246"/>
      <c r="U50" s="246"/>
      <c r="V50" s="246"/>
      <c r="W50" s="232"/>
      <c r="X50" s="233"/>
      <c r="Y50" s="252">
        <f t="shared" si="116"/>
        <v>0</v>
      </c>
      <c r="Z50" s="252">
        <f t="shared" si="104"/>
        <v>0</v>
      </c>
      <c r="AA50" s="252">
        <f t="shared" si="105"/>
        <v>0</v>
      </c>
      <c r="AB50" s="248">
        <f t="shared" si="106"/>
        <v>0</v>
      </c>
      <c r="AC50" s="248">
        <f t="shared" si="107"/>
        <v>0</v>
      </c>
      <c r="AD50" s="248">
        <f t="shared" si="108"/>
        <v>0</v>
      </c>
      <c r="AE50" s="233"/>
      <c r="AF50" s="98"/>
      <c r="AG50" s="225">
        <f t="shared" si="117"/>
        <v>0</v>
      </c>
      <c r="AH50" s="252">
        <f t="shared" si="117"/>
        <v>0</v>
      </c>
      <c r="AI50" s="252">
        <f t="shared" si="117"/>
        <v>0</v>
      </c>
      <c r="AJ50" s="252">
        <f t="shared" si="117"/>
        <v>0</v>
      </c>
      <c r="AK50" s="252">
        <f t="shared" si="117"/>
        <v>0</v>
      </c>
      <c r="AL50" s="248">
        <f t="shared" si="109"/>
        <v>0</v>
      </c>
      <c r="AM50" s="276"/>
      <c r="AN50" s="252">
        <f t="shared" si="118"/>
        <v>0</v>
      </c>
      <c r="AO50" s="252">
        <f t="shared" si="119"/>
        <v>0</v>
      </c>
      <c r="AP50" s="252">
        <f t="shared" si="120"/>
        <v>0</v>
      </c>
      <c r="AQ50" s="252">
        <f t="shared" si="121"/>
        <v>0</v>
      </c>
      <c r="AR50" s="252">
        <f t="shared" si="122"/>
        <v>0</v>
      </c>
      <c r="AS50" s="248">
        <f t="shared" si="123"/>
        <v>0</v>
      </c>
      <c r="AT50" s="259">
        <f t="shared" si="124"/>
        <v>0</v>
      </c>
      <c r="AU50" s="277">
        <f t="shared" si="110"/>
        <v>0</v>
      </c>
      <c r="AV50" s="362" t="str">
        <f t="shared" si="125"/>
        <v/>
      </c>
      <c r="AW50" s="248">
        <f t="shared" si="126"/>
        <v>0</v>
      </c>
      <c r="AX50" s="362" t="str">
        <f t="shared" si="127"/>
        <v/>
      </c>
      <c r="AY50" s="49"/>
      <c r="AZ50" s="234"/>
      <c r="BA50" s="41" t="s">
        <v>1443</v>
      </c>
      <c r="BB50" s="39">
        <v>2</v>
      </c>
      <c r="BC50" s="39"/>
      <c r="BD50" s="39"/>
      <c r="BE50" s="39"/>
      <c r="BF50" s="49"/>
      <c r="BG50" s="49"/>
      <c r="BH50" s="49"/>
      <c r="BI50" s="234"/>
      <c r="BJ50" s="41" t="s">
        <v>1443</v>
      </c>
      <c r="BK50" s="39">
        <v>2</v>
      </c>
      <c r="BL50" s="39"/>
      <c r="BM50" s="39"/>
      <c r="BN50" s="39"/>
      <c r="BO50" s="49"/>
      <c r="BP50" s="49"/>
      <c r="BQ50" s="49"/>
      <c r="BR50" s="234"/>
      <c r="BS50" s="234"/>
      <c r="BT50" s="39"/>
      <c r="BU50" s="39"/>
      <c r="BV50" s="39"/>
      <c r="BW50" s="39"/>
      <c r="BX50" s="39"/>
      <c r="BY50" s="39"/>
      <c r="BZ50" s="234"/>
      <c r="CA50" s="234"/>
      <c r="CB50" s="234"/>
      <c r="CC50" s="234"/>
      <c r="CD50" s="234"/>
      <c r="CE50" s="234"/>
      <c r="CF50" s="234"/>
      <c r="CG50" s="234"/>
      <c r="CH50" s="234"/>
      <c r="CI50" s="234"/>
      <c r="CJ50" s="234"/>
      <c r="CK50" s="234"/>
      <c r="CL50" s="234"/>
      <c r="CM50" s="234"/>
      <c r="CN50" s="234"/>
      <c r="CO50" s="234"/>
      <c r="CP50" s="234"/>
      <c r="CQ50" s="234"/>
      <c r="CR50" s="234"/>
      <c r="CS50" s="234"/>
      <c r="CT50" s="234"/>
      <c r="CU50" s="234"/>
      <c r="CV50" s="234"/>
      <c r="CW50" s="234"/>
      <c r="CX50" s="234"/>
      <c r="CY50" s="31"/>
      <c r="CZ50" s="234"/>
      <c r="DA50" s="234"/>
      <c r="DB50" s="234"/>
      <c r="DC50" s="234"/>
      <c r="DD50" s="234"/>
      <c r="DE50" s="234"/>
      <c r="DF50" s="234"/>
      <c r="DG50" s="234"/>
      <c r="DH50" s="234"/>
      <c r="DI50" s="234"/>
      <c r="DJ50" s="234"/>
      <c r="DK50" s="234"/>
      <c r="DL50" s="234"/>
      <c r="DM50" s="234"/>
      <c r="DN50" s="234"/>
      <c r="DO50" s="234"/>
      <c r="DP50" s="234"/>
      <c r="DQ50" s="234"/>
      <c r="DR50" s="234"/>
      <c r="DS50" s="234"/>
      <c r="DT50" s="234"/>
    </row>
    <row r="51" spans="1:124" s="231" customFormat="1" ht="16.5" customHeight="1" x14ac:dyDescent="0.25">
      <c r="A51" s="232"/>
      <c r="B51" s="250"/>
      <c r="C51" s="250"/>
      <c r="D51" s="250"/>
      <c r="E51" s="232"/>
      <c r="F51" s="387">
        <f t="shared" ca="1" si="112"/>
        <v>2017</v>
      </c>
      <c r="G51" s="387" t="str">
        <f t="shared" ca="1" si="112"/>
        <v>jul</v>
      </c>
      <c r="H51" s="70"/>
      <c r="I51" s="72">
        <f t="shared" si="113"/>
        <v>0</v>
      </c>
      <c r="J51" s="388"/>
      <c r="K51" s="73"/>
      <c r="L51" s="72">
        <f t="shared" si="114"/>
        <v>0</v>
      </c>
      <c r="M51" s="388"/>
      <c r="N51" s="73"/>
      <c r="O51" s="72">
        <f t="shared" si="115"/>
        <v>0</v>
      </c>
      <c r="P51" s="443"/>
      <c r="Q51" s="246"/>
      <c r="R51" s="246"/>
      <c r="S51" s="246"/>
      <c r="T51" s="246"/>
      <c r="U51" s="246"/>
      <c r="V51" s="246"/>
      <c r="W51" s="232"/>
      <c r="X51" s="233"/>
      <c r="Y51" s="252">
        <f t="shared" si="116"/>
        <v>0</v>
      </c>
      <c r="Z51" s="252">
        <f t="shared" si="104"/>
        <v>0</v>
      </c>
      <c r="AA51" s="252">
        <f t="shared" si="105"/>
        <v>0</v>
      </c>
      <c r="AB51" s="248">
        <f t="shared" si="106"/>
        <v>0</v>
      </c>
      <c r="AC51" s="248">
        <f t="shared" si="107"/>
        <v>0</v>
      </c>
      <c r="AD51" s="248">
        <f t="shared" si="108"/>
        <v>0</v>
      </c>
      <c r="AE51" s="233"/>
      <c r="AF51" s="98"/>
      <c r="AG51" s="225">
        <f t="shared" si="117"/>
        <v>0</v>
      </c>
      <c r="AH51" s="252">
        <f t="shared" si="117"/>
        <v>0</v>
      </c>
      <c r="AI51" s="252">
        <f t="shared" si="117"/>
        <v>0</v>
      </c>
      <c r="AJ51" s="252">
        <f t="shared" si="117"/>
        <v>0</v>
      </c>
      <c r="AK51" s="252">
        <f t="shared" si="117"/>
        <v>0</v>
      </c>
      <c r="AL51" s="248">
        <f t="shared" si="109"/>
        <v>0</v>
      </c>
      <c r="AM51" s="276"/>
      <c r="AN51" s="252">
        <f t="shared" si="118"/>
        <v>0</v>
      </c>
      <c r="AO51" s="252">
        <f t="shared" si="119"/>
        <v>0</v>
      </c>
      <c r="AP51" s="252">
        <f t="shared" si="120"/>
        <v>0</v>
      </c>
      <c r="AQ51" s="252">
        <f t="shared" si="121"/>
        <v>0</v>
      </c>
      <c r="AR51" s="252">
        <f t="shared" si="122"/>
        <v>0</v>
      </c>
      <c r="AS51" s="248">
        <f t="shared" si="123"/>
        <v>0</v>
      </c>
      <c r="AT51" s="259">
        <f t="shared" si="124"/>
        <v>0</v>
      </c>
      <c r="AU51" s="277">
        <f t="shared" si="110"/>
        <v>0</v>
      </c>
      <c r="AV51" s="362" t="str">
        <f t="shared" si="125"/>
        <v/>
      </c>
      <c r="AW51" s="248">
        <f t="shared" si="126"/>
        <v>0</v>
      </c>
      <c r="AX51" s="362" t="str">
        <f t="shared" si="127"/>
        <v/>
      </c>
      <c r="AY51" s="49"/>
      <c r="AZ51" s="234"/>
      <c r="BA51" s="41" t="s">
        <v>1442</v>
      </c>
      <c r="BB51" s="39">
        <f>'Indata byggnad och BBR krav'!$C$18</f>
        <v>0</v>
      </c>
      <c r="BC51" s="39"/>
      <c r="BD51" s="39"/>
      <c r="BE51" s="39"/>
      <c r="BF51" s="49"/>
      <c r="BG51" s="49"/>
      <c r="BH51" s="49"/>
      <c r="BI51" s="234"/>
      <c r="BJ51" s="41" t="s">
        <v>1442</v>
      </c>
      <c r="BK51" s="39">
        <f>'Indata byggnad och BBR krav'!$C$18</f>
        <v>0</v>
      </c>
      <c r="BL51" s="39"/>
      <c r="BM51" s="39"/>
      <c r="BN51" s="39"/>
      <c r="BO51" s="49"/>
      <c r="BP51" s="49"/>
      <c r="BQ51" s="49"/>
      <c r="BR51" s="234"/>
      <c r="BS51" s="234"/>
      <c r="BT51" s="67"/>
      <c r="BU51" s="67"/>
      <c r="BV51" s="67"/>
      <c r="BW51" s="67"/>
      <c r="BX51" s="67"/>
      <c r="BY51" s="67"/>
      <c r="BZ51" s="234"/>
      <c r="CA51" s="234"/>
      <c r="CB51" s="234"/>
      <c r="CC51" s="234"/>
      <c r="CD51" s="234"/>
      <c r="CE51" s="234"/>
      <c r="CF51" s="234"/>
      <c r="CG51" s="234"/>
      <c r="CH51" s="234"/>
      <c r="CI51" s="234"/>
      <c r="CJ51" s="234"/>
      <c r="CK51" s="234"/>
      <c r="CL51" s="234"/>
      <c r="CM51" s="234"/>
      <c r="CN51" s="234"/>
      <c r="CO51" s="234"/>
      <c r="CP51" s="234"/>
      <c r="CQ51" s="234"/>
      <c r="CR51" s="234"/>
      <c r="CS51" s="234"/>
      <c r="CT51" s="234"/>
      <c r="CU51" s="234"/>
      <c r="CV51" s="234"/>
      <c r="CW51" s="234"/>
      <c r="CX51" s="234"/>
      <c r="CY51" s="31"/>
      <c r="CZ51" s="234"/>
      <c r="DA51" s="234"/>
      <c r="DB51" s="234"/>
      <c r="DC51" s="234"/>
      <c r="DD51" s="234"/>
      <c r="DE51" s="234"/>
      <c r="DF51" s="234"/>
      <c r="DG51" s="234"/>
      <c r="DH51" s="234"/>
      <c r="DI51" s="234"/>
      <c r="DJ51" s="234"/>
      <c r="DK51" s="234"/>
      <c r="DL51" s="234"/>
      <c r="DM51" s="234"/>
      <c r="DN51" s="234"/>
      <c r="DO51" s="234"/>
      <c r="DP51" s="234"/>
      <c r="DQ51" s="234"/>
      <c r="DR51" s="234"/>
      <c r="DS51" s="234"/>
      <c r="DT51" s="234"/>
    </row>
    <row r="52" spans="1:124" s="231" customFormat="1" ht="16.5" customHeight="1" x14ac:dyDescent="0.25">
      <c r="A52" s="232"/>
      <c r="B52" s="250"/>
      <c r="C52" s="250"/>
      <c r="D52" s="250"/>
      <c r="E52" s="232"/>
      <c r="F52" s="387">
        <f t="shared" ca="1" si="112"/>
        <v>2017</v>
      </c>
      <c r="G52" s="387" t="str">
        <f t="shared" ca="1" si="112"/>
        <v>aug</v>
      </c>
      <c r="H52" s="70"/>
      <c r="I52" s="72">
        <f t="shared" si="113"/>
        <v>0</v>
      </c>
      <c r="J52" s="388"/>
      <c r="K52" s="73"/>
      <c r="L52" s="72">
        <f t="shared" si="114"/>
        <v>0</v>
      </c>
      <c r="M52" s="388"/>
      <c r="N52" s="73"/>
      <c r="O52" s="72">
        <f t="shared" si="115"/>
        <v>0</v>
      </c>
      <c r="P52" s="443"/>
      <c r="Q52" s="246"/>
      <c r="R52" s="246"/>
      <c r="S52" s="246"/>
      <c r="T52" s="246"/>
      <c r="U52" s="246"/>
      <c r="V52" s="246"/>
      <c r="W52" s="232"/>
      <c r="X52" s="233"/>
      <c r="Y52" s="252">
        <f t="shared" si="116"/>
        <v>0</v>
      </c>
      <c r="Z52" s="252">
        <f t="shared" si="104"/>
        <v>0</v>
      </c>
      <c r="AA52" s="252">
        <f t="shared" si="105"/>
        <v>0</v>
      </c>
      <c r="AB52" s="248">
        <f t="shared" si="106"/>
        <v>0</v>
      </c>
      <c r="AC52" s="248">
        <f t="shared" si="107"/>
        <v>0</v>
      </c>
      <c r="AD52" s="248">
        <f t="shared" si="108"/>
        <v>0</v>
      </c>
      <c r="AE52" s="233"/>
      <c r="AF52" s="98"/>
      <c r="AG52" s="225">
        <f t="shared" si="117"/>
        <v>0</v>
      </c>
      <c r="AH52" s="252">
        <f t="shared" si="117"/>
        <v>0</v>
      </c>
      <c r="AI52" s="252">
        <f t="shared" si="117"/>
        <v>0</v>
      </c>
      <c r="AJ52" s="252">
        <f t="shared" si="117"/>
        <v>0</v>
      </c>
      <c r="AK52" s="252">
        <f t="shared" si="117"/>
        <v>0</v>
      </c>
      <c r="AL52" s="248">
        <f t="shared" si="109"/>
        <v>0</v>
      </c>
      <c r="AM52" s="276"/>
      <c r="AN52" s="252">
        <f t="shared" si="118"/>
        <v>0</v>
      </c>
      <c r="AO52" s="252">
        <f t="shared" si="119"/>
        <v>0</v>
      </c>
      <c r="AP52" s="252">
        <f t="shared" si="120"/>
        <v>0</v>
      </c>
      <c r="AQ52" s="252">
        <f t="shared" si="121"/>
        <v>0</v>
      </c>
      <c r="AR52" s="252">
        <f t="shared" si="122"/>
        <v>0</v>
      </c>
      <c r="AS52" s="248">
        <f t="shared" si="123"/>
        <v>0</v>
      </c>
      <c r="AT52" s="259">
        <f t="shared" si="124"/>
        <v>0</v>
      </c>
      <c r="AU52" s="277">
        <f t="shared" si="110"/>
        <v>0</v>
      </c>
      <c r="AV52" s="362" t="str">
        <f t="shared" si="125"/>
        <v/>
      </c>
      <c r="AW52" s="248">
        <f t="shared" si="126"/>
        <v>0</v>
      </c>
      <c r="AX52" s="362" t="str">
        <f t="shared" si="127"/>
        <v/>
      </c>
      <c r="AY52" s="49"/>
      <c r="AZ52" s="234"/>
      <c r="BA52" s="41"/>
      <c r="BB52" s="234"/>
      <c r="BC52" s="234"/>
      <c r="BD52" s="234"/>
      <c r="BE52" s="234"/>
      <c r="BF52" s="234"/>
      <c r="BG52" s="49"/>
      <c r="BH52" s="49"/>
      <c r="BI52" s="234"/>
      <c r="BJ52" s="41"/>
      <c r="BK52" s="234"/>
      <c r="BL52" s="234"/>
      <c r="BM52" s="234"/>
      <c r="BN52" s="234"/>
      <c r="BO52" s="234"/>
      <c r="BP52" s="49"/>
      <c r="BQ52" s="49"/>
      <c r="BR52" s="234"/>
      <c r="BS52" s="234"/>
      <c r="BT52" s="67"/>
      <c r="BU52" s="67"/>
      <c r="BV52" s="67"/>
      <c r="BW52" s="67"/>
      <c r="BX52" s="67"/>
      <c r="BY52" s="67"/>
      <c r="BZ52" s="234"/>
      <c r="CA52" s="234"/>
      <c r="CB52" s="234"/>
      <c r="CC52" s="234"/>
      <c r="CD52" s="234"/>
      <c r="CE52" s="234"/>
      <c r="CF52" s="234"/>
      <c r="CG52" s="234"/>
      <c r="CH52" s="234"/>
      <c r="CI52" s="234"/>
      <c r="CJ52" s="234"/>
      <c r="CK52" s="234"/>
      <c r="CL52" s="234"/>
      <c r="CM52" s="234"/>
      <c r="CN52" s="234"/>
      <c r="CO52" s="234"/>
      <c r="CP52" s="234"/>
      <c r="CQ52" s="234"/>
      <c r="CR52" s="234"/>
      <c r="CS52" s="234"/>
      <c r="CT52" s="234"/>
      <c r="CU52" s="234"/>
      <c r="CV52" s="234"/>
      <c r="CW52" s="234"/>
      <c r="CX52" s="234"/>
      <c r="CY52" s="31"/>
      <c r="CZ52" s="234"/>
      <c r="DA52" s="234"/>
      <c r="DB52" s="234"/>
      <c r="DC52" s="234"/>
      <c r="DD52" s="234"/>
      <c r="DE52" s="234"/>
      <c r="DF52" s="234"/>
      <c r="DG52" s="234"/>
      <c r="DH52" s="234"/>
      <c r="DI52" s="234"/>
      <c r="DJ52" s="234"/>
      <c r="DK52" s="234"/>
      <c r="DL52" s="234"/>
      <c r="DM52" s="234"/>
      <c r="DN52" s="234"/>
      <c r="DO52" s="234"/>
      <c r="DP52" s="234"/>
      <c r="DQ52" s="234"/>
      <c r="DR52" s="234"/>
      <c r="DS52" s="234"/>
      <c r="DT52" s="234"/>
    </row>
    <row r="53" spans="1:124" s="231" customFormat="1" ht="16.5" customHeight="1" x14ac:dyDescent="0.25">
      <c r="A53" s="232"/>
      <c r="B53" s="250"/>
      <c r="C53" s="250"/>
      <c r="D53" s="250"/>
      <c r="E53" s="232"/>
      <c r="F53" s="387">
        <f t="shared" ca="1" si="112"/>
        <v>2017</v>
      </c>
      <c r="G53" s="387" t="str">
        <f t="shared" ca="1" si="112"/>
        <v>sept</v>
      </c>
      <c r="H53" s="70"/>
      <c r="I53" s="72">
        <f t="shared" si="113"/>
        <v>0</v>
      </c>
      <c r="J53" s="388"/>
      <c r="K53" s="73"/>
      <c r="L53" s="72">
        <f t="shared" si="114"/>
        <v>0</v>
      </c>
      <c r="M53" s="388"/>
      <c r="N53" s="73"/>
      <c r="O53" s="72">
        <f t="shared" si="115"/>
        <v>0</v>
      </c>
      <c r="P53" s="443"/>
      <c r="Q53" s="246"/>
      <c r="R53" s="246"/>
      <c r="S53" s="246"/>
      <c r="T53" s="246"/>
      <c r="U53" s="246"/>
      <c r="V53" s="246"/>
      <c r="W53" s="232"/>
      <c r="X53" s="233"/>
      <c r="Y53" s="252">
        <f t="shared" si="116"/>
        <v>0</v>
      </c>
      <c r="Z53" s="252">
        <f t="shared" si="104"/>
        <v>0</v>
      </c>
      <c r="AA53" s="252">
        <f t="shared" si="105"/>
        <v>0</v>
      </c>
      <c r="AB53" s="248">
        <f t="shared" si="106"/>
        <v>0</v>
      </c>
      <c r="AC53" s="248">
        <f t="shared" si="107"/>
        <v>0</v>
      </c>
      <c r="AD53" s="248">
        <f t="shared" si="108"/>
        <v>0</v>
      </c>
      <c r="AE53" s="233"/>
      <c r="AF53" s="98"/>
      <c r="AG53" s="225">
        <f t="shared" si="117"/>
        <v>0</v>
      </c>
      <c r="AH53" s="252">
        <f t="shared" si="117"/>
        <v>0</v>
      </c>
      <c r="AI53" s="252">
        <f t="shared" si="117"/>
        <v>0</v>
      </c>
      <c r="AJ53" s="252">
        <f t="shared" si="117"/>
        <v>0</v>
      </c>
      <c r="AK53" s="252">
        <f t="shared" si="117"/>
        <v>0</v>
      </c>
      <c r="AL53" s="248">
        <f t="shared" si="109"/>
        <v>0</v>
      </c>
      <c r="AM53" s="276"/>
      <c r="AN53" s="252">
        <f t="shared" si="118"/>
        <v>0</v>
      </c>
      <c r="AO53" s="252">
        <f t="shared" si="119"/>
        <v>0</v>
      </c>
      <c r="AP53" s="252">
        <f t="shared" si="120"/>
        <v>0</v>
      </c>
      <c r="AQ53" s="252">
        <f t="shared" si="121"/>
        <v>0</v>
      </c>
      <c r="AR53" s="252">
        <f t="shared" si="122"/>
        <v>0</v>
      </c>
      <c r="AS53" s="248">
        <f t="shared" si="123"/>
        <v>0</v>
      </c>
      <c r="AT53" s="259">
        <f t="shared" si="124"/>
        <v>0</v>
      </c>
      <c r="AU53" s="277">
        <f t="shared" si="110"/>
        <v>0</v>
      </c>
      <c r="AV53" s="362" t="str">
        <f t="shared" si="125"/>
        <v/>
      </c>
      <c r="AW53" s="248">
        <f t="shared" si="126"/>
        <v>0</v>
      </c>
      <c r="AX53" s="362" t="str">
        <f t="shared" si="127"/>
        <v/>
      </c>
      <c r="AY53" s="49"/>
      <c r="AZ53" s="234"/>
      <c r="BA53" s="41" t="s">
        <v>1444</v>
      </c>
      <c r="BB53" s="39">
        <f>(BB47*BB48+BB50*BB51)/100</f>
        <v>0</v>
      </c>
      <c r="BC53" s="39"/>
      <c r="BD53" s="39"/>
      <c r="BE53" s="39"/>
      <c r="BF53" s="49"/>
      <c r="BG53" s="49"/>
      <c r="BH53" s="49"/>
      <c r="BI53" s="234"/>
      <c r="BJ53" s="41" t="s">
        <v>1444</v>
      </c>
      <c r="BK53" s="39">
        <f>(BK47*BK48+BK50*BK51)/100</f>
        <v>0</v>
      </c>
      <c r="BL53" s="39"/>
      <c r="BM53" s="39"/>
      <c r="BN53" s="39"/>
      <c r="BO53" s="49"/>
      <c r="BP53" s="49"/>
      <c r="BQ53" s="49"/>
      <c r="BR53" s="234"/>
      <c r="BS53" s="234"/>
      <c r="BT53" s="234"/>
      <c r="BU53" s="234"/>
      <c r="BV53" s="234"/>
      <c r="BW53" s="234"/>
      <c r="BX53" s="234"/>
      <c r="BY53" s="234"/>
      <c r="BZ53" s="234"/>
      <c r="CA53" s="234"/>
      <c r="CB53" s="234"/>
      <c r="CC53" s="234"/>
      <c r="CD53" s="234"/>
      <c r="CE53" s="234"/>
      <c r="CF53" s="234"/>
      <c r="CG53" s="234"/>
      <c r="CH53" s="234"/>
      <c r="CI53" s="234"/>
      <c r="CJ53" s="234"/>
      <c r="CK53" s="234"/>
      <c r="CL53" s="234"/>
      <c r="CM53" s="234"/>
      <c r="CN53" s="234"/>
      <c r="CO53" s="234"/>
      <c r="CP53" s="234"/>
      <c r="CQ53" s="234"/>
      <c r="CR53" s="234"/>
      <c r="CS53" s="234"/>
      <c r="CT53" s="234"/>
      <c r="CU53" s="234"/>
      <c r="CV53" s="234"/>
      <c r="CW53" s="234"/>
      <c r="CX53" s="234"/>
      <c r="CY53" s="31"/>
      <c r="CZ53" s="234"/>
      <c r="DA53" s="234"/>
      <c r="DB53" s="234"/>
      <c r="DC53" s="234"/>
      <c r="DD53" s="234"/>
      <c r="DE53" s="234"/>
      <c r="DF53" s="234"/>
      <c r="DG53" s="234"/>
      <c r="DH53" s="234"/>
      <c r="DI53" s="234"/>
      <c r="DJ53" s="234"/>
      <c r="DK53" s="234"/>
      <c r="DL53" s="234"/>
      <c r="DM53" s="234"/>
      <c r="DN53" s="234"/>
      <c r="DO53" s="234"/>
      <c r="DP53" s="234"/>
      <c r="DQ53" s="234"/>
      <c r="DR53" s="234"/>
      <c r="DS53" s="234"/>
      <c r="DT53" s="234"/>
    </row>
    <row r="54" spans="1:124" s="231" customFormat="1" ht="16.5" customHeight="1" x14ac:dyDescent="0.25">
      <c r="A54" s="232"/>
      <c r="B54" s="250"/>
      <c r="C54" s="250"/>
      <c r="D54" s="250"/>
      <c r="E54" s="232"/>
      <c r="F54" s="387">
        <f t="shared" ca="1" si="112"/>
        <v>2017</v>
      </c>
      <c r="G54" s="387" t="str">
        <f t="shared" ca="1" si="112"/>
        <v>okt</v>
      </c>
      <c r="H54" s="70"/>
      <c r="I54" s="72">
        <f t="shared" si="113"/>
        <v>0</v>
      </c>
      <c r="J54" s="388"/>
      <c r="K54" s="73"/>
      <c r="L54" s="72">
        <f t="shared" si="114"/>
        <v>0</v>
      </c>
      <c r="M54" s="388"/>
      <c r="N54" s="73"/>
      <c r="O54" s="72">
        <f t="shared" si="115"/>
        <v>0</v>
      </c>
      <c r="P54" s="443"/>
      <c r="Q54" s="246"/>
      <c r="R54" s="246"/>
      <c r="S54" s="246"/>
      <c r="T54" s="246"/>
      <c r="U54" s="246"/>
      <c r="V54" s="246"/>
      <c r="W54" s="232"/>
      <c r="X54" s="233"/>
      <c r="Y54" s="252">
        <f t="shared" si="116"/>
        <v>0</v>
      </c>
      <c r="Z54" s="252">
        <f t="shared" si="104"/>
        <v>0</v>
      </c>
      <c r="AA54" s="252">
        <f t="shared" si="105"/>
        <v>0</v>
      </c>
      <c r="AB54" s="248">
        <f t="shared" si="106"/>
        <v>0</v>
      </c>
      <c r="AC54" s="248">
        <f t="shared" si="107"/>
        <v>0</v>
      </c>
      <c r="AD54" s="248">
        <f t="shared" si="108"/>
        <v>0</v>
      </c>
      <c r="AE54" s="233"/>
      <c r="AF54" s="98"/>
      <c r="AG54" s="225">
        <f t="shared" si="117"/>
        <v>0</v>
      </c>
      <c r="AH54" s="252">
        <f t="shared" si="117"/>
        <v>0</v>
      </c>
      <c r="AI54" s="252">
        <f t="shared" si="117"/>
        <v>0</v>
      </c>
      <c r="AJ54" s="252">
        <f t="shared" si="117"/>
        <v>0</v>
      </c>
      <c r="AK54" s="252">
        <f t="shared" si="117"/>
        <v>0</v>
      </c>
      <c r="AL54" s="248">
        <f t="shared" si="109"/>
        <v>0</v>
      </c>
      <c r="AM54" s="276"/>
      <c r="AN54" s="252">
        <f t="shared" si="118"/>
        <v>0</v>
      </c>
      <c r="AO54" s="252">
        <f t="shared" si="119"/>
        <v>0</v>
      </c>
      <c r="AP54" s="252">
        <f t="shared" si="120"/>
        <v>0</v>
      </c>
      <c r="AQ54" s="252">
        <f t="shared" si="121"/>
        <v>0</v>
      </c>
      <c r="AR54" s="252">
        <f t="shared" si="122"/>
        <v>0</v>
      </c>
      <c r="AS54" s="248">
        <f t="shared" si="123"/>
        <v>0</v>
      </c>
      <c r="AT54" s="259">
        <f t="shared" si="124"/>
        <v>0</v>
      </c>
      <c r="AU54" s="277">
        <f t="shared" si="110"/>
        <v>0</v>
      </c>
      <c r="AV54" s="362" t="str">
        <f t="shared" si="125"/>
        <v/>
      </c>
      <c r="AW54" s="248">
        <f t="shared" si="126"/>
        <v>0</v>
      </c>
      <c r="AX54" s="362" t="str">
        <f t="shared" si="127"/>
        <v/>
      </c>
      <c r="AY54" s="234"/>
      <c r="AZ54" s="234"/>
      <c r="BA54" s="41" t="s">
        <v>1445</v>
      </c>
      <c r="BB54" s="44">
        <f>IF($D$42="Finns",($BB$53*0.9),$BB$53)</f>
        <v>0</v>
      </c>
      <c r="BC54" s="39"/>
      <c r="BD54" s="39"/>
      <c r="BE54" s="39"/>
      <c r="BF54" s="49"/>
      <c r="BG54" s="49"/>
      <c r="BH54" s="49"/>
      <c r="BI54" s="234"/>
      <c r="BJ54" s="41" t="s">
        <v>1445</v>
      </c>
      <c r="BK54" s="44">
        <f>IF($D$42="Finns",($BK$53*0.9),$BK$53)</f>
        <v>0</v>
      </c>
      <c r="BL54" s="39"/>
      <c r="BM54" s="39"/>
      <c r="BN54" s="39"/>
      <c r="BO54" s="49"/>
      <c r="BP54" s="49"/>
      <c r="BQ54" s="49"/>
      <c r="BR54" s="234"/>
      <c r="BS54" s="234"/>
      <c r="BT54" s="234"/>
      <c r="BU54" s="234"/>
      <c r="BV54" s="234"/>
      <c r="BW54" s="234"/>
      <c r="BX54" s="234"/>
      <c r="BY54" s="234"/>
      <c r="BZ54" s="234"/>
      <c r="CA54" s="234"/>
      <c r="CB54" s="234"/>
      <c r="CC54" s="234"/>
      <c r="CD54" s="234"/>
      <c r="CE54" s="234"/>
      <c r="CF54" s="234"/>
      <c r="CG54" s="234"/>
      <c r="CH54" s="234"/>
      <c r="CI54" s="234"/>
      <c r="CJ54" s="234"/>
      <c r="CK54" s="234"/>
      <c r="CL54" s="234"/>
      <c r="CM54" s="234"/>
      <c r="CN54" s="234"/>
      <c r="CO54" s="234"/>
      <c r="CP54" s="234"/>
      <c r="CQ54" s="234"/>
      <c r="CR54" s="234"/>
      <c r="CS54" s="234"/>
      <c r="CT54" s="234"/>
      <c r="CU54" s="234"/>
      <c r="CV54" s="234"/>
      <c r="CW54" s="234"/>
      <c r="CX54" s="234"/>
      <c r="CY54" s="31"/>
      <c r="CZ54" s="234"/>
      <c r="DA54" s="234"/>
      <c r="DB54" s="234"/>
      <c r="DC54" s="234"/>
      <c r="DD54" s="234"/>
      <c r="DE54" s="234"/>
      <c r="DF54" s="234"/>
      <c r="DG54" s="234"/>
      <c r="DH54" s="234"/>
      <c r="DI54" s="234"/>
      <c r="DJ54" s="234"/>
      <c r="DK54" s="234"/>
      <c r="DL54" s="234"/>
      <c r="DM54" s="234"/>
      <c r="DN54" s="234"/>
      <c r="DO54" s="234"/>
      <c r="DP54" s="234"/>
      <c r="DQ54" s="234"/>
      <c r="DR54" s="234"/>
      <c r="DS54" s="234"/>
      <c r="DT54" s="234"/>
    </row>
    <row r="55" spans="1:124" s="231" customFormat="1" ht="16.5" customHeight="1" thickBot="1" x14ac:dyDescent="0.3">
      <c r="A55" s="232"/>
      <c r="B55" s="250"/>
      <c r="C55" s="250"/>
      <c r="D55" s="250"/>
      <c r="E55" s="232"/>
      <c r="F55" s="387">
        <f t="shared" ca="1" si="112"/>
        <v>2017</v>
      </c>
      <c r="G55" s="387" t="str">
        <f t="shared" ca="1" si="112"/>
        <v>nov</v>
      </c>
      <c r="H55" s="70"/>
      <c r="I55" s="72">
        <f t="shared" si="113"/>
        <v>0</v>
      </c>
      <c r="J55" s="388"/>
      <c r="K55" s="73"/>
      <c r="L55" s="72">
        <f t="shared" si="114"/>
        <v>0</v>
      </c>
      <c r="M55" s="388"/>
      <c r="N55" s="73"/>
      <c r="O55" s="72">
        <f t="shared" si="115"/>
        <v>0</v>
      </c>
      <c r="P55" s="443"/>
      <c r="Q55" s="246"/>
      <c r="R55" s="246"/>
      <c r="S55" s="246"/>
      <c r="T55" s="246"/>
      <c r="U55" s="246"/>
      <c r="V55" s="246"/>
      <c r="W55" s="232"/>
      <c r="X55" s="233"/>
      <c r="Y55" s="254">
        <f t="shared" si="116"/>
        <v>0</v>
      </c>
      <c r="Z55" s="254">
        <f t="shared" si="104"/>
        <v>0</v>
      </c>
      <c r="AA55" s="254">
        <f t="shared" si="105"/>
        <v>0</v>
      </c>
      <c r="AB55" s="255">
        <f t="shared" si="106"/>
        <v>0</v>
      </c>
      <c r="AC55" s="255">
        <f t="shared" si="107"/>
        <v>0</v>
      </c>
      <c r="AD55" s="255">
        <f t="shared" si="108"/>
        <v>0</v>
      </c>
      <c r="AE55" s="233"/>
      <c r="AF55" s="98"/>
      <c r="AG55" s="228">
        <f t="shared" si="117"/>
        <v>0</v>
      </c>
      <c r="AH55" s="254">
        <f t="shared" si="117"/>
        <v>0</v>
      </c>
      <c r="AI55" s="254">
        <f t="shared" si="117"/>
        <v>0</v>
      </c>
      <c r="AJ55" s="254">
        <f t="shared" si="117"/>
        <v>0</v>
      </c>
      <c r="AK55" s="254">
        <f t="shared" si="117"/>
        <v>0</v>
      </c>
      <c r="AL55" s="255">
        <f t="shared" si="109"/>
        <v>0</v>
      </c>
      <c r="AM55" s="276"/>
      <c r="AN55" s="254">
        <f t="shared" si="118"/>
        <v>0</v>
      </c>
      <c r="AO55" s="254">
        <f t="shared" si="119"/>
        <v>0</v>
      </c>
      <c r="AP55" s="254">
        <f t="shared" si="120"/>
        <v>0</v>
      </c>
      <c r="AQ55" s="254">
        <f t="shared" si="121"/>
        <v>0</v>
      </c>
      <c r="AR55" s="254">
        <f t="shared" si="122"/>
        <v>0</v>
      </c>
      <c r="AS55" s="255">
        <f t="shared" si="123"/>
        <v>0</v>
      </c>
      <c r="AT55" s="274">
        <f t="shared" si="124"/>
        <v>0</v>
      </c>
      <c r="AU55" s="278">
        <f t="shared" si="110"/>
        <v>0</v>
      </c>
      <c r="AV55" s="362" t="str">
        <f t="shared" si="125"/>
        <v/>
      </c>
      <c r="AW55" s="255">
        <f t="shared" si="126"/>
        <v>0</v>
      </c>
      <c r="AX55" s="362" t="str">
        <f t="shared" si="127"/>
        <v/>
      </c>
      <c r="AY55" s="234"/>
      <c r="AZ55" s="234"/>
      <c r="BA55" s="41" t="s">
        <v>1446</v>
      </c>
      <c r="BB55" s="44" t="e">
        <f>BB54-($AC$142+$AE$142)/'Indata byggnad och BBR krav'!$C$16</f>
        <v>#DIV/0!</v>
      </c>
      <c r="BC55" s="39"/>
      <c r="BD55" s="39"/>
      <c r="BE55" s="39"/>
      <c r="BF55" s="49"/>
      <c r="BG55" s="234"/>
      <c r="BH55" s="234"/>
      <c r="BI55" s="234"/>
      <c r="BJ55" s="41" t="s">
        <v>1446</v>
      </c>
      <c r="BK55" s="44" t="e">
        <f>BK54-($AE$142)/'Indata byggnad och BBR krav'!$C$16</f>
        <v>#DIV/0!</v>
      </c>
      <c r="BL55" s="39"/>
      <c r="BM55" s="39"/>
      <c r="BN55" s="39"/>
      <c r="BO55" s="49"/>
      <c r="BP55" s="234"/>
      <c r="BQ55" s="234"/>
      <c r="BR55" s="234"/>
      <c r="BS55" s="234"/>
      <c r="BT55" s="234"/>
      <c r="BU55" s="234"/>
      <c r="BV55" s="234"/>
      <c r="BW55" s="234"/>
      <c r="BX55" s="234"/>
      <c r="BY55" s="234"/>
      <c r="BZ55" s="234"/>
      <c r="CA55" s="234"/>
      <c r="CB55" s="234"/>
      <c r="CC55" s="234"/>
      <c r="CD55" s="234"/>
      <c r="CE55" s="234"/>
      <c r="CF55" s="234"/>
      <c r="CG55" s="234"/>
      <c r="CH55" s="234"/>
      <c r="CI55" s="234"/>
      <c r="CJ55" s="234"/>
      <c r="CK55" s="234"/>
      <c r="CL55" s="234"/>
      <c r="CM55" s="234"/>
      <c r="CN55" s="234"/>
      <c r="CO55" s="234"/>
      <c r="CP55" s="234"/>
      <c r="CQ55" s="234"/>
      <c r="CR55" s="234"/>
      <c r="CS55" s="234"/>
      <c r="CT55" s="234"/>
      <c r="CU55" s="234"/>
      <c r="CV55" s="234"/>
      <c r="CW55" s="234"/>
      <c r="CX55" s="234"/>
      <c r="CY55" s="31"/>
      <c r="CZ55" s="234"/>
      <c r="DA55" s="234"/>
      <c r="DB55" s="234"/>
      <c r="DC55" s="234"/>
      <c r="DD55" s="234"/>
      <c r="DE55" s="234"/>
      <c r="DF55" s="234"/>
      <c r="DG55" s="234"/>
      <c r="DH55" s="234"/>
      <c r="DI55" s="234"/>
      <c r="DJ55" s="234"/>
      <c r="DK55" s="234"/>
      <c r="DL55" s="234"/>
      <c r="DM55" s="234"/>
      <c r="DN55" s="234"/>
      <c r="DO55" s="234"/>
      <c r="DP55" s="234"/>
      <c r="DQ55" s="234"/>
      <c r="DR55" s="234"/>
      <c r="DS55" s="234"/>
      <c r="DT55" s="234"/>
    </row>
    <row r="56" spans="1:124" s="231" customFormat="1" ht="16.5" customHeight="1" thickTop="1" x14ac:dyDescent="0.25">
      <c r="A56" s="232"/>
      <c r="B56" s="250"/>
      <c r="C56" s="250"/>
      <c r="D56" s="250"/>
      <c r="E56" s="232"/>
      <c r="F56" s="387">
        <f t="shared" ca="1" si="112"/>
        <v>2017</v>
      </c>
      <c r="G56" s="387" t="str">
        <f t="shared" ca="1" si="112"/>
        <v>dec</v>
      </c>
      <c r="H56" s="70"/>
      <c r="I56" s="72">
        <f t="shared" si="113"/>
        <v>0</v>
      </c>
      <c r="J56" s="388"/>
      <c r="K56" s="73"/>
      <c r="L56" s="72">
        <f t="shared" si="114"/>
        <v>0</v>
      </c>
      <c r="M56" s="388"/>
      <c r="N56" s="73"/>
      <c r="O56" s="72">
        <f t="shared" si="115"/>
        <v>0</v>
      </c>
      <c r="P56" s="443"/>
      <c r="Q56" s="246"/>
      <c r="R56" s="246"/>
      <c r="S56" s="246"/>
      <c r="T56" s="246"/>
      <c r="U56" s="246"/>
      <c r="V56" s="246"/>
      <c r="W56" s="232"/>
      <c r="X56" s="236" t="s">
        <v>1296</v>
      </c>
      <c r="Y56" s="256">
        <f t="shared" ref="Y56:AD56" si="134">SUM(Y44:Y55)</f>
        <v>0</v>
      </c>
      <c r="Z56" s="256">
        <f t="shared" si="134"/>
        <v>0</v>
      </c>
      <c r="AA56" s="256">
        <f t="shared" si="134"/>
        <v>0</v>
      </c>
      <c r="AB56" s="256">
        <f t="shared" si="134"/>
        <v>0</v>
      </c>
      <c r="AC56" s="257">
        <f t="shared" si="134"/>
        <v>0</v>
      </c>
      <c r="AD56" s="256">
        <f t="shared" si="134"/>
        <v>0</v>
      </c>
      <c r="AE56" s="233"/>
      <c r="AF56" s="236" t="s">
        <v>1296</v>
      </c>
      <c r="AG56" s="256">
        <f t="shared" ref="AG56:AL56" si="135">SUM(AG44:AG55)</f>
        <v>0</v>
      </c>
      <c r="AH56" s="256">
        <f t="shared" si="135"/>
        <v>0</v>
      </c>
      <c r="AI56" s="256">
        <f t="shared" si="135"/>
        <v>0</v>
      </c>
      <c r="AJ56" s="256">
        <f t="shared" si="135"/>
        <v>0</v>
      </c>
      <c r="AK56" s="257">
        <f t="shared" si="135"/>
        <v>0</v>
      </c>
      <c r="AL56" s="256">
        <f t="shared" si="135"/>
        <v>0</v>
      </c>
      <c r="AM56" s="276"/>
      <c r="AN56" s="256">
        <f t="shared" ref="AN56:AT56" si="136">SUM(AN44:AN55)</f>
        <v>0</v>
      </c>
      <c r="AO56" s="256">
        <f t="shared" si="136"/>
        <v>0</v>
      </c>
      <c r="AP56" s="256">
        <f t="shared" si="136"/>
        <v>0</v>
      </c>
      <c r="AQ56" s="256">
        <f t="shared" si="136"/>
        <v>0</v>
      </c>
      <c r="AR56" s="256">
        <f t="shared" si="136"/>
        <v>0</v>
      </c>
      <c r="AS56" s="256">
        <f t="shared" si="136"/>
        <v>0</v>
      </c>
      <c r="AT56" s="256">
        <f t="shared" si="136"/>
        <v>0</v>
      </c>
      <c r="AU56" s="256">
        <f>SUM(AU44:AU55)</f>
        <v>0</v>
      </c>
      <c r="AV56" s="233"/>
      <c r="AW56" s="256">
        <f>SUM(AW44:AW55)</f>
        <v>0</v>
      </c>
      <c r="AX56" s="233"/>
      <c r="AY56" s="234"/>
      <c r="AZ56" s="234"/>
      <c r="BA56" s="234"/>
      <c r="BB56" s="103" t="s">
        <v>1292</v>
      </c>
      <c r="BC56" s="39"/>
      <c r="BD56" s="39"/>
      <c r="BE56" s="39"/>
      <c r="BF56" s="49"/>
      <c r="BG56" s="39" t="s">
        <v>1094</v>
      </c>
      <c r="BH56" s="234" t="s">
        <v>1293</v>
      </c>
      <c r="BI56" s="234"/>
      <c r="BJ56" s="234"/>
      <c r="BK56" s="103" t="s">
        <v>1292</v>
      </c>
      <c r="BL56" s="39"/>
      <c r="BM56" s="39"/>
      <c r="BN56" s="39"/>
      <c r="BO56" s="49"/>
      <c r="BP56" s="39" t="s">
        <v>1094</v>
      </c>
      <c r="BQ56" s="234" t="s">
        <v>1293</v>
      </c>
      <c r="BR56" s="234"/>
      <c r="BS56" s="234"/>
      <c r="BT56" s="234"/>
      <c r="BU56" s="234"/>
      <c r="BV56" s="234"/>
      <c r="BW56" s="234"/>
      <c r="BX56" s="234"/>
      <c r="BY56" s="234"/>
      <c r="BZ56" s="234"/>
      <c r="CA56" s="234"/>
      <c r="CB56" s="234"/>
      <c r="CC56" s="234"/>
      <c r="CD56" s="234"/>
      <c r="CE56" s="234"/>
      <c r="CF56" s="234"/>
      <c r="CG56" s="234"/>
      <c r="CH56" s="234"/>
      <c r="CI56" s="234"/>
      <c r="CJ56" s="234"/>
      <c r="CK56" s="234"/>
      <c r="CL56" s="234"/>
      <c r="CM56" s="234"/>
      <c r="CN56" s="234"/>
      <c r="CO56" s="234"/>
      <c r="CP56" s="234"/>
      <c r="CQ56" s="234"/>
      <c r="CR56" s="234"/>
      <c r="CS56" s="234"/>
      <c r="CT56" s="234"/>
      <c r="CU56" s="234"/>
      <c r="CV56" s="234"/>
      <c r="CW56" s="234"/>
      <c r="CX56" s="234"/>
      <c r="CY56" s="31"/>
      <c r="CZ56" s="234"/>
      <c r="DA56" s="234"/>
      <c r="DB56" s="234"/>
      <c r="DC56" s="234"/>
      <c r="DD56" s="234"/>
      <c r="DE56" s="234"/>
      <c r="DF56" s="234"/>
      <c r="DG56" s="234"/>
      <c r="DH56" s="234"/>
      <c r="DI56" s="234"/>
      <c r="DJ56" s="234"/>
      <c r="DK56" s="234"/>
      <c r="DL56" s="234"/>
      <c r="DM56" s="234"/>
      <c r="DN56" s="234"/>
      <c r="DO56" s="234"/>
      <c r="DP56" s="234"/>
      <c r="DQ56" s="234"/>
      <c r="DR56" s="234"/>
      <c r="DS56" s="234"/>
      <c r="DT56" s="234"/>
    </row>
    <row r="57" spans="1:124" s="231" customFormat="1" ht="16.5" customHeight="1" x14ac:dyDescent="0.25">
      <c r="A57" s="232"/>
      <c r="B57" s="250"/>
      <c r="C57" s="232"/>
      <c r="D57" s="251"/>
      <c r="E57" s="251"/>
      <c r="F57" s="250"/>
      <c r="G57" s="250"/>
      <c r="H57" s="250"/>
      <c r="I57" s="84">
        <f>SUM(I45:I56)</f>
        <v>0</v>
      </c>
      <c r="J57" s="84">
        <f>SUM(J45:J56)</f>
        <v>0</v>
      </c>
      <c r="K57" s="250"/>
      <c r="L57" s="84">
        <f>SUM(L45:L56)</f>
        <v>0</v>
      </c>
      <c r="M57" s="84">
        <f>SUM(M45:M56)</f>
        <v>0</v>
      </c>
      <c r="N57" s="250"/>
      <c r="O57" s="84">
        <f>SUM(O45:O56)</f>
        <v>0</v>
      </c>
      <c r="P57" s="84">
        <f>SUM(P45:P56)</f>
        <v>0</v>
      </c>
      <c r="Q57" s="250"/>
      <c r="R57" s="250"/>
      <c r="S57" s="250"/>
      <c r="T57" s="250"/>
      <c r="U57" s="250"/>
      <c r="V57" s="250"/>
      <c r="W57" s="232"/>
      <c r="X57" s="236" t="s">
        <v>1377</v>
      </c>
      <c r="Y57" s="256">
        <f>IF($J$40=$Y$43,I57*$J$41,0)+IF($M$40=$Y$43,L57*$M$41,0)+IF($P$40=$Y$43,O57*$P$41,0)</f>
        <v>0</v>
      </c>
      <c r="Z57" s="256">
        <f>IF(OR(J40="El-panna",J40="Värmepump"),I57*J41,0)+IF(OR(M40="El-panna",M40="Värmepump"),L57*M41,0)+IF(OR(P40="El-panna",P40="Värmepump"),O57*P41,0)</f>
        <v>0</v>
      </c>
      <c r="AA57" s="257">
        <f>IF(OR(J40="Flispanna",J40="Pelletspanna",J40="Vedpanna"),I57*J41,0)+IF(OR(M40="Flispanna",M40="Pelletspanna",M40="Vedpanna"),L57*M41,0)+IF(OR(P40="Flispanna",P40="Pelletspanna",P40="Vedpanna"),O57*P41,0)</f>
        <v>0</v>
      </c>
      <c r="AB57" s="257">
        <f>IF(J40="Gaspanna",I57*J41,0)+IF(M40="Gaspanna",L57*M41,0)+IF(P40="Gaspanna",O57*P41,0)</f>
        <v>0</v>
      </c>
      <c r="AC57" s="257">
        <f>IF(J40="Oljepanna",I57/J41,0)+IF(M40="Oljepanna",L57/M41,0)+IF(P40="Oljepanna",O57/P41,0)</f>
        <v>0</v>
      </c>
      <c r="AD57" s="256">
        <f>SUM(Y57:AC57)</f>
        <v>0</v>
      </c>
      <c r="AE57" s="233"/>
      <c r="AF57" s="236" t="s">
        <v>1377</v>
      </c>
      <c r="AG57" s="263">
        <f>IF(AG56&gt;0,AG56*(Y57/Y56),0)</f>
        <v>0</v>
      </c>
      <c r="AH57" s="248">
        <f>IF(AH56&gt;0,AH56*(Z57/Z56),0)</f>
        <v>0</v>
      </c>
      <c r="AI57" s="248">
        <f>IF(AI56&gt;0,AI56*(AA57/AA56),0)</f>
        <v>0</v>
      </c>
      <c r="AJ57" s="248">
        <f>IF(AJ56&gt;0,AJ56*(AB57/AB56),0)</f>
        <v>0</v>
      </c>
      <c r="AK57" s="248">
        <f>IF(AK56&gt;0,AK56*(AC57/AC56),0)</f>
        <v>0</v>
      </c>
      <c r="AL57" s="256">
        <f>AG57+AH57+AI57+AJ57+AK57</f>
        <v>0</v>
      </c>
      <c r="AM57" s="273" t="s">
        <v>1312</v>
      </c>
      <c r="AN57" s="189">
        <f>IF(AG56&gt;0,AN56/AG56,0)</f>
        <v>0</v>
      </c>
      <c r="AO57" s="190">
        <f t="shared" ref="AO57:AR57" si="137">IF(AH56&gt;0,AO56/AH56,0)</f>
        <v>0</v>
      </c>
      <c r="AP57" s="189">
        <f t="shared" si="137"/>
        <v>0</v>
      </c>
      <c r="AQ57" s="189">
        <f t="shared" si="137"/>
        <v>0</v>
      </c>
      <c r="AR57" s="189">
        <f t="shared" si="137"/>
        <v>0</v>
      </c>
      <c r="AS57" s="233"/>
      <c r="AT57" s="233"/>
      <c r="AU57" s="233"/>
      <c r="AV57" s="233"/>
      <c r="AW57" s="233"/>
      <c r="AX57" s="233"/>
      <c r="AY57" s="58"/>
      <c r="AZ57" s="234"/>
      <c r="BA57" s="41" t="s">
        <v>1290</v>
      </c>
      <c r="BB57" s="47">
        <f>IF(BB45&gt;0,($BB$55*BB45*'Indata byggnad och BBR krav'!$C$16/1000),0)</f>
        <v>0</v>
      </c>
      <c r="BC57" s="47">
        <f>IF(BC45&gt;0,($BB$55*BC45*'Indata byggnad och BBR krav'!$C$16/1000),0)</f>
        <v>0</v>
      </c>
      <c r="BD57" s="47">
        <f>IF(BD45&gt;0,($BB$55*BD45*'Indata byggnad och BBR krav'!$C$16/1000),0)</f>
        <v>0</v>
      </c>
      <c r="BE57" s="47">
        <f>IF(BE45&gt;0,($BB$55*BE45*'Indata byggnad och BBR krav'!$C$16/1000),0)</f>
        <v>0</v>
      </c>
      <c r="BF57" s="47">
        <f>IF(BF45&gt;0,($BB$55*BF45*'Indata byggnad och BBR krav'!$C$16/1000),0)</f>
        <v>0</v>
      </c>
      <c r="BG57" s="104">
        <f>SUM(BB57:BF57)</f>
        <v>0</v>
      </c>
      <c r="BH57" s="44" t="e">
        <f>BG57*1000/'Indata byggnad och BBR krav'!$C$16</f>
        <v>#DIV/0!</v>
      </c>
      <c r="BI57" s="234"/>
      <c r="BJ57" s="41" t="s">
        <v>1290</v>
      </c>
      <c r="BK57" s="47">
        <f>IF(BK45&gt;0,($BK$55*BK45*'Indata byggnad och BBR krav'!$C$16/1000),0)</f>
        <v>0</v>
      </c>
      <c r="BL57" s="47">
        <f>IF(BL45&gt;0,($BK$55*BL45*'Indata byggnad och BBR krav'!$C$16/1000),0)</f>
        <v>0</v>
      </c>
      <c r="BM57" s="47">
        <f>IF(BM45&gt;0,($BK$55*BM45*'Indata byggnad och BBR krav'!$C$16/1000),0)</f>
        <v>0</v>
      </c>
      <c r="BN57" s="47">
        <f>IF(BN45&gt;0,($BK$55*BN45*'Indata byggnad och BBR krav'!$C$16/1000),0)</f>
        <v>0</v>
      </c>
      <c r="BO57" s="47">
        <f>IF(BO45&gt;0,($BK$55*BO45*'Indata byggnad och BBR krav'!$C$16/1000),0)</f>
        <v>0</v>
      </c>
      <c r="BP57" s="104">
        <f>SUM(BK57:BO57)</f>
        <v>0</v>
      </c>
      <c r="BQ57" s="44" t="e">
        <f>BP57*1000/'Indata byggnad och BBR krav'!$C$16</f>
        <v>#DIV/0!</v>
      </c>
      <c r="BR57" s="234"/>
      <c r="BS57" s="234"/>
      <c r="BT57" s="234"/>
      <c r="BU57" s="234"/>
      <c r="BV57" s="234"/>
      <c r="BW57" s="234"/>
      <c r="BX57" s="234"/>
      <c r="BY57" s="234"/>
      <c r="BZ57" s="234"/>
      <c r="CA57" s="234"/>
      <c r="CB57" s="234"/>
      <c r="CC57" s="234"/>
      <c r="CD57" s="234"/>
      <c r="CE57" s="234"/>
      <c r="CF57" s="234"/>
      <c r="CG57" s="234"/>
      <c r="CH57" s="234"/>
      <c r="CI57" s="234"/>
      <c r="CJ57" s="234"/>
      <c r="CK57" s="234"/>
      <c r="CL57" s="234"/>
      <c r="CM57" s="234"/>
      <c r="CN57" s="234"/>
      <c r="CO57" s="234"/>
      <c r="CP57" s="234"/>
      <c r="CQ57" s="234"/>
      <c r="CR57" s="234"/>
      <c r="CS57" s="234"/>
      <c r="CT57" s="234"/>
      <c r="CU57" s="234"/>
      <c r="CV57" s="234"/>
      <c r="CW57" s="234"/>
      <c r="CX57" s="234"/>
      <c r="CY57" s="31"/>
      <c r="CZ57" s="234"/>
      <c r="DA57" s="234"/>
      <c r="DB57" s="234"/>
      <c r="DC57" s="234"/>
      <c r="DD57" s="234"/>
      <c r="DE57" s="234"/>
      <c r="DF57" s="234"/>
      <c r="DG57" s="234"/>
      <c r="DH57" s="234"/>
      <c r="DI57" s="234"/>
      <c r="DJ57" s="234"/>
      <c r="DK57" s="234"/>
      <c r="DL57" s="234"/>
      <c r="DM57" s="234"/>
      <c r="DN57" s="234"/>
      <c r="DO57" s="234"/>
      <c r="DP57" s="234"/>
      <c r="DQ57" s="234"/>
      <c r="DR57" s="234"/>
      <c r="DS57" s="234"/>
      <c r="DT57" s="234"/>
    </row>
    <row r="58" spans="1:124" s="231" customFormat="1" ht="20.25" customHeight="1" thickBot="1" x14ac:dyDescent="0.3">
      <c r="A58" s="232"/>
      <c r="B58" s="232"/>
      <c r="D58" s="232"/>
      <c r="E58" s="232"/>
      <c r="F58" s="211"/>
      <c r="G58" s="211"/>
      <c r="H58" s="211"/>
      <c r="I58" s="211"/>
      <c r="J58" s="211"/>
      <c r="K58" s="211"/>
      <c r="L58" s="211"/>
      <c r="M58" s="211"/>
      <c r="N58" s="211"/>
      <c r="O58" s="211"/>
      <c r="P58" s="211"/>
      <c r="Q58" s="211"/>
      <c r="R58" s="232"/>
      <c r="S58" s="232"/>
      <c r="T58" s="232"/>
      <c r="U58" s="232"/>
      <c r="V58" s="232"/>
      <c r="W58" s="232"/>
      <c r="X58" s="273" t="s">
        <v>1195</v>
      </c>
      <c r="Y58" s="258">
        <f>IF($AD$57&gt;0,Y57/$AD$57,0)</f>
        <v>0</v>
      </c>
      <c r="Z58" s="258">
        <f t="shared" ref="Z58:AC58" si="138">IF($AD$57&gt;0,Z57/$AD$57,0)</f>
        <v>0</v>
      </c>
      <c r="AA58" s="258">
        <f t="shared" si="138"/>
        <v>0</v>
      </c>
      <c r="AB58" s="258">
        <f t="shared" si="138"/>
        <v>0</v>
      </c>
      <c r="AC58" s="258">
        <f t="shared" si="138"/>
        <v>0</v>
      </c>
      <c r="AD58" s="233"/>
      <c r="AE58" s="233"/>
      <c r="AF58" s="273" t="s">
        <v>1195</v>
      </c>
      <c r="AG58" s="275">
        <f>IF($AL$57&gt;0,AG57/$AL$57,0)</f>
        <v>0</v>
      </c>
      <c r="AH58" s="275">
        <f t="shared" ref="AH58:AK58" si="139">IF($AL$57&gt;0,AH57/$AL$57,0)</f>
        <v>0</v>
      </c>
      <c r="AI58" s="275">
        <f t="shared" si="139"/>
        <v>0</v>
      </c>
      <c r="AJ58" s="275">
        <f t="shared" si="139"/>
        <v>0</v>
      </c>
      <c r="AK58" s="275">
        <f t="shared" si="139"/>
        <v>0</v>
      </c>
      <c r="AL58" s="233"/>
      <c r="AM58" s="273" t="s">
        <v>1195</v>
      </c>
      <c r="AN58" s="275">
        <f>IF($AS$56&gt;0,AN56/$AS$56,0)</f>
        <v>0</v>
      </c>
      <c r="AO58" s="275">
        <f t="shared" ref="AO58:AR58" si="140">IF($AS$56&gt;0,AO56/$AS$56,0)</f>
        <v>0</v>
      </c>
      <c r="AP58" s="275">
        <f t="shared" si="140"/>
        <v>0</v>
      </c>
      <c r="AQ58" s="275">
        <f t="shared" si="140"/>
        <v>0</v>
      </c>
      <c r="AR58" s="275">
        <f t="shared" si="140"/>
        <v>0</v>
      </c>
      <c r="AS58" s="233"/>
      <c r="AT58" s="233"/>
      <c r="AU58" s="233"/>
      <c r="AV58" s="233"/>
      <c r="AW58" s="233"/>
      <c r="AX58" s="233"/>
      <c r="AY58" s="49"/>
      <c r="AZ58" s="49"/>
      <c r="BA58" s="41" t="s">
        <v>1291</v>
      </c>
      <c r="BB58" s="104">
        <f>IF(BB45&gt;0,BB57/BB44,0)</f>
        <v>0</v>
      </c>
      <c r="BC58" s="104">
        <f>IF(BC45&gt;0,BC57/BC44,0)</f>
        <v>0</v>
      </c>
      <c r="BD58" s="104">
        <f>IF(BD45&gt;0,BD57/BD44,0)</f>
        <v>0</v>
      </c>
      <c r="BE58" s="104">
        <f>IF(BE45&gt;0,BE57/BE44,0)</f>
        <v>0</v>
      </c>
      <c r="BF58" s="104">
        <f>IF(BF45&gt;0,BF57/BF44,0)</f>
        <v>0</v>
      </c>
      <c r="BG58" s="104">
        <f>SUM(BB58:BF58)</f>
        <v>0</v>
      </c>
      <c r="BH58" s="44" t="e">
        <f>BG58*1000/'Indata byggnad och BBR krav'!$C$16</f>
        <v>#DIV/0!</v>
      </c>
      <c r="BI58" s="49"/>
      <c r="BJ58" s="41" t="s">
        <v>1291</v>
      </c>
      <c r="BK58" s="104">
        <f>IF(BK45&gt;0,BK57/BK44,0)</f>
        <v>0</v>
      </c>
      <c r="BL58" s="104">
        <f t="shared" ref="BL58:BO58" si="141">IF(BL45&gt;0,BL57/BL44,0)</f>
        <v>0</v>
      </c>
      <c r="BM58" s="104">
        <f t="shared" si="141"/>
        <v>0</v>
      </c>
      <c r="BN58" s="104">
        <f t="shared" si="141"/>
        <v>0</v>
      </c>
      <c r="BO58" s="104">
        <f t="shared" si="141"/>
        <v>0</v>
      </c>
      <c r="BP58" s="104">
        <f>SUM(BK58:BO58)</f>
        <v>0</v>
      </c>
      <c r="BQ58" s="44" t="e">
        <f>BP58*1000/'Indata byggnad och BBR krav'!$C$16</f>
        <v>#DIV/0!</v>
      </c>
      <c r="BR58" s="234"/>
      <c r="BS58" s="234"/>
      <c r="BT58" s="234"/>
      <c r="BU58" s="234"/>
      <c r="BV58" s="234"/>
      <c r="BW58" s="234"/>
      <c r="BX58" s="234"/>
      <c r="BY58" s="234"/>
      <c r="BZ58" s="234"/>
      <c r="CA58" s="234"/>
      <c r="CB58" s="234"/>
      <c r="CC58" s="234"/>
      <c r="CD58" s="234"/>
      <c r="CE58" s="234"/>
      <c r="CF58" s="234"/>
      <c r="CG58" s="234"/>
      <c r="CH58" s="234"/>
      <c r="CI58" s="234"/>
      <c r="CJ58" s="234"/>
      <c r="CK58" s="234"/>
      <c r="CL58" s="234"/>
      <c r="CM58" s="234"/>
      <c r="CN58" s="234"/>
      <c r="CO58" s="234"/>
      <c r="CP58" s="234"/>
      <c r="CQ58" s="234"/>
      <c r="CR58" s="234"/>
      <c r="CS58" s="234"/>
      <c r="CT58" s="234"/>
      <c r="CU58" s="234"/>
      <c r="CV58" s="234"/>
      <c r="CW58" s="234"/>
      <c r="CX58" s="234"/>
      <c r="CY58" s="31"/>
      <c r="CZ58" s="234"/>
      <c r="DA58" s="234"/>
      <c r="DB58" s="234"/>
      <c r="DC58" s="234"/>
      <c r="DD58" s="234"/>
      <c r="DE58" s="234"/>
      <c r="DF58" s="234"/>
      <c r="DG58" s="234"/>
      <c r="DH58" s="234"/>
      <c r="DI58" s="234"/>
      <c r="DJ58" s="234"/>
      <c r="DK58" s="234"/>
      <c r="DL58" s="234"/>
      <c r="DM58" s="234"/>
      <c r="DN58" s="234"/>
      <c r="DO58" s="234"/>
      <c r="DP58" s="234"/>
      <c r="DQ58" s="234"/>
      <c r="DR58" s="234"/>
      <c r="DS58" s="234"/>
      <c r="DT58" s="234"/>
    </row>
    <row r="59" spans="1:124" s="231" customFormat="1" ht="16.5" customHeight="1" thickBot="1" x14ac:dyDescent="0.3">
      <c r="A59" s="232"/>
      <c r="B59" s="232"/>
      <c r="D59" s="232"/>
      <c r="E59" s="232"/>
      <c r="F59" s="214" t="s">
        <v>1346</v>
      </c>
      <c r="G59" s="211"/>
      <c r="H59" s="211"/>
      <c r="I59" s="211"/>
      <c r="J59" s="211"/>
      <c r="K59" s="211"/>
      <c r="L59" s="211"/>
      <c r="M59" s="211"/>
      <c r="N59" s="211"/>
      <c r="O59" s="211"/>
      <c r="P59" s="211"/>
      <c r="Q59" s="211"/>
      <c r="R59" s="37"/>
      <c r="S59" s="37"/>
      <c r="T59" s="37"/>
      <c r="U59" s="37"/>
      <c r="V59" s="37"/>
      <c r="W59" s="232"/>
      <c r="X59" s="236" t="s">
        <v>1378</v>
      </c>
      <c r="Y59" s="248">
        <f>(Y57-$AC$142*Y58)</f>
        <v>0</v>
      </c>
      <c r="Z59" s="248">
        <f>(Z57-$AC$142*Z58)</f>
        <v>0</v>
      </c>
      <c r="AA59" s="248">
        <f>(AA57-$AC$142*AA58)</f>
        <v>0</v>
      </c>
      <c r="AB59" s="248">
        <f>(AB57-$AC$142*AB58)</f>
        <v>0</v>
      </c>
      <c r="AC59" s="248">
        <f>(AC57-$AC$142*AC58)</f>
        <v>0</v>
      </c>
      <c r="AD59" s="248">
        <f>SUM(Y59:AC59)</f>
        <v>0</v>
      </c>
      <c r="AE59" s="233"/>
      <c r="AF59" s="236" t="s">
        <v>1378</v>
      </c>
      <c r="AG59" s="248">
        <f>(AG57-$AC$142*AG58)</f>
        <v>0</v>
      </c>
      <c r="AH59" s="248">
        <f>(AH57-$AC$142*AH58)</f>
        <v>0</v>
      </c>
      <c r="AI59" s="248">
        <f>(AI57-$AC$142*AI58)</f>
        <v>0</v>
      </c>
      <c r="AJ59" s="248">
        <f>(AJ57-$AC$142*AJ58)</f>
        <v>0</v>
      </c>
      <c r="AK59" s="248">
        <f>(AK57-$AC$142*AK58)</f>
        <v>0</v>
      </c>
      <c r="AL59" s="248">
        <f>SUM(AG59:AK59)</f>
        <v>0</v>
      </c>
      <c r="AM59" s="247"/>
      <c r="AN59" s="249"/>
      <c r="AO59" s="249"/>
      <c r="AP59" s="249"/>
      <c r="AQ59" s="249"/>
      <c r="AR59" s="249"/>
      <c r="AS59" s="249"/>
      <c r="AT59" s="249"/>
      <c r="AU59" s="249"/>
      <c r="AV59" s="249"/>
      <c r="AW59" s="249"/>
      <c r="AX59" s="249"/>
      <c r="AY59" s="49"/>
      <c r="AZ59" s="49"/>
      <c r="BA59" s="41" t="s">
        <v>1201</v>
      </c>
      <c r="BB59" s="47">
        <f>BB58</f>
        <v>0</v>
      </c>
      <c r="BC59" s="47">
        <f>BC58-$Y$142</f>
        <v>0</v>
      </c>
      <c r="BD59" s="47">
        <f>BD58</f>
        <v>0</v>
      </c>
      <c r="BE59" s="47">
        <f>BE58</f>
        <v>0</v>
      </c>
      <c r="BF59" s="47">
        <f>BF58</f>
        <v>0</v>
      </c>
      <c r="BG59" s="105">
        <f>SUM(BB59:BF59)</f>
        <v>0</v>
      </c>
      <c r="BH59" s="44" t="e">
        <f>BG59*1000/'Indata byggnad och BBR krav'!$C$16</f>
        <v>#DIV/0!</v>
      </c>
      <c r="BI59" s="49"/>
      <c r="BJ59" s="291" t="s">
        <v>1395</v>
      </c>
      <c r="BK59" s="47">
        <f>BK58</f>
        <v>0</v>
      </c>
      <c r="BL59" s="47">
        <f t="shared" ref="BL59:BO59" si="142">BL58</f>
        <v>0</v>
      </c>
      <c r="BM59" s="47">
        <f t="shared" si="142"/>
        <v>0</v>
      </c>
      <c r="BN59" s="47">
        <f t="shared" si="142"/>
        <v>0</v>
      </c>
      <c r="BO59" s="47">
        <f t="shared" si="142"/>
        <v>0</v>
      </c>
      <c r="BP59" s="105">
        <f>SUM(BK59:BO59)</f>
        <v>0</v>
      </c>
      <c r="BQ59" s="44" t="e">
        <f>BP59*1000/'Indata byggnad och BBR krav'!$C$16</f>
        <v>#DIV/0!</v>
      </c>
      <c r="BR59" s="234"/>
      <c r="BS59" s="234"/>
      <c r="BT59" s="234"/>
      <c r="BU59" s="234"/>
      <c r="BV59" s="234"/>
      <c r="BW59" s="234"/>
      <c r="BX59" s="234"/>
      <c r="BY59" s="234"/>
      <c r="BZ59" s="234"/>
      <c r="CA59" s="234"/>
      <c r="CB59" s="234"/>
      <c r="CC59" s="234"/>
      <c r="CD59" s="234"/>
      <c r="CE59" s="234"/>
      <c r="CF59" s="234"/>
      <c r="CG59" s="234"/>
      <c r="CH59" s="234"/>
      <c r="CI59" s="234"/>
      <c r="CJ59" s="234"/>
      <c r="CK59" s="234"/>
      <c r="CL59" s="234"/>
      <c r="CM59" s="234"/>
      <c r="CN59" s="234"/>
      <c r="CO59" s="234"/>
      <c r="CP59" s="234"/>
      <c r="CQ59" s="234"/>
      <c r="CR59" s="234"/>
      <c r="CS59" s="234"/>
      <c r="CT59" s="234"/>
      <c r="CU59" s="234"/>
      <c r="CV59" s="234"/>
      <c r="CW59" s="234"/>
      <c r="CX59" s="234"/>
      <c r="CY59" s="31"/>
      <c r="CZ59" s="234"/>
      <c r="DA59" s="234"/>
      <c r="DB59" s="234"/>
      <c r="DC59" s="234"/>
      <c r="DD59" s="234"/>
      <c r="DE59" s="234"/>
      <c r="DF59" s="234"/>
      <c r="DG59" s="234"/>
      <c r="DH59" s="234"/>
      <c r="DI59" s="234"/>
      <c r="DJ59" s="234"/>
      <c r="DK59" s="234"/>
      <c r="DL59" s="234"/>
      <c r="DM59" s="234"/>
      <c r="DN59" s="234"/>
      <c r="DO59" s="234"/>
      <c r="DP59" s="234"/>
      <c r="DQ59" s="234"/>
      <c r="DR59" s="234"/>
      <c r="DS59" s="234"/>
      <c r="DT59" s="234"/>
    </row>
    <row r="60" spans="1:124" s="231" customFormat="1" ht="16.5" customHeight="1" thickBot="1" x14ac:dyDescent="0.3">
      <c r="A60" s="232"/>
      <c r="B60" s="232"/>
      <c r="C60" s="232"/>
      <c r="D60" s="232"/>
      <c r="E60" s="232"/>
      <c r="F60" s="215" t="str">
        <f>IF(OR($D$41="Inkluderad i energi för uppvärmning",$D$41="Inkluderad i energi för tappvarmvatten"),"(Separat mätning finns inte)","")</f>
        <v/>
      </c>
      <c r="G60" s="211"/>
      <c r="H60" s="211"/>
      <c r="I60" s="211"/>
      <c r="J60" s="212" t="str">
        <f>J40</f>
        <v>Fjärrvärme</v>
      </c>
      <c r="K60" s="211"/>
      <c r="L60" s="211"/>
      <c r="M60" s="212" t="str">
        <f>IF(M40="","",M40)</f>
        <v>Värmepump</v>
      </c>
      <c r="N60" s="211"/>
      <c r="O60" s="211"/>
      <c r="P60" s="212" t="str">
        <f>IF(P40="","",P40)</f>
        <v>El-panna</v>
      </c>
      <c r="Q60" s="211"/>
      <c r="R60" s="246"/>
      <c r="S60" s="246"/>
      <c r="T60" s="246"/>
      <c r="U60" s="246"/>
      <c r="V60" s="246"/>
      <c r="W60" s="232"/>
      <c r="X60" s="236" t="s">
        <v>1379</v>
      </c>
      <c r="Y60" s="248">
        <f>(Y59-($AE$142+$AG$142)*Y58)</f>
        <v>0</v>
      </c>
      <c r="Z60" s="248">
        <f>(Z59-($AE$142+$AG$142)*Z58)</f>
        <v>0</v>
      </c>
      <c r="AA60" s="248">
        <f>(AA59-($AE$142+$AG$142)*AA58)</f>
        <v>0</v>
      </c>
      <c r="AB60" s="248">
        <f>(AB59-($AE$142+$AG$142)*AB58)</f>
        <v>0</v>
      </c>
      <c r="AC60" s="248">
        <f>(AC59-($AE$142+$AG$142)*AC58)</f>
        <v>0</v>
      </c>
      <c r="AD60" s="248">
        <f>SUM(Y60:AC60)</f>
        <v>0</v>
      </c>
      <c r="AE60" s="233"/>
      <c r="AF60" s="236" t="s">
        <v>1379</v>
      </c>
      <c r="AG60" s="248">
        <f>(AG59-($AE$142+$AG$142)*AG58)</f>
        <v>0</v>
      </c>
      <c r="AH60" s="248">
        <f>(AH59-($AE$142+$AG$142)*AH58)</f>
        <v>0</v>
      </c>
      <c r="AI60" s="248">
        <f>(AI59-($AE$142+$AG$142)*AI58)</f>
        <v>0</v>
      </c>
      <c r="AJ60" s="248">
        <f>(AJ59-($AE$142+$AG$142)*AJ58)</f>
        <v>0</v>
      </c>
      <c r="AK60" s="248">
        <f>(AK59-($AE$142+$AG$142)*AK58)</f>
        <v>0</v>
      </c>
      <c r="AL60" s="248">
        <f>SUM(AG60:AK60)</f>
        <v>0</v>
      </c>
      <c r="AM60" s="247"/>
      <c r="AN60" s="247"/>
      <c r="AO60" s="247"/>
      <c r="AP60" s="247"/>
      <c r="AQ60" s="247"/>
      <c r="AR60" s="247"/>
      <c r="AS60" s="247"/>
      <c r="AT60" s="247"/>
      <c r="AU60" s="247"/>
      <c r="AV60" s="247"/>
      <c r="AW60" s="247"/>
      <c r="AX60" s="247"/>
      <c r="AY60" s="49"/>
      <c r="AZ60" s="49"/>
      <c r="BA60" s="41" t="s">
        <v>1294</v>
      </c>
      <c r="BB60" s="85">
        <f>BB59*BB40</f>
        <v>0</v>
      </c>
      <c r="BC60" s="85">
        <f>BC59*BC40</f>
        <v>0</v>
      </c>
      <c r="BD60" s="85">
        <f>BD59*BD40</f>
        <v>0</v>
      </c>
      <c r="BE60" s="85">
        <f>BE59*BE40</f>
        <v>0</v>
      </c>
      <c r="BF60" s="85">
        <f>BF59*BF40</f>
        <v>0</v>
      </c>
      <c r="BG60" s="96">
        <f>SUM(BB60:BF60)</f>
        <v>0</v>
      </c>
      <c r="BH60" s="44" t="e">
        <f>BG60*1000/'Indata byggnad och BBR krav'!$C$16</f>
        <v>#DIV/0!</v>
      </c>
      <c r="BI60" s="49"/>
      <c r="BJ60" s="41" t="s">
        <v>1294</v>
      </c>
      <c r="BK60" s="85">
        <f>BK59*BK40</f>
        <v>0</v>
      </c>
      <c r="BL60" s="85">
        <f>BL59*BL40</f>
        <v>0</v>
      </c>
      <c r="BM60" s="85">
        <f>BM59*BM40</f>
        <v>0</v>
      </c>
      <c r="BN60" s="85">
        <f>BN59*BN40</f>
        <v>0</v>
      </c>
      <c r="BO60" s="85">
        <f>BO59*BO40</f>
        <v>0</v>
      </c>
      <c r="BP60" s="96">
        <f>SUM(BK60:BO60)</f>
        <v>0</v>
      </c>
      <c r="BQ60" s="44" t="e">
        <f>BP60*1000/'Indata byggnad och BBR krav'!$C$16</f>
        <v>#DIV/0!</v>
      </c>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31"/>
      <c r="CZ60" s="234"/>
      <c r="DA60" s="234"/>
      <c r="DB60" s="234"/>
      <c r="DC60" s="234"/>
      <c r="DD60" s="234"/>
      <c r="DE60" s="234"/>
      <c r="DF60" s="234"/>
      <c r="DG60" s="234"/>
      <c r="DH60" s="234"/>
      <c r="DI60" s="234"/>
      <c r="DJ60" s="234"/>
      <c r="DK60" s="234"/>
      <c r="DL60" s="234"/>
      <c r="DM60" s="234"/>
      <c r="DN60" s="234"/>
      <c r="DO60" s="234"/>
      <c r="DP60" s="234"/>
      <c r="DQ60" s="234"/>
      <c r="DR60" s="234"/>
      <c r="DS60" s="234"/>
      <c r="DT60" s="234"/>
    </row>
    <row r="61" spans="1:124" s="231" customFormat="1" ht="16.5" customHeight="1" thickBot="1" x14ac:dyDescent="0.3">
      <c r="A61" s="232"/>
      <c r="B61" s="232"/>
      <c r="C61" s="232"/>
      <c r="D61" s="232"/>
      <c r="E61" s="232"/>
      <c r="F61" s="232"/>
      <c r="G61" s="37"/>
      <c r="H61" s="37"/>
      <c r="I61" s="97"/>
      <c r="J61" s="66" t="s">
        <v>1132</v>
      </c>
      <c r="K61" s="66"/>
      <c r="L61" s="97"/>
      <c r="M61" s="66" t="s">
        <v>1132</v>
      </c>
      <c r="N61" s="66"/>
      <c r="O61" s="97"/>
      <c r="P61" s="66" t="s">
        <v>1132</v>
      </c>
      <c r="Q61" s="66"/>
      <c r="R61" s="66"/>
      <c r="S61" s="66"/>
      <c r="T61" s="66"/>
      <c r="U61" s="66"/>
      <c r="V61" s="66"/>
      <c r="W61" s="232"/>
      <c r="X61" s="236" t="s">
        <v>1380</v>
      </c>
      <c r="Y61" s="259">
        <f>IF(Y60&gt;0,Y60/(Y57/Y56),0)</f>
        <v>0</v>
      </c>
      <c r="Z61" s="259">
        <f>IF(Z60&gt;0,Z60/(Z57/Z56),0)</f>
        <v>0</v>
      </c>
      <c r="AA61" s="107">
        <f>IF(AA60&gt;0,AA60/(AA57/AA56),0)</f>
        <v>0</v>
      </c>
      <c r="AB61" s="107">
        <f>IF(AB60&gt;0,AB60/(AB57/AB56),0)</f>
        <v>0</v>
      </c>
      <c r="AC61" s="107">
        <f>IF(AC60&gt;0,AC60/(AC57/AC56),0)</f>
        <v>0</v>
      </c>
      <c r="AD61" s="303">
        <f>SUM(Y61:AC61)</f>
        <v>0</v>
      </c>
      <c r="AE61" s="233"/>
      <c r="AF61" s="236" t="s">
        <v>1380</v>
      </c>
      <c r="AG61" s="259">
        <f>IF(AG60&gt;0,AG60/(AG57/AG56),0)</f>
        <v>0</v>
      </c>
      <c r="AH61" s="259">
        <f>IF(AH60&gt;0,AH60/(AH57/AH56),0)</f>
        <v>0</v>
      </c>
      <c r="AI61" s="107">
        <f>IF(AI60&gt;0,AI60/(AI57/AI56),0)</f>
        <v>0</v>
      </c>
      <c r="AJ61" s="107">
        <f>IF(AJ60&gt;0,AJ60/(AJ57/AJ56),0)</f>
        <v>0</v>
      </c>
      <c r="AK61" s="107">
        <f>IF(AK60&gt;0,AK60/(AK57/AK56),0)</f>
        <v>0</v>
      </c>
      <c r="AL61" s="176">
        <f>SUM(AG61:AK61)</f>
        <v>0</v>
      </c>
      <c r="AM61" s="247"/>
      <c r="AN61" s="247"/>
      <c r="AO61" s="247"/>
      <c r="AP61" s="247"/>
      <c r="AQ61" s="247"/>
      <c r="AR61" s="247"/>
      <c r="AS61" s="247"/>
      <c r="AT61" s="247"/>
      <c r="AU61" s="247"/>
      <c r="AV61" s="247"/>
      <c r="AW61" s="247"/>
      <c r="AX61" s="247"/>
      <c r="AY61" s="49"/>
      <c r="AZ61" s="49"/>
      <c r="BA61" s="41" t="s">
        <v>1295</v>
      </c>
      <c r="BB61" s="85">
        <f>BB59*BB41</f>
        <v>0</v>
      </c>
      <c r="BC61" s="85">
        <f>BC59*BC41</f>
        <v>0</v>
      </c>
      <c r="BD61" s="85">
        <f>BD59*BD41</f>
        <v>0</v>
      </c>
      <c r="BE61" s="85">
        <f>BE59*BE41</f>
        <v>0</v>
      </c>
      <c r="BF61" s="85">
        <f>BF59*BF41</f>
        <v>0</v>
      </c>
      <c r="BG61" s="96">
        <f>SUM(BB61:BF61)</f>
        <v>0</v>
      </c>
      <c r="BH61" s="44" t="e">
        <f>BG61*1000/'Indata byggnad och BBR krav'!$C$16</f>
        <v>#DIV/0!</v>
      </c>
      <c r="BI61" s="49"/>
      <c r="BJ61" s="41" t="s">
        <v>1295</v>
      </c>
      <c r="BK61" s="85">
        <f>BK59*BK41</f>
        <v>0</v>
      </c>
      <c r="BL61" s="85">
        <f>BL59*BL41</f>
        <v>0</v>
      </c>
      <c r="BM61" s="85">
        <f>BM59*BM41</f>
        <v>0</v>
      </c>
      <c r="BN61" s="85">
        <f>BN59*BN41</f>
        <v>0</v>
      </c>
      <c r="BO61" s="85">
        <f>BO59*BO41</f>
        <v>0</v>
      </c>
      <c r="BP61" s="96">
        <f>SUM(BK61:BO61)</f>
        <v>0</v>
      </c>
      <c r="BQ61" s="44" t="e">
        <f>BP61*1000/'Indata byggnad och BBR krav'!$C$16</f>
        <v>#DIV/0!</v>
      </c>
      <c r="BR61" s="234"/>
      <c r="BS61" s="234"/>
      <c r="BT61" s="234"/>
      <c r="BU61" s="234"/>
      <c r="BV61" s="234"/>
      <c r="BW61" s="234"/>
      <c r="BX61" s="234"/>
      <c r="BY61" s="234"/>
      <c r="BZ61" s="234"/>
      <c r="CA61" s="234"/>
      <c r="CB61" s="234"/>
      <c r="CC61" s="234"/>
      <c r="CD61" s="234"/>
      <c r="CE61" s="234"/>
      <c r="CF61" s="234"/>
      <c r="CG61" s="234"/>
      <c r="CH61" s="234"/>
      <c r="CI61" s="234"/>
      <c r="CJ61" s="234"/>
      <c r="CK61" s="234"/>
      <c r="CL61" s="234"/>
      <c r="CM61" s="234"/>
      <c r="CN61" s="234"/>
      <c r="CO61" s="234"/>
      <c r="CP61" s="234"/>
      <c r="CQ61" s="234"/>
      <c r="CR61" s="234"/>
      <c r="CS61" s="234"/>
      <c r="CT61" s="234"/>
      <c r="CU61" s="234"/>
      <c r="CV61" s="234"/>
      <c r="CW61" s="234"/>
      <c r="CX61" s="234"/>
      <c r="CY61" s="31"/>
      <c r="CZ61" s="234"/>
      <c r="DA61" s="234"/>
      <c r="DB61" s="234"/>
      <c r="DC61" s="234"/>
      <c r="DD61" s="234"/>
      <c r="DE61" s="234"/>
      <c r="DF61" s="234"/>
      <c r="DG61" s="234"/>
      <c r="DH61" s="234"/>
      <c r="DI61" s="234"/>
      <c r="DJ61" s="234"/>
      <c r="DK61" s="234"/>
      <c r="DL61" s="234"/>
      <c r="DM61" s="234"/>
      <c r="DN61" s="234"/>
      <c r="DO61" s="234"/>
      <c r="DP61" s="234"/>
      <c r="DQ61" s="234"/>
      <c r="DR61" s="234"/>
      <c r="DS61" s="234"/>
      <c r="DT61" s="234"/>
    </row>
    <row r="62" spans="1:124" s="231" customFormat="1" ht="16.5" customHeight="1" thickBot="1" x14ac:dyDescent="0.3">
      <c r="A62" s="232"/>
      <c r="B62" s="250"/>
      <c r="C62" s="232"/>
      <c r="D62" s="232"/>
      <c r="E62" s="251"/>
      <c r="F62" s="391" t="s">
        <v>1044</v>
      </c>
      <c r="G62" s="391" t="s">
        <v>1045</v>
      </c>
      <c r="H62" s="70"/>
      <c r="I62" s="106" t="s">
        <v>1075</v>
      </c>
      <c r="J62" s="442" t="s">
        <v>1046</v>
      </c>
      <c r="K62" s="70"/>
      <c r="L62" s="106" t="s">
        <v>1075</v>
      </c>
      <c r="M62" s="442" t="s">
        <v>1046</v>
      </c>
      <c r="N62" s="70"/>
      <c r="O62" s="106" t="s">
        <v>1075</v>
      </c>
      <c r="P62" s="442" t="s">
        <v>1046</v>
      </c>
      <c r="Q62" s="37"/>
      <c r="R62" s="37"/>
      <c r="S62" s="37"/>
      <c r="T62" s="37"/>
      <c r="U62" s="37"/>
      <c r="V62" s="37"/>
      <c r="W62" s="232"/>
      <c r="X62" s="236" t="s">
        <v>1381</v>
      </c>
      <c r="Y62" s="248">
        <f>Y61</f>
        <v>0</v>
      </c>
      <c r="Z62" s="248">
        <f>Z61-$Y$142</f>
        <v>0</v>
      </c>
      <c r="AA62" s="248">
        <f>AA60</f>
        <v>0</v>
      </c>
      <c r="AB62" s="248">
        <f>AB61</f>
        <v>0</v>
      </c>
      <c r="AC62" s="263">
        <f>AC61</f>
        <v>0</v>
      </c>
      <c r="AD62" s="248">
        <f>SUM(Y62:AC62)</f>
        <v>0</v>
      </c>
      <c r="AE62" s="233"/>
      <c r="AF62" s="236" t="s">
        <v>1381</v>
      </c>
      <c r="AG62" s="248">
        <f>AG61</f>
        <v>0</v>
      </c>
      <c r="AH62" s="248">
        <f>AH61-$Y$142</f>
        <v>0</v>
      </c>
      <c r="AI62" s="248">
        <f>AI60</f>
        <v>0</v>
      </c>
      <c r="AJ62" s="248">
        <f>AJ61</f>
        <v>0</v>
      </c>
      <c r="AK62" s="263">
        <f>AK61</f>
        <v>0</v>
      </c>
      <c r="AL62" s="260">
        <f>SUM(AG62:AK62)</f>
        <v>0</v>
      </c>
      <c r="AM62" s="247"/>
      <c r="AN62" s="247"/>
      <c r="AO62" s="247"/>
      <c r="AP62" s="247"/>
      <c r="AQ62" s="247"/>
      <c r="AR62" s="247"/>
      <c r="AS62" s="247"/>
      <c r="AT62" s="247"/>
      <c r="AU62" s="247"/>
      <c r="AV62" s="247"/>
      <c r="AW62" s="247"/>
      <c r="AX62" s="247"/>
      <c r="AY62" s="49"/>
      <c r="AZ62" s="49"/>
      <c r="BA62" s="49"/>
      <c r="BB62" s="49"/>
      <c r="BC62" s="49"/>
      <c r="BD62" s="49"/>
      <c r="BE62" s="49"/>
      <c r="BF62" s="49"/>
      <c r="BG62" s="49"/>
      <c r="BH62" s="49"/>
      <c r="BI62" s="49"/>
      <c r="BJ62" s="49"/>
      <c r="BK62" s="49"/>
      <c r="BL62" s="234"/>
      <c r="BM62" s="234"/>
      <c r="BN62" s="234"/>
      <c r="BO62" s="234"/>
      <c r="BP62" s="234"/>
      <c r="BQ62" s="234"/>
      <c r="BR62" s="234"/>
      <c r="BS62" s="234"/>
      <c r="BT62" s="234"/>
      <c r="BU62" s="234"/>
      <c r="BV62" s="234"/>
      <c r="BW62" s="234"/>
      <c r="BX62" s="234"/>
      <c r="BY62" s="234"/>
      <c r="BZ62" s="234"/>
      <c r="CA62" s="234"/>
      <c r="CB62" s="234"/>
      <c r="CC62" s="234"/>
      <c r="CD62" s="234"/>
      <c r="CE62" s="234"/>
      <c r="CF62" s="234"/>
      <c r="CG62" s="234"/>
      <c r="CH62" s="234"/>
      <c r="CI62" s="234"/>
      <c r="CJ62" s="234"/>
      <c r="CK62" s="234"/>
      <c r="CL62" s="234"/>
      <c r="CM62" s="234"/>
      <c r="CN62" s="234"/>
      <c r="CO62" s="234"/>
      <c r="CP62" s="234"/>
      <c r="CQ62" s="234"/>
      <c r="CR62" s="234"/>
      <c r="CS62" s="234"/>
      <c r="CT62" s="234"/>
      <c r="CU62" s="234"/>
      <c r="CV62" s="234"/>
      <c r="CW62" s="234"/>
      <c r="CX62" s="234"/>
      <c r="CY62" s="31"/>
      <c r="CZ62" s="234"/>
      <c r="DA62" s="234"/>
      <c r="DB62" s="234"/>
      <c r="DC62" s="234"/>
      <c r="DD62" s="234"/>
      <c r="DE62" s="234"/>
      <c r="DF62" s="234"/>
      <c r="DG62" s="234"/>
      <c r="DH62" s="234"/>
      <c r="DI62" s="234"/>
      <c r="DJ62" s="234"/>
      <c r="DK62" s="234"/>
      <c r="DL62" s="234"/>
      <c r="DM62" s="234"/>
      <c r="DN62" s="234"/>
      <c r="DO62" s="234"/>
      <c r="DP62" s="234"/>
      <c r="DQ62" s="234"/>
      <c r="DR62" s="234"/>
      <c r="DS62" s="234"/>
      <c r="DT62" s="234"/>
    </row>
    <row r="63" spans="1:124" s="231" customFormat="1" ht="16.5" customHeight="1" thickBot="1" x14ac:dyDescent="0.3">
      <c r="A63" s="232"/>
      <c r="B63" s="250"/>
      <c r="C63" s="232"/>
      <c r="D63" s="232"/>
      <c r="E63" s="232"/>
      <c r="F63" s="387">
        <f t="shared" ref="F63:G74" si="143">F19</f>
        <v>2017</v>
      </c>
      <c r="G63" s="387" t="str">
        <f t="shared" ca="1" si="143"/>
        <v>jan</v>
      </c>
      <c r="H63" s="70"/>
      <c r="I63" s="109">
        <f t="shared" ref="I63:I74" si="144">IF(AND($D$41="Mäts separat",$D$40&gt;0),(J63/$J$41),0)</f>
        <v>0</v>
      </c>
      <c r="J63" s="388"/>
      <c r="K63" s="73"/>
      <c r="L63" s="109">
        <f t="shared" ref="L63:L74" si="145">IF(AND($D$41="Mäts separat",$D$40&gt;1),(M63/$M$41),0)</f>
        <v>0</v>
      </c>
      <c r="M63" s="372"/>
      <c r="N63" s="73"/>
      <c r="O63" s="109">
        <f t="shared" ref="O63:O74" si="146">IF(AND($D$41="Mäts separat",$D$40&gt;2),(P63/$P$41),0)</f>
        <v>0</v>
      </c>
      <c r="P63" s="372"/>
      <c r="Q63" s="246"/>
      <c r="R63" s="246"/>
      <c r="S63" s="246"/>
      <c r="T63" s="246"/>
      <c r="U63" s="246"/>
      <c r="V63" s="246"/>
      <c r="W63" s="232"/>
      <c r="X63" s="247"/>
      <c r="Y63" s="242" t="s">
        <v>1261</v>
      </c>
      <c r="Z63" s="233"/>
      <c r="AA63" s="233"/>
      <c r="AB63" s="233"/>
      <c r="AC63" s="233"/>
      <c r="AD63" s="233"/>
      <c r="AE63" s="233"/>
      <c r="AF63" s="233"/>
      <c r="AG63" s="242" t="s">
        <v>1262</v>
      </c>
      <c r="AH63" s="233"/>
      <c r="AI63" s="233"/>
      <c r="AJ63" s="233"/>
      <c r="AK63" s="233"/>
      <c r="AL63" s="233"/>
      <c r="AM63" s="247"/>
      <c r="AN63" s="247"/>
      <c r="AO63" s="247"/>
      <c r="AP63" s="247"/>
      <c r="AQ63" s="247"/>
      <c r="AR63" s="247"/>
      <c r="AS63" s="247"/>
      <c r="AT63" s="247"/>
      <c r="AU63" s="247"/>
      <c r="AV63" s="247"/>
      <c r="AW63" s="247"/>
      <c r="AX63" s="247"/>
      <c r="AY63" s="49"/>
      <c r="AZ63" s="49"/>
      <c r="BA63" s="122" t="s">
        <v>1401</v>
      </c>
      <c r="BB63" s="52">
        <f>'Indata byggnad och BBR krav'!$AA$9</f>
        <v>0.06</v>
      </c>
      <c r="BC63" s="52">
        <f>'Indata byggnad och BBR krav'!$AA$8</f>
        <v>2.1999999999999999E-2</v>
      </c>
      <c r="BD63" s="52">
        <f>'Indata byggnad och BBR krav'!$AA$10</f>
        <v>2.1999999999999999E-2</v>
      </c>
      <c r="BE63" s="52">
        <f>'Indata byggnad och BBR krav'!$AA$11</f>
        <v>0.26369999999999999</v>
      </c>
      <c r="BF63" s="52">
        <f>'Indata byggnad och BBR krav'!$AA$12</f>
        <v>0.30130000000000001</v>
      </c>
      <c r="BG63" s="299"/>
      <c r="BH63" s="49"/>
      <c r="BI63" s="49"/>
      <c r="BJ63" s="122" t="s">
        <v>1401</v>
      </c>
      <c r="BK63" s="52">
        <f>'Indata byggnad och BBR krav'!$AA$9</f>
        <v>0.06</v>
      </c>
      <c r="BL63" s="52">
        <f>'Indata byggnad och BBR krav'!$AA$8</f>
        <v>2.1999999999999999E-2</v>
      </c>
      <c r="BM63" s="52">
        <f>'Indata byggnad och BBR krav'!$AA$10</f>
        <v>2.1999999999999999E-2</v>
      </c>
      <c r="BN63" s="52">
        <f>'Indata byggnad och BBR krav'!$AA$11</f>
        <v>0.26369999999999999</v>
      </c>
      <c r="BO63" s="52">
        <f>'Indata byggnad och BBR krav'!$AA$12</f>
        <v>0.30130000000000001</v>
      </c>
      <c r="BP63" s="299"/>
      <c r="BQ63" s="234"/>
      <c r="BR63" s="234"/>
      <c r="BS63" s="234"/>
      <c r="BT63" s="234"/>
      <c r="BU63" s="234"/>
      <c r="BV63" s="234"/>
      <c r="BW63" s="234"/>
      <c r="BX63" s="234"/>
      <c r="BY63" s="234"/>
      <c r="BZ63" s="234"/>
      <c r="CA63" s="234"/>
      <c r="CB63" s="234"/>
      <c r="CC63" s="234"/>
      <c r="CD63" s="234"/>
      <c r="CE63" s="234"/>
      <c r="CF63" s="234"/>
      <c r="CG63" s="234"/>
      <c r="CH63" s="234"/>
      <c r="CI63" s="234"/>
      <c r="CJ63" s="234"/>
      <c r="CK63" s="234"/>
      <c r="CL63" s="234"/>
      <c r="CM63" s="234"/>
      <c r="CN63" s="234"/>
      <c r="CO63" s="234"/>
      <c r="CP63" s="234"/>
      <c r="CQ63" s="234"/>
      <c r="CR63" s="234"/>
      <c r="CS63" s="234"/>
      <c r="CT63" s="234"/>
      <c r="CU63" s="234"/>
      <c r="CV63" s="234"/>
      <c r="CW63" s="234"/>
      <c r="CX63" s="234"/>
      <c r="CY63" s="31"/>
      <c r="CZ63" s="234"/>
      <c r="DA63" s="234"/>
      <c r="DB63" s="234"/>
      <c r="DC63" s="234"/>
      <c r="DD63" s="234"/>
      <c r="DE63" s="234"/>
      <c r="DF63" s="234"/>
      <c r="DG63" s="234"/>
      <c r="DH63" s="234"/>
      <c r="DI63" s="234"/>
      <c r="DJ63" s="234"/>
      <c r="DK63" s="234"/>
      <c r="DL63" s="234"/>
      <c r="DM63" s="234"/>
      <c r="DN63" s="234"/>
      <c r="DO63" s="234"/>
      <c r="DP63" s="234"/>
      <c r="DQ63" s="234"/>
      <c r="DR63" s="234"/>
      <c r="DS63" s="234"/>
      <c r="DT63" s="234"/>
    </row>
    <row r="64" spans="1:124" s="231" customFormat="1" ht="16.5" customHeight="1" thickBot="1" x14ac:dyDescent="0.3">
      <c r="A64" s="232"/>
      <c r="B64" s="250"/>
      <c r="C64" s="232"/>
      <c r="D64" s="232"/>
      <c r="E64" s="232"/>
      <c r="F64" s="387">
        <f t="shared" ca="1" si="143"/>
        <v>2017</v>
      </c>
      <c r="G64" s="387" t="str">
        <f t="shared" ca="1" si="143"/>
        <v>feb</v>
      </c>
      <c r="H64" s="70"/>
      <c r="I64" s="109">
        <f t="shared" si="144"/>
        <v>0</v>
      </c>
      <c r="J64" s="388"/>
      <c r="K64" s="73"/>
      <c r="L64" s="109">
        <f t="shared" si="145"/>
        <v>0</v>
      </c>
      <c r="M64" s="372"/>
      <c r="N64" s="73"/>
      <c r="O64" s="109">
        <f t="shared" si="146"/>
        <v>0</v>
      </c>
      <c r="P64" s="372"/>
      <c r="Q64" s="246"/>
      <c r="R64" s="246"/>
      <c r="S64" s="246"/>
      <c r="T64" s="246"/>
      <c r="U64" s="246"/>
      <c r="V64" s="246"/>
      <c r="W64" s="232"/>
      <c r="X64" s="247"/>
      <c r="Y64" s="287" t="s">
        <v>14</v>
      </c>
      <c r="Z64" s="287" t="s">
        <v>1085</v>
      </c>
      <c r="AA64" s="287" t="s">
        <v>1100</v>
      </c>
      <c r="AB64" s="287" t="s">
        <v>1096</v>
      </c>
      <c r="AC64" s="287" t="s">
        <v>1097</v>
      </c>
      <c r="AD64" s="249" t="s">
        <v>1094</v>
      </c>
      <c r="AE64" s="233"/>
      <c r="AF64" s="247"/>
      <c r="AG64" s="287" t="s">
        <v>14</v>
      </c>
      <c r="AH64" s="287" t="s">
        <v>1085</v>
      </c>
      <c r="AI64" s="287" t="s">
        <v>1100</v>
      </c>
      <c r="AJ64" s="287" t="s">
        <v>1096</v>
      </c>
      <c r="AK64" s="287" t="s">
        <v>1097</v>
      </c>
      <c r="AL64" s="249" t="s">
        <v>1094</v>
      </c>
      <c r="AM64" s="247"/>
      <c r="AN64" s="247"/>
      <c r="AO64" s="247"/>
      <c r="AP64" s="247"/>
      <c r="AQ64" s="247"/>
      <c r="AR64" s="247"/>
      <c r="AS64" s="247"/>
      <c r="AT64" s="247"/>
      <c r="AU64" s="247"/>
      <c r="AV64" s="247"/>
      <c r="AW64" s="247"/>
      <c r="AX64" s="247"/>
      <c r="AY64" s="49"/>
      <c r="AZ64" s="437"/>
      <c r="BA64" s="438" t="s">
        <v>1411</v>
      </c>
      <c r="BB64" s="417" t="e">
        <f>BB59*1000/'Indata byggnad och BBR krav'!$C$40*'Indata byggnad och BBR krav'!$C$38*BB63</f>
        <v>#DIV/0!</v>
      </c>
      <c r="BC64" s="417" t="e">
        <f>BC59*1000/'Indata byggnad och BBR krav'!$C$40*'Indata byggnad och BBR krav'!$C$38*BC63</f>
        <v>#DIV/0!</v>
      </c>
      <c r="BD64" s="417" t="e">
        <f>BD59*1000/'Indata byggnad och BBR krav'!$C$40*'Indata byggnad och BBR krav'!$C$38*BD63</f>
        <v>#DIV/0!</v>
      </c>
      <c r="BE64" s="417" t="e">
        <f>BE59*1000/'Indata byggnad och BBR krav'!$C$40*'Indata byggnad och BBR krav'!$C$38*BE63</f>
        <v>#DIV/0!</v>
      </c>
      <c r="BF64" s="417" t="e">
        <f>BF59*1000/'Indata byggnad och BBR krav'!$C$40*'Indata byggnad och BBR krav'!$C$38*BF63</f>
        <v>#DIV/0!</v>
      </c>
      <c r="BG64" s="418" t="e">
        <f>SUM(BB64:BF64)</f>
        <v>#DIV/0!</v>
      </c>
      <c r="BH64" s="49"/>
      <c r="BI64" s="437"/>
      <c r="BJ64" s="438" t="s">
        <v>1411</v>
      </c>
      <c r="BK64" s="417" t="e">
        <f>BK59*1000/'Indata byggnad och BBR krav'!$C$40*'Indata byggnad och BBR krav'!$C$38*BK63</f>
        <v>#DIV/0!</v>
      </c>
      <c r="BL64" s="417" t="e">
        <f>BL59*1000/'Indata byggnad och BBR krav'!$C$40*'Indata byggnad och BBR krav'!$C$38*BL63</f>
        <v>#DIV/0!</v>
      </c>
      <c r="BM64" s="417" t="e">
        <f>BM59*1000/'Indata byggnad och BBR krav'!$C$40*'Indata byggnad och BBR krav'!$C$38*BM63</f>
        <v>#DIV/0!</v>
      </c>
      <c r="BN64" s="417" t="e">
        <f>BN59*1000/'Indata byggnad och BBR krav'!$C$40*'Indata byggnad och BBR krav'!$C$38*BN63</f>
        <v>#DIV/0!</v>
      </c>
      <c r="BO64" s="417" t="e">
        <f>BO59*1000/'Indata byggnad och BBR krav'!$C$40*'Indata byggnad och BBR krav'!$C$38*BO63</f>
        <v>#DIV/0!</v>
      </c>
      <c r="BP64" s="418" t="e">
        <f>SUM(BK64:BO64)</f>
        <v>#DIV/0!</v>
      </c>
      <c r="BQ64" s="234"/>
      <c r="BR64" s="234"/>
      <c r="BS64" s="234"/>
      <c r="BT64" s="234"/>
      <c r="BU64" s="234"/>
      <c r="BV64" s="234"/>
      <c r="BW64" s="234"/>
      <c r="BX64" s="234"/>
      <c r="BY64" s="234"/>
      <c r="BZ64" s="234"/>
      <c r="CA64" s="234"/>
      <c r="CB64" s="234"/>
      <c r="CC64" s="234"/>
      <c r="CD64" s="234"/>
      <c r="CE64" s="234"/>
      <c r="CF64" s="234"/>
      <c r="CG64" s="234"/>
      <c r="CH64" s="234"/>
      <c r="CI64" s="234"/>
      <c r="CJ64" s="234"/>
      <c r="CK64" s="234"/>
      <c r="CL64" s="234"/>
      <c r="CM64" s="234"/>
      <c r="CN64" s="234"/>
      <c r="CO64" s="234"/>
      <c r="CP64" s="234"/>
      <c r="CQ64" s="234"/>
      <c r="CR64" s="234"/>
      <c r="CS64" s="234"/>
      <c r="CT64" s="234"/>
      <c r="CU64" s="234"/>
      <c r="CV64" s="234"/>
      <c r="CW64" s="234"/>
      <c r="CX64" s="234"/>
      <c r="CY64" s="31"/>
      <c r="CZ64" s="234"/>
      <c r="DA64" s="234"/>
      <c r="DB64" s="234"/>
      <c r="DC64" s="234"/>
      <c r="DD64" s="234"/>
      <c r="DE64" s="234"/>
      <c r="DF64" s="234"/>
      <c r="DG64" s="234"/>
      <c r="DH64" s="234"/>
      <c r="DI64" s="234"/>
      <c r="DJ64" s="234"/>
      <c r="DK64" s="234"/>
      <c r="DL64" s="234"/>
      <c r="DM64" s="234"/>
      <c r="DN64" s="234"/>
      <c r="DO64" s="234"/>
      <c r="DP64" s="234"/>
      <c r="DQ64" s="234"/>
      <c r="DR64" s="234"/>
      <c r="DS64" s="234"/>
      <c r="DT64" s="234"/>
    </row>
    <row r="65" spans="1:124" s="231" customFormat="1" ht="16.5" customHeight="1" thickBot="1" x14ac:dyDescent="0.3">
      <c r="A65" s="232"/>
      <c r="B65" s="250"/>
      <c r="C65" s="232"/>
      <c r="D65" s="232"/>
      <c r="E65" s="232"/>
      <c r="F65" s="387">
        <f t="shared" ca="1" si="143"/>
        <v>2017</v>
      </c>
      <c r="G65" s="387" t="str">
        <f t="shared" ca="1" si="143"/>
        <v>mars</v>
      </c>
      <c r="H65" s="70"/>
      <c r="I65" s="109">
        <f t="shared" si="144"/>
        <v>0</v>
      </c>
      <c r="J65" s="388"/>
      <c r="K65" s="73"/>
      <c r="L65" s="109">
        <f t="shared" si="145"/>
        <v>0</v>
      </c>
      <c r="M65" s="372"/>
      <c r="N65" s="73"/>
      <c r="O65" s="109">
        <f t="shared" si="146"/>
        <v>0</v>
      </c>
      <c r="P65" s="372"/>
      <c r="Q65" s="246"/>
      <c r="R65" s="246"/>
      <c r="S65" s="246"/>
      <c r="T65" s="246"/>
      <c r="U65" s="246"/>
      <c r="V65" s="246"/>
      <c r="W65" s="232"/>
      <c r="X65" s="247"/>
      <c r="Y65" s="252">
        <f>IF($J$40=$Y$64,I63,0)+IF($M$40=$Y$64,L63,0)+IF($P$40=$Y$64,O63,0)</f>
        <v>0</v>
      </c>
      <c r="Z65" s="99">
        <f>IF(OR($J$40="El-panna",$J$40="Värmepump"),I63,0)+IF(OR($M$40="El-panna",$M$40="Värmepump"),L63,0)+IF(OR($P$40="El-panna",$P$40="Värmepump"),O63,0)</f>
        <v>0</v>
      </c>
      <c r="AA65" s="99">
        <f>IF(OR($J$40="Flispanna",$J$40="Pelletspanna",$J$40="Vedpanna"),I63,0)+IF(OR($M$40="Flispanna",$M$40="Pelletspanna",$M$40="Vedpanna"),L63,0)+IF(OR($P$40="Flispanna",$P$40="Pelletspanna",$P$40="Vedpanna"),O63,0)</f>
        <v>0</v>
      </c>
      <c r="AB65" s="100">
        <f>IF($J$40="Gaspanna",I63,0)+IF($M$40="Gaspanna",L63,0)+IF($P$40="Gaspanna",O63,0)</f>
        <v>0</v>
      </c>
      <c r="AC65" s="100">
        <f>IF($J$40="Oljepanna",I63,0)+IF($M$40="Oljepanna",L63,0)+IF($P$40="Oljepanna",O63,0)</f>
        <v>0</v>
      </c>
      <c r="AD65" s="100">
        <f t="shared" ref="AD65:AD76" si="147">Y65+Z65+AA65+AB65+AC65</f>
        <v>0</v>
      </c>
      <c r="AE65" s="233"/>
      <c r="AF65" s="247"/>
      <c r="AG65" s="252">
        <f>IF($D$41="Inkluderad i energi för tappvarmvatten",Y44*0.25,IF($D$41="Mäts separat",Y65,0))</f>
        <v>0</v>
      </c>
      <c r="AH65" s="252">
        <f t="shared" ref="AH65:AK76" si="148">IF($D$41="Inkluderad i energi för tappvarmvatten",Z44*0.25,IF($D$41="Mäts separat",Z65,0))</f>
        <v>0</v>
      </c>
      <c r="AI65" s="252">
        <f t="shared" si="148"/>
        <v>0</v>
      </c>
      <c r="AJ65" s="252">
        <f t="shared" si="148"/>
        <v>0</v>
      </c>
      <c r="AK65" s="252">
        <f t="shared" si="148"/>
        <v>0</v>
      </c>
      <c r="AL65" s="248">
        <f t="shared" ref="AL65:AL76" si="149">AG65+AH65+AI65+AJ65+AK65</f>
        <v>0</v>
      </c>
      <c r="AM65" s="247"/>
      <c r="AN65" s="247"/>
      <c r="AO65" s="247"/>
      <c r="AP65" s="247"/>
      <c r="AQ65" s="247"/>
      <c r="AR65" s="247"/>
      <c r="AS65" s="247"/>
      <c r="AT65" s="247"/>
      <c r="AU65" s="247"/>
      <c r="AV65" s="247"/>
      <c r="AW65" s="247"/>
      <c r="AX65" s="247"/>
      <c r="AY65" s="49"/>
      <c r="AZ65" s="437"/>
      <c r="BA65" s="439" t="s">
        <v>1459</v>
      </c>
      <c r="BB65" s="417" t="e">
        <f>BB59*1000/'Indata byggnad och BBR krav'!$C$16*'Indata byggnad och BBR krav'!$C$38*BB63</f>
        <v>#DIV/0!</v>
      </c>
      <c r="BC65" s="417" t="e">
        <f>BC59*1000/'Indata byggnad och BBR krav'!$C$16*'Indata byggnad och BBR krav'!$C$38*BC63</f>
        <v>#DIV/0!</v>
      </c>
      <c r="BD65" s="417" t="e">
        <f>BD59*1000/'Indata byggnad och BBR krav'!$C$16*'Indata byggnad och BBR krav'!$C$38*BD63</f>
        <v>#DIV/0!</v>
      </c>
      <c r="BE65" s="417" t="e">
        <f>BE59*1000/'Indata byggnad och BBR krav'!$C$16*'Indata byggnad och BBR krav'!$C$38*BE63</f>
        <v>#DIV/0!</v>
      </c>
      <c r="BF65" s="417" t="e">
        <f>BF59*1000/'Indata byggnad och BBR krav'!$C$16*'Indata byggnad och BBR krav'!$C$38*BF63</f>
        <v>#DIV/0!</v>
      </c>
      <c r="BG65" s="418" t="e">
        <f t="shared" ref="BG65:BG66" si="150">SUM(BB65:BF65)</f>
        <v>#DIV/0!</v>
      </c>
      <c r="BH65" s="49"/>
      <c r="BI65" s="437"/>
      <c r="BJ65" s="439" t="s">
        <v>1459</v>
      </c>
      <c r="BK65" s="417" t="e">
        <f>BK59*1000/'Indata byggnad och BBR krav'!$C$16*'Indata byggnad och BBR krav'!$C$38*BK63</f>
        <v>#DIV/0!</v>
      </c>
      <c r="BL65" s="417" t="e">
        <f>BL59*1000/'Indata byggnad och BBR krav'!$C$16*'Indata byggnad och BBR krav'!$C$38*BL63</f>
        <v>#DIV/0!</v>
      </c>
      <c r="BM65" s="417" t="e">
        <f>BM59*1000/'Indata byggnad och BBR krav'!$C$16*'Indata byggnad och BBR krav'!$C$38*BM63</f>
        <v>#DIV/0!</v>
      </c>
      <c r="BN65" s="417" t="e">
        <f>BN59*1000/'Indata byggnad och BBR krav'!$C$16*'Indata byggnad och BBR krav'!$C$38*BN63</f>
        <v>#DIV/0!</v>
      </c>
      <c r="BO65" s="417" t="e">
        <f>BN59*1000/'Indata byggnad och BBR krav'!$C$16*'Indata byggnad och BBR krav'!$C$38*BN63</f>
        <v>#DIV/0!</v>
      </c>
      <c r="BP65" s="418" t="e">
        <f t="shared" ref="BP65:BP66" si="151">SUM(BK65:BO65)</f>
        <v>#DIV/0!</v>
      </c>
      <c r="BQ65" s="234"/>
      <c r="BR65" s="234"/>
      <c r="BS65" s="234"/>
      <c r="BT65" s="234"/>
      <c r="BU65" s="234"/>
      <c r="BV65" s="234"/>
      <c r="BW65" s="234"/>
      <c r="BX65" s="234"/>
      <c r="BY65" s="234"/>
      <c r="BZ65" s="234"/>
      <c r="CA65" s="234"/>
      <c r="CB65" s="234"/>
      <c r="CC65" s="234"/>
      <c r="CD65" s="234"/>
      <c r="CE65" s="234"/>
      <c r="CF65" s="234"/>
      <c r="CG65" s="234"/>
      <c r="CH65" s="234"/>
      <c r="CI65" s="234"/>
      <c r="CJ65" s="234"/>
      <c r="CK65" s="234"/>
      <c r="CL65" s="234"/>
      <c r="CM65" s="234"/>
      <c r="CN65" s="234"/>
      <c r="CO65" s="234"/>
      <c r="CP65" s="234"/>
      <c r="CQ65" s="234"/>
      <c r="CR65" s="234"/>
      <c r="CS65" s="234"/>
      <c r="CT65" s="234"/>
      <c r="CU65" s="234"/>
      <c r="CV65" s="234"/>
      <c r="CW65" s="234"/>
      <c r="CX65" s="234"/>
      <c r="CY65" s="31"/>
      <c r="CZ65" s="234"/>
      <c r="DA65" s="234"/>
      <c r="DB65" s="234"/>
      <c r="DC65" s="234"/>
      <c r="DD65" s="234"/>
      <c r="DE65" s="234"/>
      <c r="DF65" s="234"/>
      <c r="DG65" s="234"/>
      <c r="DH65" s="234"/>
      <c r="DI65" s="234"/>
      <c r="DJ65" s="234"/>
      <c r="DK65" s="234"/>
      <c r="DL65" s="234"/>
      <c r="DM65" s="234"/>
      <c r="DN65" s="234"/>
      <c r="DO65" s="234"/>
      <c r="DP65" s="234"/>
      <c r="DQ65" s="234"/>
      <c r="DR65" s="234"/>
      <c r="DS65" s="234"/>
      <c r="DT65" s="234"/>
    </row>
    <row r="66" spans="1:124" s="231" customFormat="1" ht="16.5" customHeight="1" thickBot="1" x14ac:dyDescent="0.3">
      <c r="A66" s="232"/>
      <c r="B66" s="250"/>
      <c r="C66" s="232"/>
      <c r="D66" s="232"/>
      <c r="E66" s="232"/>
      <c r="F66" s="387">
        <f t="shared" ca="1" si="143"/>
        <v>2017</v>
      </c>
      <c r="G66" s="387" t="str">
        <f t="shared" ca="1" si="143"/>
        <v>apr</v>
      </c>
      <c r="H66" s="70"/>
      <c r="I66" s="109">
        <f t="shared" si="144"/>
        <v>0</v>
      </c>
      <c r="J66" s="388"/>
      <c r="K66" s="73"/>
      <c r="L66" s="109">
        <f t="shared" si="145"/>
        <v>0</v>
      </c>
      <c r="M66" s="372"/>
      <c r="N66" s="73"/>
      <c r="O66" s="109">
        <f t="shared" si="146"/>
        <v>0</v>
      </c>
      <c r="P66" s="372"/>
      <c r="Q66" s="246"/>
      <c r="R66" s="246"/>
      <c r="S66" s="246"/>
      <c r="T66" s="246"/>
      <c r="U66" s="246"/>
      <c r="V66" s="246"/>
      <c r="W66" s="232"/>
      <c r="X66" s="247"/>
      <c r="Y66" s="252">
        <f t="shared" ref="Y66:Y76" si="152">IF($J$40=$Y$64,I64,0)+IF($M$40=$Y$64,L64,0)+IF($P$40=$Y$64,O64,0)</f>
        <v>0</v>
      </c>
      <c r="Z66" s="99">
        <f t="shared" ref="Z66:Z76" si="153">IF(OR($J$40="El-panna",$J$40="Värmepump"),I64,0)+IF(OR($M$40="El-panna",$M$40="Värmepump"),L64,0)+IF(OR($P$40="El-panna",$P$40="Värmepump"),O64,0)</f>
        <v>0</v>
      </c>
      <c r="AA66" s="99">
        <f t="shared" ref="AA66:AA76" si="154">IF(OR($J$40="Flispanna",$J$40="Pelletspanna",$J$40="Vedpanna"),I64,0)+IF(OR($M$40="Flispanna",$M$40="Pelletspanna",$M$40="Vedpanna"),L64,0)+IF(OR($P$40="Flispanna",$P$40="Pelletspanna",$P$40="Vedpanna"),O64,0)</f>
        <v>0</v>
      </c>
      <c r="AB66" s="100">
        <f t="shared" ref="AB66:AB76" si="155">IF($J$40="Gaspanna",I64,0)+IF($M$40="Gaspanna",L64,0)+IF($P$40="Gaspanna",O64,0)</f>
        <v>0</v>
      </c>
      <c r="AC66" s="100">
        <f t="shared" ref="AC66:AC76" si="156">IF($J$40="Oljepanna",I64,0)+IF($M$40="Oljepanna",L64,0)+IF($P$40="Oljepanna",O64,0)</f>
        <v>0</v>
      </c>
      <c r="AD66" s="100">
        <f t="shared" si="147"/>
        <v>0</v>
      </c>
      <c r="AE66" s="233"/>
      <c r="AF66" s="247"/>
      <c r="AG66" s="252">
        <f t="shared" ref="AG66:AG76" si="157">IF($D$41="Inkluderad i energi för tappvarmvatten",Y45*0.25,IF($D$41="Mäts separat",Y66,0))</f>
        <v>0</v>
      </c>
      <c r="AH66" s="252">
        <f t="shared" si="148"/>
        <v>0</v>
      </c>
      <c r="AI66" s="252">
        <f t="shared" si="148"/>
        <v>0</v>
      </c>
      <c r="AJ66" s="252">
        <f t="shared" si="148"/>
        <v>0</v>
      </c>
      <c r="AK66" s="252">
        <f t="shared" si="148"/>
        <v>0</v>
      </c>
      <c r="AL66" s="248">
        <f t="shared" si="149"/>
        <v>0</v>
      </c>
      <c r="AM66" s="247"/>
      <c r="AN66" s="247"/>
      <c r="AO66" s="247"/>
      <c r="AP66" s="247"/>
      <c r="AQ66" s="247"/>
      <c r="AR66" s="247"/>
      <c r="AS66" s="247"/>
      <c r="AT66" s="247"/>
      <c r="AU66" s="247"/>
      <c r="AV66" s="247"/>
      <c r="AW66" s="247"/>
      <c r="AX66" s="247"/>
      <c r="AY66" s="49"/>
      <c r="AZ66" s="437"/>
      <c r="BA66" s="439" t="s">
        <v>1460</v>
      </c>
      <c r="BB66" s="419" t="e">
        <f>BB64/50</f>
        <v>#DIV/0!</v>
      </c>
      <c r="BC66" s="419" t="e">
        <f t="shared" ref="BC66:BF66" si="158">BC64/50</f>
        <v>#DIV/0!</v>
      </c>
      <c r="BD66" s="419" t="e">
        <f t="shared" si="158"/>
        <v>#DIV/0!</v>
      </c>
      <c r="BE66" s="419" t="e">
        <f t="shared" si="158"/>
        <v>#DIV/0!</v>
      </c>
      <c r="BF66" s="419" t="e">
        <f t="shared" si="158"/>
        <v>#DIV/0!</v>
      </c>
      <c r="BG66" s="420" t="e">
        <f t="shared" si="150"/>
        <v>#DIV/0!</v>
      </c>
      <c r="BH66" s="49"/>
      <c r="BI66" s="437"/>
      <c r="BJ66" s="439" t="s">
        <v>1460</v>
      </c>
      <c r="BK66" s="419" t="e">
        <f>BK64/50</f>
        <v>#DIV/0!</v>
      </c>
      <c r="BL66" s="419" t="e">
        <f t="shared" ref="BL66:BO66" si="159">BL64/50</f>
        <v>#DIV/0!</v>
      </c>
      <c r="BM66" s="419" t="e">
        <f t="shared" si="159"/>
        <v>#DIV/0!</v>
      </c>
      <c r="BN66" s="419" t="e">
        <f t="shared" si="159"/>
        <v>#DIV/0!</v>
      </c>
      <c r="BO66" s="419" t="e">
        <f t="shared" si="159"/>
        <v>#DIV/0!</v>
      </c>
      <c r="BP66" s="420" t="e">
        <f t="shared" si="151"/>
        <v>#DIV/0!</v>
      </c>
      <c r="BQ66" s="234"/>
      <c r="BR66" s="234"/>
      <c r="BS66" s="234"/>
      <c r="BT66" s="234"/>
      <c r="BU66" s="234"/>
      <c r="BV66" s="234"/>
      <c r="BW66" s="234"/>
      <c r="BX66" s="234"/>
      <c r="BY66" s="234"/>
      <c r="BZ66" s="234"/>
      <c r="CA66" s="234"/>
      <c r="CB66" s="234"/>
      <c r="CC66" s="234"/>
      <c r="CD66" s="234"/>
      <c r="CE66" s="234"/>
      <c r="CF66" s="234"/>
      <c r="CG66" s="234"/>
      <c r="CH66" s="234"/>
      <c r="CI66" s="234"/>
      <c r="CJ66" s="234"/>
      <c r="CK66" s="234"/>
      <c r="CL66" s="234"/>
      <c r="CM66" s="234"/>
      <c r="CN66" s="234"/>
      <c r="CO66" s="234"/>
      <c r="CP66" s="234"/>
      <c r="CQ66" s="234"/>
      <c r="CR66" s="234"/>
      <c r="CS66" s="234"/>
      <c r="CT66" s="234"/>
      <c r="CU66" s="234"/>
      <c r="CV66" s="234"/>
      <c r="CW66" s="234"/>
      <c r="CX66" s="234"/>
      <c r="CY66" s="31"/>
      <c r="CZ66" s="234"/>
      <c r="DA66" s="234"/>
      <c r="DB66" s="234"/>
      <c r="DC66" s="234"/>
      <c r="DD66" s="234"/>
      <c r="DE66" s="234"/>
      <c r="DF66" s="234"/>
      <c r="DG66" s="234"/>
      <c r="DH66" s="234"/>
      <c r="DI66" s="234"/>
      <c r="DJ66" s="234"/>
      <c r="DK66" s="234"/>
      <c r="DL66" s="234"/>
      <c r="DM66" s="234"/>
      <c r="DN66" s="234"/>
      <c r="DO66" s="234"/>
      <c r="DP66" s="234"/>
      <c r="DQ66" s="234"/>
      <c r="DR66" s="234"/>
      <c r="DS66" s="234"/>
      <c r="DT66" s="234"/>
    </row>
    <row r="67" spans="1:124" s="231" customFormat="1" ht="16.5" customHeight="1" x14ac:dyDescent="0.25">
      <c r="A67" s="232"/>
      <c r="B67" s="250"/>
      <c r="C67" s="232"/>
      <c r="D67" s="232"/>
      <c r="E67" s="232"/>
      <c r="F67" s="387">
        <f t="shared" ca="1" si="143"/>
        <v>2017</v>
      </c>
      <c r="G67" s="387" t="str">
        <f t="shared" ca="1" si="143"/>
        <v>maj</v>
      </c>
      <c r="H67" s="70"/>
      <c r="I67" s="109">
        <f t="shared" si="144"/>
        <v>0</v>
      </c>
      <c r="J67" s="388"/>
      <c r="K67" s="73"/>
      <c r="L67" s="109">
        <f t="shared" si="145"/>
        <v>0</v>
      </c>
      <c r="M67" s="372"/>
      <c r="N67" s="73"/>
      <c r="O67" s="109">
        <f t="shared" si="146"/>
        <v>0</v>
      </c>
      <c r="P67" s="372"/>
      <c r="Q67" s="246"/>
      <c r="R67" s="246"/>
      <c r="S67" s="246"/>
      <c r="T67" s="246"/>
      <c r="U67" s="246"/>
      <c r="V67" s="246"/>
      <c r="W67" s="232"/>
      <c r="X67" s="247"/>
      <c r="Y67" s="252">
        <f t="shared" si="152"/>
        <v>0</v>
      </c>
      <c r="Z67" s="99">
        <f t="shared" si="153"/>
        <v>0</v>
      </c>
      <c r="AA67" s="99">
        <f t="shared" si="154"/>
        <v>0</v>
      </c>
      <c r="AB67" s="100">
        <f t="shared" si="155"/>
        <v>0</v>
      </c>
      <c r="AC67" s="100">
        <f t="shared" si="156"/>
        <v>0</v>
      </c>
      <c r="AD67" s="100">
        <f t="shared" si="147"/>
        <v>0</v>
      </c>
      <c r="AE67" s="233"/>
      <c r="AF67" s="247"/>
      <c r="AG67" s="252">
        <f t="shared" si="157"/>
        <v>0</v>
      </c>
      <c r="AH67" s="252">
        <f t="shared" si="148"/>
        <v>0</v>
      </c>
      <c r="AI67" s="252">
        <f t="shared" si="148"/>
        <v>0</v>
      </c>
      <c r="AJ67" s="252">
        <f t="shared" si="148"/>
        <v>0</v>
      </c>
      <c r="AK67" s="252">
        <f t="shared" si="148"/>
        <v>0</v>
      </c>
      <c r="AL67" s="248">
        <f t="shared" si="149"/>
        <v>0</v>
      </c>
      <c r="AM67" s="247"/>
      <c r="AN67" s="247"/>
      <c r="AO67" s="247"/>
      <c r="AP67" s="247"/>
      <c r="AQ67" s="247"/>
      <c r="AR67" s="247"/>
      <c r="AS67" s="247"/>
      <c r="AT67" s="247"/>
      <c r="AU67" s="247"/>
      <c r="AV67" s="247"/>
      <c r="AW67" s="247"/>
      <c r="AX67" s="247"/>
      <c r="AY67" s="49"/>
      <c r="AZ67" s="49"/>
      <c r="BA67" s="49"/>
      <c r="BB67" s="49"/>
      <c r="BC67" s="49"/>
      <c r="BD67" s="49"/>
      <c r="BE67" s="49"/>
      <c r="BF67" s="49"/>
      <c r="BG67" s="49"/>
      <c r="BH67" s="49"/>
      <c r="BI67" s="49"/>
      <c r="BJ67" s="49"/>
      <c r="BK67" s="49"/>
      <c r="BL67" s="234"/>
      <c r="BM67" s="234"/>
      <c r="BN67" s="234"/>
      <c r="BO67" s="234"/>
      <c r="BP67" s="234"/>
      <c r="BQ67" s="234"/>
      <c r="BR67" s="234"/>
      <c r="BS67" s="234"/>
      <c r="BT67" s="234"/>
      <c r="BU67" s="234"/>
      <c r="BV67" s="234"/>
      <c r="BW67" s="234"/>
      <c r="BX67" s="234"/>
      <c r="BY67" s="234"/>
      <c r="BZ67" s="234"/>
      <c r="CA67" s="234"/>
      <c r="CB67" s="234"/>
      <c r="CC67" s="234"/>
      <c r="CD67" s="234"/>
      <c r="CE67" s="234"/>
      <c r="CF67" s="234"/>
      <c r="CG67" s="234"/>
      <c r="CH67" s="234"/>
      <c r="CI67" s="234"/>
      <c r="CJ67" s="234"/>
      <c r="CK67" s="234"/>
      <c r="CL67" s="234"/>
      <c r="CM67" s="234"/>
      <c r="CN67" s="234"/>
      <c r="CO67" s="234"/>
      <c r="CP67" s="234"/>
      <c r="CQ67" s="234"/>
      <c r="CR67" s="234"/>
      <c r="CS67" s="234"/>
      <c r="CT67" s="234"/>
      <c r="CU67" s="234"/>
      <c r="CV67" s="234"/>
      <c r="CW67" s="234"/>
      <c r="CX67" s="234"/>
      <c r="CY67" s="31"/>
      <c r="CZ67" s="234"/>
      <c r="DA67" s="234"/>
      <c r="DB67" s="234"/>
      <c r="DC67" s="234"/>
      <c r="DD67" s="234"/>
      <c r="DE67" s="234"/>
      <c r="DF67" s="234"/>
      <c r="DG67" s="234"/>
      <c r="DH67" s="234"/>
      <c r="DI67" s="234"/>
      <c r="DJ67" s="234"/>
      <c r="DK67" s="234"/>
      <c r="DL67" s="234"/>
      <c r="DM67" s="234"/>
      <c r="DN67" s="234"/>
      <c r="DO67" s="234"/>
      <c r="DP67" s="234"/>
      <c r="DQ67" s="234"/>
      <c r="DR67" s="234"/>
      <c r="DS67" s="234"/>
      <c r="DT67" s="234"/>
    </row>
    <row r="68" spans="1:124" s="231" customFormat="1" ht="16.5" customHeight="1" x14ac:dyDescent="0.25">
      <c r="A68" s="232"/>
      <c r="B68" s="250"/>
      <c r="C68" s="250"/>
      <c r="D68" s="250"/>
      <c r="E68" s="232"/>
      <c r="F68" s="387">
        <f t="shared" ca="1" si="143"/>
        <v>2017</v>
      </c>
      <c r="G68" s="387" t="str">
        <f t="shared" ca="1" si="143"/>
        <v xml:space="preserve">jun </v>
      </c>
      <c r="H68" s="70"/>
      <c r="I68" s="109">
        <f t="shared" si="144"/>
        <v>0</v>
      </c>
      <c r="J68" s="388"/>
      <c r="K68" s="73"/>
      <c r="L68" s="109">
        <f t="shared" si="145"/>
        <v>0</v>
      </c>
      <c r="M68" s="372"/>
      <c r="N68" s="73"/>
      <c r="O68" s="109">
        <f t="shared" si="146"/>
        <v>0</v>
      </c>
      <c r="P68" s="372"/>
      <c r="Q68" s="246"/>
      <c r="R68" s="246"/>
      <c r="S68" s="246"/>
      <c r="T68" s="246"/>
      <c r="U68" s="246"/>
      <c r="V68" s="246"/>
      <c r="W68" s="232"/>
      <c r="X68" s="247"/>
      <c r="Y68" s="252">
        <f t="shared" si="152"/>
        <v>0</v>
      </c>
      <c r="Z68" s="99">
        <f t="shared" si="153"/>
        <v>0</v>
      </c>
      <c r="AA68" s="99">
        <f t="shared" si="154"/>
        <v>0</v>
      </c>
      <c r="AB68" s="100">
        <f t="shared" si="155"/>
        <v>0</v>
      </c>
      <c r="AC68" s="100">
        <f t="shared" si="156"/>
        <v>0</v>
      </c>
      <c r="AD68" s="100">
        <f t="shared" si="147"/>
        <v>0</v>
      </c>
      <c r="AE68" s="233"/>
      <c r="AF68" s="247"/>
      <c r="AG68" s="252">
        <f t="shared" si="157"/>
        <v>0</v>
      </c>
      <c r="AH68" s="252">
        <f t="shared" si="148"/>
        <v>0</v>
      </c>
      <c r="AI68" s="252">
        <f t="shared" si="148"/>
        <v>0</v>
      </c>
      <c r="AJ68" s="252">
        <f t="shared" si="148"/>
        <v>0</v>
      </c>
      <c r="AK68" s="252">
        <f t="shared" si="148"/>
        <v>0</v>
      </c>
      <c r="AL68" s="248">
        <f t="shared" si="149"/>
        <v>0</v>
      </c>
      <c r="AM68" s="247"/>
      <c r="AN68" s="247"/>
      <c r="AO68" s="247"/>
      <c r="AP68" s="247"/>
      <c r="AQ68" s="247"/>
      <c r="AR68" s="247"/>
      <c r="AS68" s="247"/>
      <c r="AT68" s="247"/>
      <c r="AU68" s="247"/>
      <c r="AV68" s="247"/>
      <c r="AW68" s="247"/>
      <c r="AX68" s="247"/>
      <c r="AY68" s="49"/>
      <c r="AZ68" s="49"/>
      <c r="BA68" s="49"/>
      <c r="BB68" s="49"/>
      <c r="BC68" s="49"/>
      <c r="BD68" s="49"/>
      <c r="BE68" s="49"/>
      <c r="BF68" s="49"/>
      <c r="BG68" s="49"/>
      <c r="BH68" s="49"/>
      <c r="BI68" s="49"/>
      <c r="BJ68" s="49"/>
      <c r="BK68" s="49"/>
      <c r="BL68" s="234"/>
      <c r="BM68" s="234"/>
      <c r="BN68" s="234"/>
      <c r="BO68" s="234"/>
      <c r="BP68" s="234"/>
      <c r="BQ68" s="234"/>
      <c r="BR68" s="234"/>
      <c r="BS68" s="234"/>
      <c r="BT68" s="234"/>
      <c r="BU68" s="234"/>
      <c r="BV68" s="234"/>
      <c r="BW68" s="234"/>
      <c r="BX68" s="234"/>
      <c r="BY68" s="234"/>
      <c r="BZ68" s="234"/>
      <c r="CA68" s="234"/>
      <c r="CB68" s="234"/>
      <c r="CC68" s="234"/>
      <c r="CD68" s="234"/>
      <c r="CE68" s="234"/>
      <c r="CF68" s="234"/>
      <c r="CG68" s="234"/>
      <c r="CH68" s="234"/>
      <c r="CI68" s="234"/>
      <c r="CJ68" s="234"/>
      <c r="CK68" s="234"/>
      <c r="CL68" s="234"/>
      <c r="CM68" s="234"/>
      <c r="CN68" s="234"/>
      <c r="CO68" s="234"/>
      <c r="CP68" s="234"/>
      <c r="CQ68" s="234"/>
      <c r="CR68" s="234"/>
      <c r="CS68" s="234"/>
      <c r="CT68" s="234"/>
      <c r="CU68" s="234"/>
      <c r="CV68" s="234"/>
      <c r="CW68" s="234"/>
      <c r="CX68" s="234"/>
      <c r="CY68" s="31"/>
      <c r="CZ68" s="234"/>
      <c r="DA68" s="234"/>
      <c r="DB68" s="234"/>
      <c r="DC68" s="234"/>
      <c r="DD68" s="234"/>
      <c r="DE68" s="234"/>
      <c r="DF68" s="234"/>
      <c r="DG68" s="234"/>
      <c r="DH68" s="234"/>
      <c r="DI68" s="234"/>
      <c r="DJ68" s="234"/>
      <c r="DK68" s="234"/>
      <c r="DL68" s="234"/>
      <c r="DM68" s="234"/>
      <c r="DN68" s="234"/>
      <c r="DO68" s="234"/>
      <c r="DP68" s="234"/>
      <c r="DQ68" s="234"/>
      <c r="DR68" s="234"/>
      <c r="DS68" s="234"/>
      <c r="DT68" s="234"/>
    </row>
    <row r="69" spans="1:124" s="231" customFormat="1" ht="16.5" customHeight="1" x14ac:dyDescent="0.25">
      <c r="A69" s="232"/>
      <c r="B69" s="250"/>
      <c r="C69" s="120"/>
      <c r="D69" s="250"/>
      <c r="E69" s="232"/>
      <c r="F69" s="387">
        <f t="shared" ca="1" si="143"/>
        <v>2017</v>
      </c>
      <c r="G69" s="387" t="str">
        <f t="shared" ca="1" si="143"/>
        <v>jul</v>
      </c>
      <c r="H69" s="70"/>
      <c r="I69" s="109">
        <f t="shared" si="144"/>
        <v>0</v>
      </c>
      <c r="J69" s="388"/>
      <c r="K69" s="73"/>
      <c r="L69" s="109">
        <f t="shared" si="145"/>
        <v>0</v>
      </c>
      <c r="M69" s="372"/>
      <c r="N69" s="73"/>
      <c r="O69" s="109">
        <f t="shared" si="146"/>
        <v>0</v>
      </c>
      <c r="P69" s="372"/>
      <c r="Q69" s="246"/>
      <c r="R69" s="246"/>
      <c r="S69" s="246"/>
      <c r="T69" s="246"/>
      <c r="U69" s="246"/>
      <c r="V69" s="246"/>
      <c r="W69" s="232"/>
      <c r="X69" s="247"/>
      <c r="Y69" s="252">
        <f t="shared" si="152"/>
        <v>0</v>
      </c>
      <c r="Z69" s="99">
        <f t="shared" si="153"/>
        <v>0</v>
      </c>
      <c r="AA69" s="99">
        <f t="shared" si="154"/>
        <v>0</v>
      </c>
      <c r="AB69" s="100">
        <f t="shared" si="155"/>
        <v>0</v>
      </c>
      <c r="AC69" s="100">
        <f t="shared" si="156"/>
        <v>0</v>
      </c>
      <c r="AD69" s="100">
        <f t="shared" si="147"/>
        <v>0</v>
      </c>
      <c r="AE69" s="233"/>
      <c r="AF69" s="247"/>
      <c r="AG69" s="252">
        <f t="shared" si="157"/>
        <v>0</v>
      </c>
      <c r="AH69" s="252">
        <f t="shared" si="148"/>
        <v>0</v>
      </c>
      <c r="AI69" s="252">
        <f t="shared" si="148"/>
        <v>0</v>
      </c>
      <c r="AJ69" s="252">
        <f t="shared" si="148"/>
        <v>0</v>
      </c>
      <c r="AK69" s="252">
        <f t="shared" si="148"/>
        <v>0</v>
      </c>
      <c r="AL69" s="248">
        <f t="shared" si="149"/>
        <v>0</v>
      </c>
      <c r="AM69" s="247"/>
      <c r="AN69" s="247"/>
      <c r="AO69" s="247"/>
      <c r="AP69" s="247"/>
      <c r="AQ69" s="247"/>
      <c r="AR69" s="247"/>
      <c r="AS69" s="247"/>
      <c r="AT69" s="247"/>
      <c r="AU69" s="247"/>
      <c r="AV69" s="247"/>
      <c r="AW69" s="247"/>
      <c r="AX69" s="247"/>
      <c r="AY69" s="49"/>
      <c r="AZ69" s="49"/>
      <c r="BA69" s="49"/>
      <c r="BB69" s="49"/>
      <c r="BC69" s="49"/>
      <c r="BD69" s="49"/>
      <c r="BE69" s="49"/>
      <c r="BF69" s="49"/>
      <c r="BG69" s="49"/>
      <c r="BH69" s="49"/>
      <c r="BI69" s="49"/>
      <c r="BJ69" s="49"/>
      <c r="BK69" s="49"/>
      <c r="BL69" s="234"/>
      <c r="BM69" s="234"/>
      <c r="BN69" s="234"/>
      <c r="BO69" s="234"/>
      <c r="BP69" s="234"/>
      <c r="BQ69" s="234"/>
      <c r="BR69" s="234"/>
      <c r="BS69" s="234"/>
      <c r="BT69" s="234"/>
      <c r="BU69" s="234"/>
      <c r="BV69" s="234"/>
      <c r="BW69" s="234"/>
      <c r="BX69" s="234"/>
      <c r="BY69" s="234"/>
      <c r="BZ69" s="234"/>
      <c r="CA69" s="234"/>
      <c r="CB69" s="234"/>
      <c r="CC69" s="234"/>
      <c r="CD69" s="234"/>
      <c r="CE69" s="234"/>
      <c r="CF69" s="234"/>
      <c r="CG69" s="234"/>
      <c r="CH69" s="234"/>
      <c r="CI69" s="234"/>
      <c r="CJ69" s="234"/>
      <c r="CK69" s="234"/>
      <c r="CL69" s="234"/>
      <c r="CM69" s="234"/>
      <c r="CN69" s="234"/>
      <c r="CO69" s="234"/>
      <c r="CP69" s="234"/>
      <c r="CQ69" s="234"/>
      <c r="CR69" s="234"/>
      <c r="CS69" s="234"/>
      <c r="CT69" s="234"/>
      <c r="CU69" s="234"/>
      <c r="CV69" s="234"/>
      <c r="CW69" s="234"/>
      <c r="CX69" s="234"/>
      <c r="CY69" s="31"/>
      <c r="CZ69" s="234"/>
      <c r="DA69" s="234"/>
      <c r="DB69" s="234"/>
      <c r="DC69" s="234"/>
      <c r="DD69" s="234"/>
      <c r="DE69" s="234"/>
      <c r="DF69" s="234"/>
      <c r="DG69" s="234"/>
      <c r="DH69" s="234"/>
      <c r="DI69" s="234"/>
      <c r="DJ69" s="234"/>
      <c r="DK69" s="234"/>
      <c r="DL69" s="234"/>
      <c r="DM69" s="234"/>
      <c r="DN69" s="234"/>
      <c r="DO69" s="234"/>
      <c r="DP69" s="234"/>
      <c r="DQ69" s="234"/>
      <c r="DR69" s="234"/>
      <c r="DS69" s="234"/>
      <c r="DT69" s="234"/>
    </row>
    <row r="70" spans="1:124" s="231" customFormat="1" ht="16.5" customHeight="1" x14ac:dyDescent="0.25">
      <c r="A70" s="232"/>
      <c r="B70" s="250"/>
      <c r="C70" s="250"/>
      <c r="D70" s="250"/>
      <c r="E70" s="232"/>
      <c r="F70" s="387">
        <f t="shared" ca="1" si="143"/>
        <v>2017</v>
      </c>
      <c r="G70" s="387" t="str">
        <f t="shared" ca="1" si="143"/>
        <v>aug</v>
      </c>
      <c r="H70" s="70"/>
      <c r="I70" s="109">
        <f t="shared" si="144"/>
        <v>0</v>
      </c>
      <c r="J70" s="388"/>
      <c r="K70" s="73"/>
      <c r="L70" s="109">
        <f t="shared" si="145"/>
        <v>0</v>
      </c>
      <c r="M70" s="372"/>
      <c r="N70" s="73"/>
      <c r="O70" s="109">
        <f t="shared" si="146"/>
        <v>0</v>
      </c>
      <c r="P70" s="372"/>
      <c r="Q70" s="246"/>
      <c r="R70" s="246"/>
      <c r="S70" s="246"/>
      <c r="T70" s="246"/>
      <c r="U70" s="246"/>
      <c r="V70" s="246"/>
      <c r="W70" s="232"/>
      <c r="X70" s="247"/>
      <c r="Y70" s="252">
        <f t="shared" si="152"/>
        <v>0</v>
      </c>
      <c r="Z70" s="99">
        <f t="shared" si="153"/>
        <v>0</v>
      </c>
      <c r="AA70" s="99">
        <f t="shared" si="154"/>
        <v>0</v>
      </c>
      <c r="AB70" s="100">
        <f t="shared" si="155"/>
        <v>0</v>
      </c>
      <c r="AC70" s="100">
        <f t="shared" si="156"/>
        <v>0</v>
      </c>
      <c r="AD70" s="100">
        <f t="shared" si="147"/>
        <v>0</v>
      </c>
      <c r="AE70" s="233"/>
      <c r="AF70" s="247"/>
      <c r="AG70" s="252">
        <f t="shared" si="157"/>
        <v>0</v>
      </c>
      <c r="AH70" s="252">
        <f t="shared" si="148"/>
        <v>0</v>
      </c>
      <c r="AI70" s="252">
        <f t="shared" si="148"/>
        <v>0</v>
      </c>
      <c r="AJ70" s="252">
        <f t="shared" si="148"/>
        <v>0</v>
      </c>
      <c r="AK70" s="252">
        <f t="shared" si="148"/>
        <v>0</v>
      </c>
      <c r="AL70" s="248">
        <f t="shared" si="149"/>
        <v>0</v>
      </c>
      <c r="AM70" s="247"/>
      <c r="AN70" s="247"/>
      <c r="AO70" s="247"/>
      <c r="AP70" s="247"/>
      <c r="AQ70" s="247"/>
      <c r="AR70" s="247"/>
      <c r="AS70" s="247"/>
      <c r="AT70" s="247"/>
      <c r="AU70" s="247"/>
      <c r="AV70" s="247"/>
      <c r="AW70" s="247"/>
      <c r="AX70" s="247"/>
      <c r="AY70" s="49"/>
      <c r="AZ70" s="49"/>
      <c r="BA70" s="49"/>
      <c r="BB70" s="49"/>
      <c r="BC70" s="49"/>
      <c r="BD70" s="49"/>
      <c r="BE70" s="49"/>
      <c r="BF70" s="49"/>
      <c r="BG70" s="49"/>
      <c r="BH70" s="49"/>
      <c r="BI70" s="49"/>
      <c r="BJ70" s="49"/>
      <c r="BK70" s="49"/>
      <c r="BL70" s="290" t="s">
        <v>1393</v>
      </c>
      <c r="BM70" s="49"/>
      <c r="BN70" s="49"/>
      <c r="BO70" s="234"/>
      <c r="BP70" s="234"/>
      <c r="BQ70" s="234"/>
      <c r="BR70" s="234"/>
      <c r="BS70" s="234"/>
      <c r="BT70" s="234"/>
      <c r="BU70" s="234"/>
      <c r="BV70" s="234"/>
      <c r="BW70" s="234"/>
      <c r="BX70" s="234"/>
      <c r="BY70" s="234"/>
      <c r="BZ70" s="234"/>
      <c r="CA70" s="234"/>
      <c r="CB70" s="234"/>
      <c r="CC70" s="234"/>
      <c r="CD70" s="234"/>
      <c r="CE70" s="234"/>
      <c r="CF70" s="234"/>
      <c r="CG70" s="234"/>
      <c r="CH70" s="234"/>
      <c r="CI70" s="234"/>
      <c r="CJ70" s="234"/>
      <c r="CK70" s="234"/>
      <c r="CL70" s="234"/>
      <c r="CM70" s="234"/>
      <c r="CN70" s="234"/>
      <c r="CO70" s="234"/>
      <c r="CP70" s="234"/>
      <c r="CQ70" s="234"/>
      <c r="CR70" s="234"/>
      <c r="CS70" s="234"/>
      <c r="CT70" s="234"/>
      <c r="CU70" s="234"/>
      <c r="CV70" s="234"/>
      <c r="CW70" s="234"/>
      <c r="CX70" s="234"/>
      <c r="CY70" s="31"/>
      <c r="CZ70" s="234"/>
      <c r="DA70" s="234"/>
      <c r="DB70" s="234"/>
      <c r="DC70" s="234"/>
      <c r="DD70" s="234"/>
      <c r="DE70" s="234"/>
      <c r="DF70" s="234"/>
      <c r="DG70" s="234"/>
      <c r="DH70" s="234"/>
      <c r="DI70" s="234"/>
      <c r="DJ70" s="234"/>
      <c r="DK70" s="234"/>
      <c r="DL70" s="234"/>
      <c r="DM70" s="234"/>
      <c r="DN70" s="234"/>
      <c r="DO70" s="234"/>
      <c r="DP70" s="234"/>
      <c r="DQ70" s="234"/>
      <c r="DR70" s="234"/>
      <c r="DS70" s="234"/>
      <c r="DT70" s="234"/>
    </row>
    <row r="71" spans="1:124" s="231" customFormat="1" ht="16.5" customHeight="1" x14ac:dyDescent="0.25">
      <c r="A71" s="232"/>
      <c r="B71" s="250"/>
      <c r="C71" s="250"/>
      <c r="D71" s="250"/>
      <c r="E71" s="232"/>
      <c r="F71" s="387">
        <f t="shared" ca="1" si="143"/>
        <v>2017</v>
      </c>
      <c r="G71" s="387" t="str">
        <f t="shared" ca="1" si="143"/>
        <v>sept</v>
      </c>
      <c r="H71" s="70"/>
      <c r="I71" s="109">
        <f t="shared" si="144"/>
        <v>0</v>
      </c>
      <c r="J71" s="388"/>
      <c r="K71" s="73"/>
      <c r="L71" s="109">
        <f t="shared" si="145"/>
        <v>0</v>
      </c>
      <c r="M71" s="372"/>
      <c r="N71" s="73"/>
      <c r="O71" s="109">
        <f t="shared" si="146"/>
        <v>0</v>
      </c>
      <c r="P71" s="372"/>
      <c r="Q71" s="246"/>
      <c r="R71" s="246"/>
      <c r="S71" s="246"/>
      <c r="T71" s="246"/>
      <c r="U71" s="246"/>
      <c r="V71" s="246"/>
      <c r="W71" s="232"/>
      <c r="X71" s="247"/>
      <c r="Y71" s="252">
        <f t="shared" si="152"/>
        <v>0</v>
      </c>
      <c r="Z71" s="99">
        <f t="shared" si="153"/>
        <v>0</v>
      </c>
      <c r="AA71" s="99">
        <f t="shared" si="154"/>
        <v>0</v>
      </c>
      <c r="AB71" s="100">
        <f t="shared" si="155"/>
        <v>0</v>
      </c>
      <c r="AC71" s="100">
        <f t="shared" si="156"/>
        <v>0</v>
      </c>
      <c r="AD71" s="100">
        <f t="shared" si="147"/>
        <v>0</v>
      </c>
      <c r="AE71" s="233"/>
      <c r="AF71" s="247"/>
      <c r="AG71" s="252">
        <f t="shared" si="157"/>
        <v>0</v>
      </c>
      <c r="AH71" s="252">
        <f t="shared" si="148"/>
        <v>0</v>
      </c>
      <c r="AI71" s="252">
        <f t="shared" si="148"/>
        <v>0</v>
      </c>
      <c r="AJ71" s="252">
        <f t="shared" si="148"/>
        <v>0</v>
      </c>
      <c r="AK71" s="252">
        <f t="shared" si="148"/>
        <v>0</v>
      </c>
      <c r="AL71" s="248">
        <f t="shared" si="149"/>
        <v>0</v>
      </c>
      <c r="AM71" s="247"/>
      <c r="AN71" s="247"/>
      <c r="AO71" s="247"/>
      <c r="AP71" s="247"/>
      <c r="AQ71" s="247"/>
      <c r="AR71" s="247"/>
      <c r="AS71" s="247"/>
      <c r="AT71" s="247"/>
      <c r="AU71" s="247"/>
      <c r="AV71" s="247"/>
      <c r="AW71" s="247"/>
      <c r="AX71" s="247"/>
      <c r="AY71" s="49"/>
      <c r="AZ71" s="49"/>
      <c r="BA71" s="49"/>
      <c r="BB71" s="290" t="s">
        <v>1392</v>
      </c>
      <c r="BC71" s="49"/>
      <c r="BD71" s="49"/>
      <c r="BE71" s="49"/>
      <c r="BF71" s="49"/>
      <c r="BG71" s="49"/>
      <c r="BH71" s="49"/>
      <c r="BI71" s="49"/>
      <c r="BJ71" s="49"/>
      <c r="BK71" s="234"/>
      <c r="BL71" s="234"/>
      <c r="BM71" s="234"/>
      <c r="BN71" s="234"/>
      <c r="BO71" s="234"/>
      <c r="BP71" s="234"/>
      <c r="BQ71" s="234"/>
      <c r="BR71" s="234"/>
      <c r="BS71" s="234"/>
      <c r="BT71" s="234"/>
      <c r="BU71" s="234"/>
      <c r="BV71" s="234"/>
      <c r="BW71" s="234"/>
      <c r="BX71" s="234"/>
      <c r="BY71" s="234"/>
      <c r="BZ71" s="234"/>
      <c r="CA71" s="234"/>
      <c r="CB71" s="234"/>
      <c r="CC71" s="234"/>
      <c r="CD71" s="234"/>
      <c r="CE71" s="234"/>
      <c r="CF71" s="234"/>
      <c r="CG71" s="234"/>
      <c r="CH71" s="234"/>
      <c r="CI71" s="234"/>
      <c r="CJ71" s="234"/>
      <c r="CK71" s="234"/>
      <c r="CL71" s="234"/>
      <c r="CM71" s="234"/>
      <c r="CN71" s="234"/>
      <c r="CO71" s="234"/>
      <c r="CP71" s="234"/>
      <c r="CQ71" s="234"/>
      <c r="CR71" s="234"/>
      <c r="CS71" s="234"/>
      <c r="CT71" s="234"/>
      <c r="CU71" s="234"/>
      <c r="CV71" s="234"/>
      <c r="CW71" s="234"/>
      <c r="CX71" s="234"/>
      <c r="CY71" s="31"/>
      <c r="CZ71" s="234"/>
      <c r="DA71" s="234"/>
      <c r="DB71" s="234"/>
      <c r="DC71" s="234"/>
      <c r="DD71" s="234"/>
      <c r="DE71" s="234"/>
      <c r="DF71" s="234"/>
      <c r="DG71" s="234"/>
      <c r="DH71" s="234"/>
      <c r="DI71" s="234"/>
      <c r="DJ71" s="234"/>
      <c r="DK71" s="234"/>
      <c r="DL71" s="234"/>
      <c r="DM71" s="234"/>
      <c r="DN71" s="234"/>
      <c r="DO71" s="234"/>
      <c r="DP71" s="234"/>
      <c r="DQ71" s="234"/>
      <c r="DR71" s="234"/>
      <c r="DS71" s="234"/>
      <c r="DT71" s="234"/>
    </row>
    <row r="72" spans="1:124" s="231" customFormat="1" ht="16.5" customHeight="1" x14ac:dyDescent="0.25">
      <c r="A72" s="232"/>
      <c r="B72" s="250"/>
      <c r="C72" s="250"/>
      <c r="D72" s="250"/>
      <c r="E72" s="232"/>
      <c r="F72" s="387">
        <f t="shared" ca="1" si="143"/>
        <v>2017</v>
      </c>
      <c r="G72" s="387" t="str">
        <f t="shared" ca="1" si="143"/>
        <v>okt</v>
      </c>
      <c r="H72" s="70"/>
      <c r="I72" s="109">
        <f t="shared" si="144"/>
        <v>0</v>
      </c>
      <c r="J72" s="388"/>
      <c r="K72" s="73"/>
      <c r="L72" s="109">
        <f t="shared" si="145"/>
        <v>0</v>
      </c>
      <c r="M72" s="372"/>
      <c r="N72" s="73"/>
      <c r="O72" s="109">
        <f t="shared" si="146"/>
        <v>0</v>
      </c>
      <c r="P72" s="372"/>
      <c r="Q72" s="246"/>
      <c r="R72" s="246"/>
      <c r="S72" s="246"/>
      <c r="T72" s="246"/>
      <c r="U72" s="246"/>
      <c r="V72" s="246"/>
      <c r="W72" s="232"/>
      <c r="X72" s="247"/>
      <c r="Y72" s="252">
        <f t="shared" si="152"/>
        <v>0</v>
      </c>
      <c r="Z72" s="99">
        <f t="shared" si="153"/>
        <v>0</v>
      </c>
      <c r="AA72" s="99">
        <f t="shared" si="154"/>
        <v>0</v>
      </c>
      <c r="AB72" s="100">
        <f t="shared" si="155"/>
        <v>0</v>
      </c>
      <c r="AC72" s="100">
        <f t="shared" si="156"/>
        <v>0</v>
      </c>
      <c r="AD72" s="100">
        <f t="shared" si="147"/>
        <v>0</v>
      </c>
      <c r="AE72" s="233"/>
      <c r="AF72" s="247"/>
      <c r="AG72" s="252">
        <f t="shared" si="157"/>
        <v>0</v>
      </c>
      <c r="AH72" s="252">
        <f t="shared" si="148"/>
        <v>0</v>
      </c>
      <c r="AI72" s="252">
        <f t="shared" si="148"/>
        <v>0</v>
      </c>
      <c r="AJ72" s="252">
        <f t="shared" si="148"/>
        <v>0</v>
      </c>
      <c r="AK72" s="252">
        <f t="shared" si="148"/>
        <v>0</v>
      </c>
      <c r="AL72" s="248">
        <f t="shared" si="149"/>
        <v>0</v>
      </c>
      <c r="AM72" s="247"/>
      <c r="AN72" s="247"/>
      <c r="AO72" s="247"/>
      <c r="AP72" s="247"/>
      <c r="AQ72" s="247"/>
      <c r="AR72" s="247"/>
      <c r="AS72" s="247"/>
      <c r="AT72" s="247"/>
      <c r="AU72" s="247"/>
      <c r="AV72" s="247"/>
      <c r="AW72" s="247"/>
      <c r="AX72" s="247"/>
      <c r="AY72" s="234"/>
      <c r="AZ72" s="234"/>
      <c r="BA72" s="234"/>
      <c r="BB72" s="234"/>
      <c r="BC72" s="234"/>
      <c r="BD72" s="234"/>
      <c r="BE72" s="234"/>
      <c r="BF72" s="234"/>
      <c r="BG72" s="234"/>
      <c r="BH72" s="234"/>
      <c r="BI72" s="234"/>
      <c r="BJ72" s="234"/>
      <c r="BK72" s="234"/>
      <c r="BL72" s="38" t="s">
        <v>1105</v>
      </c>
      <c r="BM72" s="234"/>
      <c r="BN72" s="234"/>
      <c r="BO72" s="234"/>
      <c r="BP72" s="234"/>
      <c r="BQ72" s="234"/>
      <c r="BR72" s="234"/>
      <c r="BS72" s="234"/>
      <c r="BT72" s="234"/>
      <c r="BU72" s="234"/>
      <c r="BV72" s="234"/>
      <c r="BW72" s="234"/>
      <c r="BX72" s="234"/>
      <c r="BY72" s="234"/>
      <c r="BZ72" s="234"/>
      <c r="CA72" s="234"/>
      <c r="CB72" s="234"/>
      <c r="CC72" s="234"/>
      <c r="CD72" s="234"/>
      <c r="CE72" s="234"/>
      <c r="CF72" s="234"/>
      <c r="CG72" s="234"/>
      <c r="CH72" s="234"/>
      <c r="CI72" s="234"/>
      <c r="CJ72" s="234"/>
      <c r="CK72" s="234"/>
      <c r="CL72" s="234"/>
      <c r="CM72" s="234"/>
      <c r="CN72" s="234"/>
      <c r="CO72" s="234"/>
      <c r="CP72" s="234"/>
      <c r="CQ72" s="234"/>
      <c r="CR72" s="234"/>
      <c r="CS72" s="234"/>
      <c r="CT72" s="234"/>
      <c r="CU72" s="234"/>
      <c r="CV72" s="234"/>
      <c r="CW72" s="234"/>
      <c r="CX72" s="234"/>
      <c r="CY72" s="31"/>
      <c r="CZ72" s="234"/>
      <c r="DA72" s="234"/>
      <c r="DB72" s="234"/>
      <c r="DC72" s="234"/>
      <c r="DD72" s="234"/>
      <c r="DE72" s="234"/>
      <c r="DF72" s="234"/>
      <c r="DG72" s="234"/>
      <c r="DH72" s="234"/>
      <c r="DI72" s="234"/>
      <c r="DJ72" s="234"/>
      <c r="DK72" s="234"/>
      <c r="DL72" s="234"/>
      <c r="DM72" s="234"/>
      <c r="DN72" s="234"/>
      <c r="DO72" s="234"/>
      <c r="DP72" s="234"/>
      <c r="DQ72" s="234"/>
      <c r="DR72" s="234"/>
      <c r="DS72" s="234"/>
      <c r="DT72" s="234"/>
    </row>
    <row r="73" spans="1:124" s="231" customFormat="1" ht="16.5" customHeight="1" x14ac:dyDescent="0.25">
      <c r="A73" s="232"/>
      <c r="B73" s="250"/>
      <c r="C73" s="250"/>
      <c r="D73" s="250"/>
      <c r="E73" s="232"/>
      <c r="F73" s="387">
        <f t="shared" ca="1" si="143"/>
        <v>2017</v>
      </c>
      <c r="G73" s="387" t="str">
        <f t="shared" ca="1" si="143"/>
        <v>nov</v>
      </c>
      <c r="H73" s="70"/>
      <c r="I73" s="109">
        <f t="shared" si="144"/>
        <v>0</v>
      </c>
      <c r="J73" s="388"/>
      <c r="K73" s="73"/>
      <c r="L73" s="109">
        <f t="shared" si="145"/>
        <v>0</v>
      </c>
      <c r="M73" s="372"/>
      <c r="N73" s="73"/>
      <c r="O73" s="109">
        <f t="shared" si="146"/>
        <v>0</v>
      </c>
      <c r="P73" s="372"/>
      <c r="Q73" s="246"/>
      <c r="R73" s="246"/>
      <c r="S73" s="246"/>
      <c r="T73" s="246"/>
      <c r="U73" s="246"/>
      <c r="V73" s="246"/>
      <c r="W73" s="232"/>
      <c r="X73" s="247"/>
      <c r="Y73" s="252">
        <f t="shared" si="152"/>
        <v>0</v>
      </c>
      <c r="Z73" s="99">
        <f t="shared" si="153"/>
        <v>0</v>
      </c>
      <c r="AA73" s="99">
        <f t="shared" si="154"/>
        <v>0</v>
      </c>
      <c r="AB73" s="100">
        <f t="shared" si="155"/>
        <v>0</v>
      </c>
      <c r="AC73" s="100">
        <f t="shared" si="156"/>
        <v>0</v>
      </c>
      <c r="AD73" s="100">
        <f t="shared" si="147"/>
        <v>0</v>
      </c>
      <c r="AE73" s="233"/>
      <c r="AF73" s="247"/>
      <c r="AG73" s="252">
        <f t="shared" si="157"/>
        <v>0</v>
      </c>
      <c r="AH73" s="252">
        <f t="shared" si="148"/>
        <v>0</v>
      </c>
      <c r="AI73" s="252">
        <f t="shared" si="148"/>
        <v>0</v>
      </c>
      <c r="AJ73" s="252">
        <f t="shared" si="148"/>
        <v>0</v>
      </c>
      <c r="AK73" s="252">
        <f t="shared" si="148"/>
        <v>0</v>
      </c>
      <c r="AL73" s="248">
        <f t="shared" si="149"/>
        <v>0</v>
      </c>
      <c r="AM73" s="247"/>
      <c r="AN73" s="247"/>
      <c r="AO73" s="247"/>
      <c r="AP73" s="247"/>
      <c r="AQ73" s="247"/>
      <c r="AR73" s="247"/>
      <c r="AS73" s="247"/>
      <c r="AT73" s="247"/>
      <c r="AU73" s="247"/>
      <c r="AV73" s="247"/>
      <c r="AW73" s="247"/>
      <c r="AX73" s="247"/>
      <c r="AY73" s="234"/>
      <c r="AZ73" s="234"/>
      <c r="BA73" s="234"/>
      <c r="BB73" s="38" t="s">
        <v>1105</v>
      </c>
      <c r="BC73" s="234"/>
      <c r="BD73" s="234"/>
      <c r="BE73" s="234"/>
      <c r="BF73" s="234"/>
      <c r="BG73" s="234"/>
      <c r="BH73" s="234"/>
      <c r="BI73" s="234"/>
      <c r="BJ73" s="234"/>
      <c r="BK73" s="57" t="s">
        <v>1093</v>
      </c>
      <c r="BL73" s="52" t="s">
        <v>25</v>
      </c>
      <c r="BM73" s="52" t="s">
        <v>1085</v>
      </c>
      <c r="BN73" s="234"/>
      <c r="BO73" s="234"/>
      <c r="BP73" s="234"/>
      <c r="BQ73" s="234"/>
      <c r="BR73" s="234"/>
      <c r="BS73" s="234"/>
      <c r="BT73" s="234"/>
      <c r="BU73" s="234"/>
      <c r="BV73" s="234"/>
      <c r="BW73" s="234"/>
      <c r="BX73" s="234"/>
      <c r="BY73" s="234"/>
      <c r="BZ73" s="234"/>
      <c r="CA73" s="234"/>
      <c r="CB73" s="234"/>
      <c r="CC73" s="234"/>
      <c r="CD73" s="234"/>
      <c r="CE73" s="234"/>
      <c r="CF73" s="234"/>
      <c r="CG73" s="234"/>
      <c r="CH73" s="234"/>
      <c r="CI73" s="234"/>
      <c r="CJ73" s="234"/>
      <c r="CK73" s="234"/>
      <c r="CL73" s="234"/>
      <c r="CM73" s="234"/>
      <c r="CN73" s="234"/>
      <c r="CO73" s="234"/>
      <c r="CP73" s="234"/>
      <c r="CQ73" s="234"/>
      <c r="CR73" s="234"/>
      <c r="CS73" s="234"/>
      <c r="CT73" s="234"/>
      <c r="CU73" s="234"/>
      <c r="CV73" s="234"/>
      <c r="CW73" s="234"/>
      <c r="CX73" s="234"/>
      <c r="CY73" s="31"/>
      <c r="CZ73" s="234"/>
      <c r="DA73" s="234"/>
      <c r="DB73" s="234"/>
      <c r="DC73" s="234"/>
      <c r="DD73" s="234"/>
      <c r="DE73" s="234"/>
      <c r="DF73" s="234"/>
      <c r="DG73" s="234"/>
      <c r="DH73" s="234"/>
      <c r="DI73" s="234"/>
      <c r="DJ73" s="234"/>
      <c r="DK73" s="234"/>
      <c r="DL73" s="234"/>
      <c r="DM73" s="234"/>
      <c r="DN73" s="234"/>
      <c r="DO73" s="234"/>
      <c r="DP73" s="234"/>
      <c r="DQ73" s="234"/>
      <c r="DR73" s="234"/>
      <c r="DS73" s="234"/>
      <c r="DT73" s="234"/>
    </row>
    <row r="74" spans="1:124" s="231" customFormat="1" ht="16.5" customHeight="1" x14ac:dyDescent="0.25">
      <c r="A74" s="232"/>
      <c r="B74" s="250"/>
      <c r="C74" s="250"/>
      <c r="D74" s="250"/>
      <c r="E74" s="232"/>
      <c r="F74" s="387">
        <f t="shared" ca="1" si="143"/>
        <v>2017</v>
      </c>
      <c r="G74" s="387" t="str">
        <f t="shared" ca="1" si="143"/>
        <v>dec</v>
      </c>
      <c r="H74" s="70"/>
      <c r="I74" s="109">
        <f t="shared" si="144"/>
        <v>0</v>
      </c>
      <c r="J74" s="388"/>
      <c r="K74" s="73"/>
      <c r="L74" s="109">
        <f t="shared" si="145"/>
        <v>0</v>
      </c>
      <c r="M74" s="372"/>
      <c r="N74" s="73"/>
      <c r="O74" s="109">
        <f t="shared" si="146"/>
        <v>0</v>
      </c>
      <c r="P74" s="372"/>
      <c r="Q74" s="246"/>
      <c r="R74" s="246"/>
      <c r="S74" s="246"/>
      <c r="T74" s="246"/>
      <c r="U74" s="246"/>
      <c r="V74" s="246"/>
      <c r="W74" s="232"/>
      <c r="X74" s="236"/>
      <c r="Y74" s="252">
        <f t="shared" si="152"/>
        <v>0</v>
      </c>
      <c r="Z74" s="99">
        <f t="shared" si="153"/>
        <v>0</v>
      </c>
      <c r="AA74" s="99">
        <f t="shared" si="154"/>
        <v>0</v>
      </c>
      <c r="AB74" s="100">
        <f t="shared" si="155"/>
        <v>0</v>
      </c>
      <c r="AC74" s="100">
        <f t="shared" si="156"/>
        <v>0</v>
      </c>
      <c r="AD74" s="100">
        <f t="shared" si="147"/>
        <v>0</v>
      </c>
      <c r="AE74" s="233"/>
      <c r="AF74" s="247"/>
      <c r="AG74" s="252">
        <f t="shared" si="157"/>
        <v>0</v>
      </c>
      <c r="AH74" s="252">
        <f t="shared" si="148"/>
        <v>0</v>
      </c>
      <c r="AI74" s="252">
        <f t="shared" si="148"/>
        <v>0</v>
      </c>
      <c r="AJ74" s="252">
        <f t="shared" si="148"/>
        <v>0</v>
      </c>
      <c r="AK74" s="252">
        <f t="shared" si="148"/>
        <v>0</v>
      </c>
      <c r="AL74" s="248">
        <f t="shared" si="149"/>
        <v>0</v>
      </c>
      <c r="AM74" s="233"/>
      <c r="AN74" s="233"/>
      <c r="AO74" s="233"/>
      <c r="AP74" s="233"/>
      <c r="AQ74" s="233"/>
      <c r="AR74" s="233"/>
      <c r="AS74" s="233"/>
      <c r="AT74" s="233"/>
      <c r="AU74" s="233"/>
      <c r="AV74" s="233"/>
      <c r="AW74" s="233"/>
      <c r="AX74" s="233"/>
      <c r="AY74" s="234"/>
      <c r="AZ74" s="234"/>
      <c r="BA74" s="57" t="s">
        <v>1093</v>
      </c>
      <c r="BB74" s="52" t="s">
        <v>25</v>
      </c>
      <c r="BC74" s="52" t="s">
        <v>1085</v>
      </c>
      <c r="BD74" s="234"/>
      <c r="BE74" s="234"/>
      <c r="BF74" s="234"/>
      <c r="BG74" s="234"/>
      <c r="BH74" s="234"/>
      <c r="BI74" s="234"/>
      <c r="BJ74" s="234"/>
      <c r="BK74" s="57" t="s">
        <v>1286</v>
      </c>
      <c r="BL74" s="52">
        <v>1</v>
      </c>
      <c r="BM74" s="52">
        <v>1.6</v>
      </c>
      <c r="BN74" s="234"/>
      <c r="BO74" s="234"/>
      <c r="BP74" s="234"/>
      <c r="BQ74" s="234"/>
      <c r="BR74" s="234"/>
      <c r="BS74" s="234"/>
      <c r="BT74" s="234"/>
      <c r="BU74" s="234"/>
      <c r="BV74" s="234"/>
      <c r="BW74" s="234"/>
      <c r="BX74" s="234"/>
      <c r="BY74" s="234"/>
      <c r="BZ74" s="234"/>
      <c r="CA74" s="234"/>
      <c r="CB74" s="234"/>
      <c r="CC74" s="234"/>
      <c r="CD74" s="234"/>
      <c r="CE74" s="234"/>
      <c r="CF74" s="234"/>
      <c r="CG74" s="234"/>
      <c r="CH74" s="234"/>
      <c r="CI74" s="234"/>
      <c r="CJ74" s="234"/>
      <c r="CK74" s="234"/>
      <c r="CL74" s="234"/>
      <c r="CM74" s="234"/>
      <c r="CN74" s="234"/>
      <c r="CO74" s="234"/>
      <c r="CP74" s="234"/>
      <c r="CQ74" s="234"/>
      <c r="CR74" s="234"/>
      <c r="CS74" s="234"/>
      <c r="CT74" s="234"/>
      <c r="CU74" s="234"/>
      <c r="CV74" s="234"/>
      <c r="CW74" s="234"/>
      <c r="CX74" s="234"/>
      <c r="CY74" s="31"/>
      <c r="CZ74" s="234"/>
      <c r="DA74" s="234"/>
      <c r="DB74" s="234"/>
      <c r="DC74" s="234"/>
      <c r="DD74" s="234"/>
      <c r="DE74" s="234"/>
      <c r="DF74" s="234"/>
      <c r="DG74" s="234"/>
      <c r="DH74" s="234"/>
      <c r="DI74" s="234"/>
      <c r="DJ74" s="234"/>
      <c r="DK74" s="234"/>
      <c r="DL74" s="234"/>
      <c r="DM74" s="234"/>
      <c r="DN74" s="234"/>
      <c r="DO74" s="234"/>
      <c r="DP74" s="234"/>
      <c r="DQ74" s="234"/>
      <c r="DR74" s="234"/>
      <c r="DS74" s="234"/>
      <c r="DT74" s="234"/>
    </row>
    <row r="75" spans="1:124" s="231" customFormat="1" ht="16.5" customHeight="1" x14ac:dyDescent="0.25">
      <c r="A75" s="232"/>
      <c r="B75" s="250"/>
      <c r="C75" s="232"/>
      <c r="D75" s="251"/>
      <c r="E75" s="251"/>
      <c r="F75" s="250"/>
      <c r="G75" s="250"/>
      <c r="H75" s="250"/>
      <c r="I75" s="84">
        <f>SUM(I63:I74)</f>
        <v>0</v>
      </c>
      <c r="J75" s="84">
        <f>SUM(J63:J74)</f>
        <v>0</v>
      </c>
      <c r="K75" s="250"/>
      <c r="L75" s="84">
        <f>SUM(L63:L74)</f>
        <v>0</v>
      </c>
      <c r="M75" s="84">
        <f>SUM(M63:M74)</f>
        <v>0</v>
      </c>
      <c r="N75" s="250"/>
      <c r="O75" s="84">
        <f>SUM(O63:O74)</f>
        <v>0</v>
      </c>
      <c r="P75" s="84">
        <f>SUM(P63:P74)</f>
        <v>0</v>
      </c>
      <c r="Q75" s="250"/>
      <c r="R75" s="250"/>
      <c r="S75" s="250"/>
      <c r="T75" s="250"/>
      <c r="U75" s="250"/>
      <c r="V75" s="250"/>
      <c r="W75" s="232"/>
      <c r="X75" s="236"/>
      <c r="Y75" s="252">
        <f t="shared" si="152"/>
        <v>0</v>
      </c>
      <c r="Z75" s="99">
        <f t="shared" si="153"/>
        <v>0</v>
      </c>
      <c r="AA75" s="99">
        <f t="shared" si="154"/>
        <v>0</v>
      </c>
      <c r="AB75" s="100">
        <f t="shared" si="155"/>
        <v>0</v>
      </c>
      <c r="AC75" s="100">
        <f t="shared" si="156"/>
        <v>0</v>
      </c>
      <c r="AD75" s="100">
        <f t="shared" si="147"/>
        <v>0</v>
      </c>
      <c r="AE75" s="233"/>
      <c r="AF75" s="247"/>
      <c r="AG75" s="252">
        <f t="shared" si="157"/>
        <v>0</v>
      </c>
      <c r="AH75" s="252">
        <f t="shared" si="148"/>
        <v>0</v>
      </c>
      <c r="AI75" s="252">
        <f t="shared" si="148"/>
        <v>0</v>
      </c>
      <c r="AJ75" s="252">
        <f t="shared" si="148"/>
        <v>0</v>
      </c>
      <c r="AK75" s="252">
        <f t="shared" si="148"/>
        <v>0</v>
      </c>
      <c r="AL75" s="248">
        <f t="shared" si="149"/>
        <v>0</v>
      </c>
      <c r="AM75" s="233"/>
      <c r="AN75" s="233"/>
      <c r="AO75" s="233"/>
      <c r="AP75" s="233"/>
      <c r="AQ75" s="233"/>
      <c r="AR75" s="233"/>
      <c r="AS75" s="233"/>
      <c r="AT75" s="233"/>
      <c r="AU75" s="233"/>
      <c r="AV75" s="233"/>
      <c r="AW75" s="233"/>
      <c r="AX75" s="233"/>
      <c r="AY75" s="234"/>
      <c r="AZ75" s="234"/>
      <c r="BA75" s="57" t="s">
        <v>1286</v>
      </c>
      <c r="BB75" s="52">
        <v>1</v>
      </c>
      <c r="BC75" s="52">
        <v>1.6</v>
      </c>
      <c r="BD75" s="234"/>
      <c r="BE75" s="234"/>
      <c r="BF75" s="234"/>
      <c r="BG75" s="234"/>
      <c r="BH75" s="234"/>
      <c r="BI75" s="234"/>
      <c r="BJ75" s="234"/>
      <c r="BK75" s="57" t="s">
        <v>1287</v>
      </c>
      <c r="BL75" s="52">
        <v>0.6</v>
      </c>
      <c r="BM75" s="52">
        <v>1.8</v>
      </c>
      <c r="BN75" s="234"/>
      <c r="BO75" s="234"/>
      <c r="BP75" s="234"/>
      <c r="BQ75" s="234"/>
      <c r="BR75" s="234"/>
      <c r="BS75" s="234"/>
      <c r="BT75" s="234"/>
      <c r="BU75" s="234"/>
      <c r="BV75" s="234"/>
      <c r="BW75" s="234"/>
      <c r="BX75" s="234"/>
      <c r="BY75" s="234"/>
      <c r="BZ75" s="234"/>
      <c r="CA75" s="234"/>
      <c r="CB75" s="234"/>
      <c r="CC75" s="234"/>
      <c r="CD75" s="234"/>
      <c r="CE75" s="234"/>
      <c r="CF75" s="234"/>
      <c r="CG75" s="234"/>
      <c r="CH75" s="234"/>
      <c r="CI75" s="234"/>
      <c r="CJ75" s="234"/>
      <c r="CK75" s="234"/>
      <c r="CL75" s="234"/>
      <c r="CM75" s="234"/>
      <c r="CN75" s="234"/>
      <c r="CO75" s="234"/>
      <c r="CP75" s="234"/>
      <c r="CQ75" s="234"/>
      <c r="CR75" s="234"/>
      <c r="CS75" s="234"/>
      <c r="CT75" s="234"/>
      <c r="CU75" s="234"/>
      <c r="CV75" s="234"/>
      <c r="CW75" s="234"/>
      <c r="CX75" s="234"/>
      <c r="CY75" s="31"/>
      <c r="CZ75" s="234"/>
      <c r="DA75" s="234"/>
      <c r="DB75" s="234"/>
      <c r="DC75" s="234"/>
      <c r="DD75" s="234"/>
      <c r="DE75" s="234"/>
      <c r="DF75" s="234"/>
      <c r="DG75" s="234"/>
      <c r="DH75" s="234"/>
      <c r="DI75" s="234"/>
      <c r="DJ75" s="234"/>
      <c r="DK75" s="234"/>
      <c r="DL75" s="234"/>
      <c r="DM75" s="234"/>
      <c r="DN75" s="234"/>
      <c r="DO75" s="234"/>
      <c r="DP75" s="234"/>
      <c r="DQ75" s="234"/>
      <c r="DR75" s="234"/>
      <c r="DS75" s="234"/>
      <c r="DT75" s="234"/>
    </row>
    <row r="76" spans="1:124" s="231" customFormat="1" ht="16.5" customHeight="1" thickBot="1" x14ac:dyDescent="0.3">
      <c r="A76" s="232"/>
      <c r="B76" s="250"/>
      <c r="C76" s="232"/>
      <c r="D76" s="251"/>
      <c r="E76" s="251"/>
      <c r="F76" s="250"/>
      <c r="G76" s="250"/>
      <c r="H76" s="250"/>
      <c r="I76" s="84"/>
      <c r="J76" s="84"/>
      <c r="K76" s="250"/>
      <c r="L76" s="84"/>
      <c r="M76" s="84"/>
      <c r="N76" s="250"/>
      <c r="O76" s="84"/>
      <c r="P76" s="84"/>
      <c r="Q76" s="250"/>
      <c r="R76" s="250"/>
      <c r="S76" s="250"/>
      <c r="T76" s="250"/>
      <c r="U76" s="250"/>
      <c r="V76" s="250"/>
      <c r="W76" s="232"/>
      <c r="X76" s="233"/>
      <c r="Y76" s="254">
        <f t="shared" si="152"/>
        <v>0</v>
      </c>
      <c r="Z76" s="101">
        <f t="shared" si="153"/>
        <v>0</v>
      </c>
      <c r="AA76" s="101">
        <f t="shared" si="154"/>
        <v>0</v>
      </c>
      <c r="AB76" s="102">
        <f t="shared" si="155"/>
        <v>0</v>
      </c>
      <c r="AC76" s="102">
        <f t="shared" si="156"/>
        <v>0</v>
      </c>
      <c r="AD76" s="102">
        <f t="shared" si="147"/>
        <v>0</v>
      </c>
      <c r="AE76" s="233"/>
      <c r="AF76" s="233"/>
      <c r="AG76" s="254">
        <f t="shared" si="157"/>
        <v>0</v>
      </c>
      <c r="AH76" s="254">
        <f t="shared" si="148"/>
        <v>0</v>
      </c>
      <c r="AI76" s="254">
        <f t="shared" si="148"/>
        <v>0</v>
      </c>
      <c r="AJ76" s="254">
        <f t="shared" si="148"/>
        <v>0</v>
      </c>
      <c r="AK76" s="254">
        <f t="shared" si="148"/>
        <v>0</v>
      </c>
      <c r="AL76" s="255">
        <f t="shared" si="149"/>
        <v>0</v>
      </c>
      <c r="AM76" s="233"/>
      <c r="AN76" s="233"/>
      <c r="AO76" s="233"/>
      <c r="AP76" s="233"/>
      <c r="AQ76" s="233"/>
      <c r="AR76" s="233"/>
      <c r="AS76" s="233"/>
      <c r="AT76" s="233"/>
      <c r="AU76" s="233"/>
      <c r="AV76" s="233"/>
      <c r="AW76" s="233"/>
      <c r="AX76" s="233"/>
      <c r="AY76" s="234"/>
      <c r="AZ76" s="234"/>
      <c r="BA76" s="57" t="s">
        <v>1287</v>
      </c>
      <c r="BB76" s="52">
        <v>0.6</v>
      </c>
      <c r="BC76" s="52">
        <v>1.8</v>
      </c>
      <c r="BD76" s="234"/>
      <c r="BE76" s="234"/>
      <c r="BF76" s="234"/>
      <c r="BG76" s="234"/>
      <c r="BH76" s="234"/>
      <c r="BI76" s="234"/>
      <c r="BJ76" s="234"/>
      <c r="BK76" s="57"/>
      <c r="BL76" s="234"/>
      <c r="BM76" s="234"/>
      <c r="BN76" s="234"/>
      <c r="BO76" s="234"/>
      <c r="BP76" s="234"/>
      <c r="BQ76" s="234"/>
      <c r="BR76" s="234"/>
      <c r="BS76" s="234"/>
      <c r="BT76" s="234"/>
      <c r="BU76" s="234"/>
      <c r="BV76" s="234"/>
      <c r="BW76" s="234"/>
      <c r="BX76" s="234"/>
      <c r="BY76" s="234"/>
      <c r="BZ76" s="234"/>
      <c r="CA76" s="234"/>
      <c r="CB76" s="234"/>
      <c r="CC76" s="234"/>
      <c r="CD76" s="234"/>
      <c r="CE76" s="234"/>
      <c r="CF76" s="234"/>
      <c r="CG76" s="234"/>
      <c r="CH76" s="234"/>
      <c r="CI76" s="234"/>
      <c r="CJ76" s="234"/>
      <c r="CK76" s="234"/>
      <c r="CL76" s="234"/>
      <c r="CM76" s="234"/>
      <c r="CN76" s="234"/>
      <c r="CO76" s="234"/>
      <c r="CP76" s="234"/>
      <c r="CQ76" s="234"/>
      <c r="CR76" s="234"/>
      <c r="CS76" s="234"/>
      <c r="CT76" s="234"/>
      <c r="CU76" s="234"/>
      <c r="CV76" s="234"/>
      <c r="CW76" s="234"/>
      <c r="CX76" s="234"/>
      <c r="CY76" s="31"/>
      <c r="CZ76" s="234"/>
      <c r="DA76" s="234"/>
      <c r="DB76" s="234"/>
      <c r="DC76" s="234"/>
      <c r="DD76" s="234"/>
      <c r="DE76" s="234"/>
      <c r="DF76" s="234"/>
      <c r="DG76" s="234"/>
      <c r="DH76" s="234"/>
      <c r="DI76" s="234"/>
      <c r="DJ76" s="234"/>
      <c r="DK76" s="234"/>
      <c r="DL76" s="234"/>
      <c r="DM76" s="234"/>
      <c r="DN76" s="234"/>
      <c r="DO76" s="234"/>
      <c r="DP76" s="234"/>
      <c r="DQ76" s="234"/>
      <c r="DR76" s="234"/>
      <c r="DS76" s="234"/>
      <c r="DT76" s="234"/>
    </row>
    <row r="77" spans="1:124" s="231" customFormat="1" ht="16.5" customHeight="1" thickTop="1" x14ac:dyDescent="0.25">
      <c r="A77" s="232"/>
      <c r="B77" s="398">
        <v>3</v>
      </c>
      <c r="C77" s="399" t="s">
        <v>1347</v>
      </c>
      <c r="D77" s="400"/>
      <c r="E77" s="400"/>
      <c r="F77" s="385"/>
      <c r="G77" s="385"/>
      <c r="H77" s="385"/>
      <c r="I77" s="385"/>
      <c r="J77" s="384"/>
      <c r="K77" s="384"/>
      <c r="L77" s="384"/>
      <c r="M77" s="385"/>
      <c r="N77" s="385"/>
      <c r="O77" s="385"/>
      <c r="P77" s="385"/>
      <c r="Q77" s="385"/>
      <c r="R77" s="385"/>
      <c r="S77" s="385"/>
      <c r="T77" s="385"/>
      <c r="U77" s="385"/>
      <c r="V77" s="385"/>
      <c r="W77" s="386"/>
      <c r="X77" s="236" t="s">
        <v>1296</v>
      </c>
      <c r="Y77" s="256">
        <f t="shared" ref="Y77:AD77" si="160">SUM(Y65:Y76)</f>
        <v>0</v>
      </c>
      <c r="Z77" s="256">
        <f t="shared" si="160"/>
        <v>0</v>
      </c>
      <c r="AA77" s="256">
        <f t="shared" si="160"/>
        <v>0</v>
      </c>
      <c r="AB77" s="256">
        <f t="shared" si="160"/>
        <v>0</v>
      </c>
      <c r="AC77" s="257">
        <f t="shared" si="160"/>
        <v>0</v>
      </c>
      <c r="AD77" s="256">
        <f t="shared" si="160"/>
        <v>0</v>
      </c>
      <c r="AE77" s="233"/>
      <c r="AF77" s="236" t="s">
        <v>1296</v>
      </c>
      <c r="AG77" s="119">
        <f t="shared" ref="AG77:AL77" si="161">SUM(AG65:AG76)</f>
        <v>0</v>
      </c>
      <c r="AH77" s="119">
        <f t="shared" si="161"/>
        <v>0</v>
      </c>
      <c r="AI77" s="119">
        <f t="shared" si="161"/>
        <v>0</v>
      </c>
      <c r="AJ77" s="119">
        <f t="shared" si="161"/>
        <v>0</v>
      </c>
      <c r="AK77" s="352">
        <f t="shared" si="161"/>
        <v>0</v>
      </c>
      <c r="AL77" s="256">
        <f t="shared" si="161"/>
        <v>0</v>
      </c>
      <c r="AM77" s="233"/>
      <c r="AN77" s="233"/>
      <c r="AO77" s="233"/>
      <c r="AP77" s="233"/>
      <c r="AQ77" s="233"/>
      <c r="AR77" s="233"/>
      <c r="AS77" s="233"/>
      <c r="AT77" s="233"/>
      <c r="AU77" s="233"/>
      <c r="AV77" s="233"/>
      <c r="AW77" s="233"/>
      <c r="AX77" s="233"/>
      <c r="AY77" s="234"/>
      <c r="AZ77" s="234"/>
      <c r="BA77" s="57"/>
      <c r="BB77" s="234"/>
      <c r="BC77" s="234"/>
      <c r="BD77" s="234"/>
      <c r="BE77" s="234"/>
      <c r="BF77" s="234"/>
      <c r="BG77" s="234"/>
      <c r="BH77" s="234"/>
      <c r="BI77" s="234"/>
      <c r="BJ77" s="234"/>
      <c r="BK77" s="234"/>
      <c r="BL77" s="39" t="str">
        <f>BL73</f>
        <v>Fjärrkyla</v>
      </c>
      <c r="BM77" s="39" t="str">
        <f>BM73</f>
        <v>El</v>
      </c>
      <c r="BN77" s="58" t="s">
        <v>1094</v>
      </c>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31"/>
      <c r="CZ77" s="234"/>
      <c r="DA77" s="234"/>
      <c r="DB77" s="234"/>
      <c r="DC77" s="234"/>
      <c r="DD77" s="234"/>
      <c r="DE77" s="234"/>
      <c r="DF77" s="234"/>
      <c r="DG77" s="234"/>
      <c r="DH77" s="234"/>
      <c r="DI77" s="234"/>
      <c r="DJ77" s="234"/>
      <c r="DK77" s="234"/>
      <c r="DL77" s="234"/>
      <c r="DM77" s="234"/>
      <c r="DN77" s="234"/>
      <c r="DO77" s="234"/>
      <c r="DP77" s="234"/>
      <c r="DQ77" s="234"/>
      <c r="DR77" s="234"/>
      <c r="DS77" s="234"/>
      <c r="DT77" s="234"/>
    </row>
    <row r="78" spans="1:124" s="231" customFormat="1" ht="16.5" customHeight="1" x14ac:dyDescent="0.25">
      <c r="A78" s="232"/>
      <c r="X78" s="236" t="s">
        <v>1377</v>
      </c>
      <c r="Y78" s="248">
        <f>IF(Y77&gt;0,Y77*(Y57/Y56),0)</f>
        <v>0</v>
      </c>
      <c r="Z78" s="248">
        <f t="shared" ref="Z78:AC78" si="162">IF(Z77&gt;0,Z77*(Z57/Z56),0)</f>
        <v>0</v>
      </c>
      <c r="AA78" s="248">
        <f t="shared" si="162"/>
        <v>0</v>
      </c>
      <c r="AB78" s="248">
        <f t="shared" si="162"/>
        <v>0</v>
      </c>
      <c r="AC78" s="248">
        <f t="shared" si="162"/>
        <v>0</v>
      </c>
      <c r="AD78" s="256">
        <f>SUM(Y78:AC78)</f>
        <v>0</v>
      </c>
      <c r="AE78" s="236"/>
      <c r="AF78" s="236" t="s">
        <v>1377</v>
      </c>
      <c r="AG78" s="248">
        <f>IF(AG77&gt;0,AG77*(Y57/Y56),0)</f>
        <v>0</v>
      </c>
      <c r="AH78" s="248">
        <f t="shared" ref="AH78:AK78" si="163">IF(AH77&gt;0,AH77*(Z57/Z56),0)</f>
        <v>0</v>
      </c>
      <c r="AI78" s="248">
        <f t="shared" si="163"/>
        <v>0</v>
      </c>
      <c r="AJ78" s="248">
        <f t="shared" si="163"/>
        <v>0</v>
      </c>
      <c r="AK78" s="248">
        <f t="shared" si="163"/>
        <v>0</v>
      </c>
      <c r="AL78" s="256">
        <f>SUM(AG78:AK78)</f>
        <v>0</v>
      </c>
      <c r="AM78" s="233"/>
      <c r="AN78" s="233"/>
      <c r="AO78" s="233"/>
      <c r="AP78" s="233"/>
      <c r="AQ78" s="233"/>
      <c r="AR78" s="233"/>
      <c r="AS78" s="233"/>
      <c r="AT78" s="233"/>
      <c r="AU78" s="233"/>
      <c r="AV78" s="233"/>
      <c r="AW78" s="233"/>
      <c r="AX78" s="233"/>
      <c r="AY78" s="234"/>
      <c r="AZ78" s="234"/>
      <c r="BA78" s="234"/>
      <c r="BB78" s="39" t="str">
        <f>BB74</f>
        <v>Fjärrkyla</v>
      </c>
      <c r="BC78" s="39" t="str">
        <f>BC74</f>
        <v>El</v>
      </c>
      <c r="BD78" s="58" t="s">
        <v>1094</v>
      </c>
      <c r="BE78" s="234"/>
      <c r="BF78" s="234"/>
      <c r="BG78" s="234"/>
      <c r="BH78" s="234"/>
      <c r="BI78" s="234"/>
      <c r="BJ78" s="234"/>
      <c r="BK78" s="234"/>
      <c r="BL78" s="110">
        <f t="shared" ref="BL78:BL89" si="164">Y82</f>
        <v>0</v>
      </c>
      <c r="BM78" s="110">
        <f t="shared" ref="BM78:BM89" si="165">Z82</f>
        <v>0</v>
      </c>
      <c r="BN78" s="52">
        <f>BL78+BM78</f>
        <v>0</v>
      </c>
      <c r="BO78" s="234"/>
      <c r="BP78" s="234"/>
      <c r="BQ78" s="234"/>
      <c r="BR78" s="234"/>
      <c r="BS78" s="234"/>
      <c r="BT78" s="234"/>
      <c r="BU78" s="234"/>
      <c r="BV78" s="234"/>
      <c r="BW78" s="234"/>
      <c r="BX78" s="234"/>
      <c r="BY78" s="234"/>
      <c r="BZ78" s="234"/>
      <c r="CA78" s="234"/>
      <c r="CB78" s="234"/>
      <c r="CC78" s="234"/>
      <c r="CD78" s="234"/>
      <c r="CE78" s="234"/>
      <c r="CF78" s="234"/>
      <c r="CG78" s="234"/>
      <c r="CH78" s="234"/>
      <c r="CI78" s="234"/>
      <c r="CJ78" s="234"/>
      <c r="CK78" s="234"/>
      <c r="CL78" s="234"/>
      <c r="CM78" s="234"/>
      <c r="CN78" s="234"/>
      <c r="CO78" s="234"/>
      <c r="CP78" s="234"/>
      <c r="CQ78" s="234"/>
      <c r="CR78" s="234"/>
      <c r="CS78" s="234"/>
      <c r="CT78" s="234"/>
      <c r="CU78" s="234"/>
      <c r="CV78" s="234"/>
      <c r="CW78" s="234"/>
      <c r="CX78" s="234"/>
      <c r="CY78" s="31"/>
      <c r="CZ78" s="234"/>
      <c r="DA78" s="234"/>
      <c r="DB78" s="234"/>
      <c r="DC78" s="234"/>
      <c r="DD78" s="234"/>
      <c r="DE78" s="234"/>
      <c r="DF78" s="234"/>
      <c r="DG78" s="234"/>
      <c r="DH78" s="234"/>
      <c r="DI78" s="234"/>
      <c r="DJ78" s="234"/>
      <c r="DK78" s="234"/>
      <c r="DL78" s="234"/>
      <c r="DM78" s="234"/>
      <c r="DN78" s="234"/>
      <c r="DO78" s="234"/>
      <c r="DP78" s="234"/>
      <c r="DQ78" s="234"/>
      <c r="DR78" s="234"/>
      <c r="DS78" s="234"/>
      <c r="DT78" s="234"/>
    </row>
    <row r="79" spans="1:124" s="231" customFormat="1" ht="16.5" customHeight="1" x14ac:dyDescent="0.25">
      <c r="A79" s="232"/>
      <c r="B79" s="232"/>
      <c r="C79" s="232"/>
      <c r="D79" s="232"/>
      <c r="E79" s="232"/>
      <c r="F79" s="505" t="s">
        <v>1138</v>
      </c>
      <c r="G79" s="505"/>
      <c r="H79" s="232"/>
      <c r="I79" s="238" t="s">
        <v>1047</v>
      </c>
      <c r="J79" s="232"/>
      <c r="K79" s="232"/>
      <c r="L79" s="238" t="s">
        <v>1048</v>
      </c>
      <c r="M79" s="232"/>
      <c r="N79" s="232"/>
      <c r="O79" s="238" t="s">
        <v>1049</v>
      </c>
      <c r="P79" s="232"/>
      <c r="Q79" s="232"/>
      <c r="R79" s="232"/>
      <c r="S79" s="232"/>
      <c r="T79" s="232"/>
      <c r="U79" s="232"/>
      <c r="V79" s="232"/>
      <c r="W79" s="232"/>
      <c r="X79" s="245"/>
      <c r="Y79" s="242"/>
      <c r="Z79" s="247"/>
      <c r="AA79" s="233"/>
      <c r="AB79" s="233"/>
      <c r="AC79" s="244" t="s">
        <v>1373</v>
      </c>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4"/>
      <c r="AZ79" s="234"/>
      <c r="BA79" s="234"/>
      <c r="BB79" s="110">
        <f>Y82</f>
        <v>0</v>
      </c>
      <c r="BC79" s="110">
        <f>Z82</f>
        <v>0</v>
      </c>
      <c r="BD79" s="52">
        <f>BB79+BC79</f>
        <v>0</v>
      </c>
      <c r="BE79" s="234"/>
      <c r="BF79" s="234"/>
      <c r="BG79" s="234"/>
      <c r="BH79" s="234"/>
      <c r="BI79" s="234"/>
      <c r="BJ79" s="234"/>
      <c r="BK79" s="234"/>
      <c r="BL79" s="110">
        <f t="shared" si="164"/>
        <v>0</v>
      </c>
      <c r="BM79" s="110">
        <f t="shared" si="165"/>
        <v>0</v>
      </c>
      <c r="BN79" s="52">
        <f t="shared" ref="BN79:BN90" si="166">BL79+BM79</f>
        <v>0</v>
      </c>
      <c r="BO79" s="234"/>
      <c r="BP79" s="234"/>
      <c r="BQ79" s="234"/>
      <c r="BR79" s="234"/>
      <c r="BS79" s="234"/>
      <c r="BT79" s="234"/>
      <c r="BU79" s="234"/>
      <c r="BV79" s="234"/>
      <c r="BW79" s="234"/>
      <c r="BX79" s="234"/>
      <c r="BY79" s="234"/>
      <c r="BZ79" s="234"/>
      <c r="CA79" s="234"/>
      <c r="CB79" s="234"/>
      <c r="CC79" s="234"/>
      <c r="CD79" s="234"/>
      <c r="CE79" s="234"/>
      <c r="CF79" s="234"/>
      <c r="CG79" s="234"/>
      <c r="CH79" s="234"/>
      <c r="CI79" s="234"/>
      <c r="CJ79" s="234"/>
      <c r="CK79" s="234"/>
      <c r="CL79" s="234"/>
      <c r="CM79" s="234"/>
      <c r="CN79" s="234"/>
      <c r="CO79" s="234"/>
      <c r="CP79" s="234"/>
      <c r="CQ79" s="234"/>
      <c r="CR79" s="234"/>
      <c r="CS79" s="234"/>
      <c r="CT79" s="234"/>
      <c r="CU79" s="234"/>
      <c r="CV79" s="234"/>
      <c r="CW79" s="234"/>
      <c r="CX79" s="234"/>
      <c r="CY79" s="31"/>
      <c r="CZ79" s="234"/>
      <c r="DA79" s="234"/>
      <c r="DB79" s="234"/>
      <c r="DC79" s="234"/>
      <c r="DD79" s="234"/>
      <c r="DE79" s="234"/>
      <c r="DF79" s="234"/>
      <c r="DG79" s="234"/>
      <c r="DH79" s="234"/>
      <c r="DI79" s="234"/>
      <c r="DJ79" s="234"/>
      <c r="DK79" s="234"/>
      <c r="DL79" s="234"/>
      <c r="DM79" s="234"/>
      <c r="DN79" s="234"/>
      <c r="DO79" s="234"/>
      <c r="DP79" s="234"/>
      <c r="DQ79" s="234"/>
      <c r="DR79" s="234"/>
      <c r="DS79" s="234"/>
      <c r="DT79" s="234"/>
    </row>
    <row r="80" spans="1:124" s="231" customFormat="1" ht="16.5" customHeight="1" x14ac:dyDescent="0.25">
      <c r="A80" s="232"/>
      <c r="B80" s="232"/>
      <c r="C80" s="53" t="s">
        <v>1050</v>
      </c>
      <c r="D80" s="392">
        <v>1</v>
      </c>
      <c r="E80" s="232"/>
      <c r="F80" s="54" t="s">
        <v>9</v>
      </c>
      <c r="G80" s="375">
        <f>$G$14</f>
        <v>2017</v>
      </c>
      <c r="H80" s="37"/>
      <c r="I80" s="55" t="s">
        <v>1081</v>
      </c>
      <c r="J80" s="368" t="s">
        <v>25</v>
      </c>
      <c r="K80" s="37"/>
      <c r="L80" s="55" t="s">
        <v>1081</v>
      </c>
      <c r="M80" s="368" t="s">
        <v>26</v>
      </c>
      <c r="N80" s="37"/>
      <c r="O80" s="55" t="s">
        <v>1081</v>
      </c>
      <c r="P80" s="368" t="s">
        <v>26</v>
      </c>
      <c r="Q80" s="37"/>
      <c r="R80" s="37"/>
      <c r="S80" s="37"/>
      <c r="T80" s="37"/>
      <c r="U80" s="37"/>
      <c r="V80" s="37"/>
      <c r="W80" s="232"/>
      <c r="X80" s="245"/>
      <c r="Y80" s="242" t="s">
        <v>1105</v>
      </c>
      <c r="Z80" s="245"/>
      <c r="AA80" s="245"/>
      <c r="AB80" s="233"/>
      <c r="AC80" s="242" t="s">
        <v>1105</v>
      </c>
      <c r="AD80" s="233"/>
      <c r="AE80" s="233"/>
      <c r="AF80" s="227"/>
      <c r="AG80" s="227"/>
      <c r="AH80" s="233"/>
      <c r="AI80" s="233"/>
      <c r="AJ80" s="233"/>
      <c r="AK80" s="233"/>
      <c r="AL80" s="233"/>
      <c r="AM80" s="233"/>
      <c r="AN80" s="233"/>
      <c r="AO80" s="233"/>
      <c r="AP80" s="233"/>
      <c r="AQ80" s="233"/>
      <c r="AR80" s="233"/>
      <c r="AS80" s="233"/>
      <c r="AT80" s="233"/>
      <c r="AU80" s="233"/>
      <c r="AV80" s="233"/>
      <c r="AW80" s="233"/>
      <c r="AX80" s="233"/>
      <c r="AY80" s="234"/>
      <c r="AZ80" s="234"/>
      <c r="BA80" s="234"/>
      <c r="BB80" s="110">
        <f t="shared" ref="BB80:BC90" si="167">Y83</f>
        <v>0</v>
      </c>
      <c r="BC80" s="110">
        <f t="shared" si="167"/>
        <v>0</v>
      </c>
      <c r="BD80" s="52">
        <f t="shared" ref="BD80:BD91" si="168">BB80+BC80</f>
        <v>0</v>
      </c>
      <c r="BE80" s="234"/>
      <c r="BF80" s="234"/>
      <c r="BG80" s="234"/>
      <c r="BH80" s="234"/>
      <c r="BI80" s="234"/>
      <c r="BJ80" s="234"/>
      <c r="BK80" s="234"/>
      <c r="BL80" s="110">
        <f t="shared" si="164"/>
        <v>0</v>
      </c>
      <c r="BM80" s="110">
        <f t="shared" si="165"/>
        <v>0</v>
      </c>
      <c r="BN80" s="52">
        <f t="shared" si="166"/>
        <v>0</v>
      </c>
      <c r="BO80" s="234"/>
      <c r="BP80" s="234"/>
      <c r="BQ80" s="234"/>
      <c r="BR80" s="234"/>
      <c r="BS80" s="234"/>
      <c r="BT80" s="234"/>
      <c r="BU80" s="234"/>
      <c r="BV80" s="234"/>
      <c r="BW80" s="234"/>
      <c r="BX80" s="234"/>
      <c r="BY80" s="234"/>
      <c r="BZ80" s="234"/>
      <c r="CA80" s="234"/>
      <c r="CB80" s="234"/>
      <c r="CC80" s="234"/>
      <c r="CD80" s="234"/>
      <c r="CE80" s="234"/>
      <c r="CF80" s="234"/>
      <c r="CG80" s="234"/>
      <c r="CH80" s="234"/>
      <c r="CI80" s="234"/>
      <c r="CJ80" s="234"/>
      <c r="CK80" s="234"/>
      <c r="CL80" s="234"/>
      <c r="CM80" s="234"/>
      <c r="CN80" s="234"/>
      <c r="CO80" s="234"/>
      <c r="CP80" s="234"/>
      <c r="CQ80" s="234"/>
      <c r="CR80" s="234"/>
      <c r="CS80" s="234"/>
      <c r="CT80" s="234"/>
      <c r="CU80" s="234"/>
      <c r="CV80" s="234"/>
      <c r="CW80" s="234"/>
      <c r="CX80" s="234"/>
      <c r="CY80" s="31"/>
      <c r="CZ80" s="234"/>
      <c r="DA80" s="234"/>
      <c r="DB80" s="234"/>
      <c r="DC80" s="234"/>
      <c r="DD80" s="234"/>
      <c r="DE80" s="234"/>
      <c r="DF80" s="234"/>
      <c r="DG80" s="234"/>
      <c r="DH80" s="234"/>
      <c r="DI80" s="234"/>
      <c r="DJ80" s="234"/>
      <c r="DK80" s="234"/>
      <c r="DL80" s="234"/>
      <c r="DM80" s="234"/>
      <c r="DN80" s="234"/>
      <c r="DO80" s="234"/>
      <c r="DP80" s="234"/>
      <c r="DQ80" s="234"/>
      <c r="DR80" s="234"/>
      <c r="DS80" s="234"/>
      <c r="DT80" s="234"/>
    </row>
    <row r="81" spans="1:124" s="231" customFormat="1" ht="16.5" customHeight="1" x14ac:dyDescent="0.25">
      <c r="A81" s="232"/>
      <c r="B81" s="232"/>
      <c r="C81" s="217" t="s">
        <v>1356</v>
      </c>
      <c r="D81" s="232"/>
      <c r="E81" s="232"/>
      <c r="F81" s="54" t="s">
        <v>19</v>
      </c>
      <c r="G81" s="375" t="str">
        <f>$G$15</f>
        <v>jan</v>
      </c>
      <c r="H81" s="37"/>
      <c r="I81" s="53" t="s">
        <v>13</v>
      </c>
      <c r="J81" s="372">
        <v>1</v>
      </c>
      <c r="K81" s="246"/>
      <c r="L81" s="55" t="s">
        <v>13</v>
      </c>
      <c r="M81" s="372">
        <v>2.5</v>
      </c>
      <c r="N81" s="246"/>
      <c r="O81" s="55" t="s">
        <v>13</v>
      </c>
      <c r="P81" s="372">
        <v>2.5</v>
      </c>
      <c r="Q81" s="246"/>
      <c r="R81" s="246"/>
      <c r="S81" s="246"/>
      <c r="T81" s="246"/>
      <c r="U81" s="246"/>
      <c r="V81" s="246"/>
      <c r="W81" s="232"/>
      <c r="X81" s="233"/>
      <c r="Y81" s="233" t="s">
        <v>25</v>
      </c>
      <c r="Z81" s="233" t="s">
        <v>26</v>
      </c>
      <c r="AA81" s="249" t="s">
        <v>1094</v>
      </c>
      <c r="AB81" s="233"/>
      <c r="AC81" s="287" t="s">
        <v>25</v>
      </c>
      <c r="AD81" s="287" t="s">
        <v>26</v>
      </c>
      <c r="AE81" s="287" t="s">
        <v>1249</v>
      </c>
      <c r="AF81" s="249" t="s">
        <v>1094</v>
      </c>
      <c r="AG81" s="244" t="s">
        <v>1370</v>
      </c>
      <c r="AH81" s="233"/>
      <c r="AI81" s="233"/>
      <c r="AJ81" s="233"/>
      <c r="AK81" s="233"/>
      <c r="AL81" s="233"/>
      <c r="AM81" s="233"/>
      <c r="AN81" s="233"/>
      <c r="AO81" s="233"/>
      <c r="AP81" s="233"/>
      <c r="AQ81" s="233"/>
      <c r="AR81" s="233"/>
      <c r="AS81" s="233"/>
      <c r="AT81" s="233"/>
      <c r="AU81" s="233"/>
      <c r="AV81" s="233"/>
      <c r="AW81" s="233"/>
      <c r="AX81" s="233"/>
      <c r="AY81" s="234"/>
      <c r="AZ81" s="234"/>
      <c r="BA81" s="234"/>
      <c r="BB81" s="110">
        <f t="shared" si="167"/>
        <v>0</v>
      </c>
      <c r="BC81" s="110">
        <f t="shared" si="167"/>
        <v>0</v>
      </c>
      <c r="BD81" s="52">
        <f t="shared" si="168"/>
        <v>0</v>
      </c>
      <c r="BE81" s="234"/>
      <c r="BF81" s="234"/>
      <c r="BG81" s="234"/>
      <c r="BH81" s="234"/>
      <c r="BI81" s="234"/>
      <c r="BJ81" s="234"/>
      <c r="BK81" s="234"/>
      <c r="BL81" s="110">
        <f t="shared" si="164"/>
        <v>0</v>
      </c>
      <c r="BM81" s="110">
        <f t="shared" si="165"/>
        <v>0</v>
      </c>
      <c r="BN81" s="52">
        <f t="shared" si="166"/>
        <v>0</v>
      </c>
      <c r="BO81" s="234"/>
      <c r="BP81" s="234"/>
      <c r="BQ81" s="234"/>
      <c r="BR81" s="234"/>
      <c r="BS81" s="234"/>
      <c r="BT81" s="234"/>
      <c r="BU81" s="234"/>
      <c r="BV81" s="234"/>
      <c r="BW81" s="234"/>
      <c r="BX81" s="234"/>
      <c r="BY81" s="234"/>
      <c r="BZ81" s="234"/>
      <c r="CA81" s="234"/>
      <c r="CB81" s="234"/>
      <c r="CC81" s="234"/>
      <c r="CD81" s="234"/>
      <c r="CE81" s="234"/>
      <c r="CF81" s="234"/>
      <c r="CG81" s="234"/>
      <c r="CH81" s="234"/>
      <c r="CI81" s="234"/>
      <c r="CJ81" s="234"/>
      <c r="CK81" s="234"/>
      <c r="CL81" s="234"/>
      <c r="CM81" s="234"/>
      <c r="CN81" s="234"/>
      <c r="CO81" s="234"/>
      <c r="CP81" s="234"/>
      <c r="CQ81" s="234"/>
      <c r="CR81" s="234"/>
      <c r="CS81" s="234"/>
      <c r="CT81" s="234"/>
      <c r="CU81" s="234"/>
      <c r="CV81" s="234"/>
      <c r="CW81" s="234"/>
      <c r="CX81" s="234"/>
      <c r="CY81" s="31"/>
      <c r="CZ81" s="234"/>
      <c r="DA81" s="234"/>
      <c r="DB81" s="234"/>
      <c r="DC81" s="234"/>
      <c r="DD81" s="234"/>
      <c r="DE81" s="234"/>
      <c r="DF81" s="234"/>
      <c r="DG81" s="234"/>
      <c r="DH81" s="234"/>
      <c r="DI81" s="234"/>
      <c r="DJ81" s="234"/>
      <c r="DK81" s="234"/>
      <c r="DL81" s="234"/>
      <c r="DM81" s="234"/>
      <c r="DN81" s="234"/>
      <c r="DO81" s="234"/>
      <c r="DP81" s="234"/>
      <c r="DQ81" s="234"/>
      <c r="DR81" s="234"/>
      <c r="DS81" s="234"/>
      <c r="DT81" s="234"/>
    </row>
    <row r="82" spans="1:124" s="231" customFormat="1" ht="16.5" customHeight="1" x14ac:dyDescent="0.25">
      <c r="A82" s="232"/>
      <c r="B82" s="232"/>
      <c r="C82" s="506"/>
      <c r="D82" s="507"/>
      <c r="E82" s="232"/>
      <c r="F82" s="93"/>
      <c r="G82" s="37"/>
      <c r="H82" s="37"/>
      <c r="I82" s="54" t="s">
        <v>1136</v>
      </c>
      <c r="J82" s="368" t="s">
        <v>1075</v>
      </c>
      <c r="K82" s="246"/>
      <c r="L82" s="54" t="s">
        <v>1136</v>
      </c>
      <c r="M82" s="368" t="s">
        <v>1075</v>
      </c>
      <c r="N82" s="246"/>
      <c r="O82" s="54" t="s">
        <v>1136</v>
      </c>
      <c r="P82" s="368" t="s">
        <v>1046</v>
      </c>
      <c r="Q82" s="37"/>
      <c r="R82" s="37"/>
      <c r="S82" s="37"/>
      <c r="T82" s="37"/>
      <c r="U82" s="37"/>
      <c r="V82" s="37"/>
      <c r="W82" s="232"/>
      <c r="X82" s="233"/>
      <c r="Y82" s="261">
        <f>IF($J$80=$Y$81,$I$85,0)+IF($M$80=$Y$81,$L$85,0)+IF($P$80=$Y$81,$O$85,0)</f>
        <v>0</v>
      </c>
      <c r="Z82" s="261">
        <f>IF($J$80=$Z$81,$I$85,0)+IF($M$80=$Z$81,$L$85,0)+IF($P$80=$Z$81,$O$85,0)</f>
        <v>0</v>
      </c>
      <c r="AA82" s="56">
        <f>Y82+Z82</f>
        <v>0</v>
      </c>
      <c r="AB82" s="233"/>
      <c r="AC82" s="261">
        <f>Y82</f>
        <v>0</v>
      </c>
      <c r="AD82" s="282">
        <f>Z82</f>
        <v>0</v>
      </c>
      <c r="AE82" s="259">
        <f>AD82-AB130</f>
        <v>0</v>
      </c>
      <c r="AF82" s="191">
        <f>AC82+AE82</f>
        <v>0</v>
      </c>
      <c r="AG82" s="362" t="str">
        <f>IF(AE82&lt;0,"Fel i indata","")</f>
        <v/>
      </c>
      <c r="AH82" s="233"/>
      <c r="AI82" s="233"/>
      <c r="AJ82" s="233"/>
      <c r="AK82" s="233"/>
      <c r="AL82" s="233"/>
      <c r="AM82" s="233"/>
      <c r="AN82" s="233"/>
      <c r="AO82" s="233"/>
      <c r="AP82" s="233"/>
      <c r="AQ82" s="233"/>
      <c r="AR82" s="233"/>
      <c r="AS82" s="233"/>
      <c r="AT82" s="233"/>
      <c r="AU82" s="233"/>
      <c r="AV82" s="233"/>
      <c r="AW82" s="233"/>
      <c r="AX82" s="233"/>
      <c r="AY82" s="234"/>
      <c r="AZ82" s="234"/>
      <c r="BA82" s="234"/>
      <c r="BB82" s="110">
        <f t="shared" si="167"/>
        <v>0</v>
      </c>
      <c r="BC82" s="110">
        <f t="shared" si="167"/>
        <v>0</v>
      </c>
      <c r="BD82" s="52">
        <f t="shared" si="168"/>
        <v>0</v>
      </c>
      <c r="BE82" s="234"/>
      <c r="BF82" s="234"/>
      <c r="BG82" s="234"/>
      <c r="BH82" s="234"/>
      <c r="BI82" s="234"/>
      <c r="BJ82" s="234"/>
      <c r="BK82" s="234"/>
      <c r="BL82" s="110">
        <f t="shared" si="164"/>
        <v>0</v>
      </c>
      <c r="BM82" s="110">
        <f t="shared" si="165"/>
        <v>0</v>
      </c>
      <c r="BN82" s="52">
        <f t="shared" si="166"/>
        <v>0</v>
      </c>
      <c r="BO82" s="234"/>
      <c r="BP82" s="234"/>
      <c r="BQ82" s="234"/>
      <c r="BR82" s="234"/>
      <c r="BS82" s="234"/>
      <c r="BT82" s="234"/>
      <c r="BU82" s="234"/>
      <c r="BV82" s="234"/>
      <c r="BW82" s="234"/>
      <c r="BX82" s="234"/>
      <c r="BY82" s="234"/>
      <c r="BZ82" s="234"/>
      <c r="CA82" s="234"/>
      <c r="CB82" s="234"/>
      <c r="CC82" s="234"/>
      <c r="CD82" s="234"/>
      <c r="CE82" s="234"/>
      <c r="CF82" s="234"/>
      <c r="CG82" s="234"/>
      <c r="CH82" s="234"/>
      <c r="CI82" s="234"/>
      <c r="CJ82" s="234"/>
      <c r="CK82" s="234"/>
      <c r="CL82" s="234"/>
      <c r="CM82" s="234"/>
      <c r="CN82" s="234"/>
      <c r="CO82" s="234"/>
      <c r="CP82" s="234"/>
      <c r="CQ82" s="234"/>
      <c r="CR82" s="234"/>
      <c r="CS82" s="234"/>
      <c r="CT82" s="234"/>
      <c r="CU82" s="234"/>
      <c r="CV82" s="234"/>
      <c r="CW82" s="234"/>
      <c r="CX82" s="234"/>
      <c r="CY82" s="31"/>
      <c r="CZ82" s="234"/>
      <c r="DA82" s="234"/>
      <c r="DB82" s="234"/>
      <c r="DC82" s="234"/>
      <c r="DD82" s="234"/>
      <c r="DE82" s="234"/>
      <c r="DF82" s="234"/>
      <c r="DG82" s="234"/>
      <c r="DH82" s="234"/>
      <c r="DI82" s="234"/>
      <c r="DJ82" s="234"/>
      <c r="DK82" s="234"/>
      <c r="DL82" s="234"/>
      <c r="DM82" s="234"/>
      <c r="DN82" s="234"/>
      <c r="DO82" s="234"/>
      <c r="DP82" s="234"/>
      <c r="DQ82" s="234"/>
      <c r="DR82" s="234"/>
      <c r="DS82" s="234"/>
      <c r="DT82" s="234"/>
    </row>
    <row r="83" spans="1:124" s="231" customFormat="1" ht="16.5" customHeight="1" x14ac:dyDescent="0.25">
      <c r="A83" s="232"/>
      <c r="B83" s="232"/>
      <c r="C83" s="508"/>
      <c r="D83" s="509"/>
      <c r="E83" s="232"/>
      <c r="F83" s="232"/>
      <c r="G83" s="37"/>
      <c r="H83" s="37"/>
      <c r="I83" s="97"/>
      <c r="J83" s="66" t="s">
        <v>1132</v>
      </c>
      <c r="K83" s="66"/>
      <c r="L83" s="97"/>
      <c r="M83" s="66" t="s">
        <v>1132</v>
      </c>
      <c r="N83" s="66"/>
      <c r="O83" s="66"/>
      <c r="P83" s="66" t="s">
        <v>1132</v>
      </c>
      <c r="Q83" s="66"/>
      <c r="R83" s="66"/>
      <c r="S83" s="66"/>
      <c r="T83" s="66"/>
      <c r="U83" s="66"/>
      <c r="V83" s="66"/>
      <c r="W83" s="232"/>
      <c r="X83" s="233"/>
      <c r="Y83" s="261">
        <f t="shared" ref="Y83:Y93" si="169">IF($J$80=$Y$81,I86,0)+IF($M$80=$Y$81,L86,0)+IF($P$80=$Y$81,O86,0)</f>
        <v>0</v>
      </c>
      <c r="Z83" s="261">
        <f t="shared" ref="Z83:Z93" si="170">IF($J$80=$Z$81,I86,0)+IF($M$80=$Z$81,L86,0)+IF($P$80=$Z$81,O86,0)</f>
        <v>0</v>
      </c>
      <c r="AA83" s="56">
        <f t="shared" ref="AA83:AA94" si="171">Y83+Z83</f>
        <v>0</v>
      </c>
      <c r="AB83" s="233"/>
      <c r="AC83" s="261">
        <f t="shared" ref="AC83:AD93" si="172">Y83</f>
        <v>0</v>
      </c>
      <c r="AD83" s="282">
        <f t="shared" si="172"/>
        <v>0</v>
      </c>
      <c r="AE83" s="259">
        <f t="shared" ref="AE83:AE93" si="173">AD83-AB131</f>
        <v>0</v>
      </c>
      <c r="AF83" s="191">
        <f t="shared" ref="AF83:AF93" si="174">AC83+AE83</f>
        <v>0</v>
      </c>
      <c r="AG83" s="362" t="str">
        <f t="shared" ref="AG83:AG93" si="175">IF(AE83&lt;0,"Fel i indata","")</f>
        <v/>
      </c>
      <c r="AH83" s="233"/>
      <c r="AI83" s="233"/>
      <c r="AJ83" s="233"/>
      <c r="AK83" s="233"/>
      <c r="AL83" s="233"/>
      <c r="AM83" s="233"/>
      <c r="AN83" s="233"/>
      <c r="AO83" s="233"/>
      <c r="AP83" s="233"/>
      <c r="AQ83" s="233"/>
      <c r="AR83" s="233"/>
      <c r="AS83" s="233"/>
      <c r="AT83" s="233"/>
      <c r="AU83" s="233"/>
      <c r="AV83" s="233"/>
      <c r="AW83" s="233"/>
      <c r="AX83" s="233"/>
      <c r="AY83" s="234"/>
      <c r="AZ83" s="234"/>
      <c r="BA83" s="234"/>
      <c r="BB83" s="110">
        <f t="shared" si="167"/>
        <v>0</v>
      </c>
      <c r="BC83" s="110">
        <f t="shared" si="167"/>
        <v>0</v>
      </c>
      <c r="BD83" s="52">
        <f t="shared" si="168"/>
        <v>0</v>
      </c>
      <c r="BE83" s="234"/>
      <c r="BF83" s="234"/>
      <c r="BG83" s="234"/>
      <c r="BH83" s="234"/>
      <c r="BI83" s="234"/>
      <c r="BJ83" s="234"/>
      <c r="BK83" s="234"/>
      <c r="BL83" s="110">
        <f t="shared" si="164"/>
        <v>0</v>
      </c>
      <c r="BM83" s="110">
        <f t="shared" si="165"/>
        <v>0</v>
      </c>
      <c r="BN83" s="52">
        <f t="shared" si="166"/>
        <v>0</v>
      </c>
      <c r="BO83" s="234"/>
      <c r="BP83" s="234"/>
      <c r="BQ83" s="234"/>
      <c r="BR83" s="234"/>
      <c r="BS83" s="234"/>
      <c r="BT83" s="234"/>
      <c r="BU83" s="234"/>
      <c r="BV83" s="234"/>
      <c r="BW83" s="234"/>
      <c r="BX83" s="234"/>
      <c r="BY83" s="234"/>
      <c r="BZ83" s="234"/>
      <c r="CA83" s="234"/>
      <c r="CB83" s="234"/>
      <c r="CC83" s="234"/>
      <c r="CD83" s="234"/>
      <c r="CE83" s="234"/>
      <c r="CF83" s="234"/>
      <c r="CG83" s="234"/>
      <c r="CH83" s="234"/>
      <c r="CI83" s="234"/>
      <c r="CJ83" s="234"/>
      <c r="CK83" s="234"/>
      <c r="CL83" s="234"/>
      <c r="CM83" s="234"/>
      <c r="CN83" s="234"/>
      <c r="CO83" s="234"/>
      <c r="CP83" s="234"/>
      <c r="CQ83" s="234"/>
      <c r="CR83" s="234"/>
      <c r="CS83" s="234"/>
      <c r="CT83" s="234"/>
      <c r="CU83" s="234"/>
      <c r="CV83" s="234"/>
      <c r="CW83" s="234"/>
      <c r="CX83" s="234"/>
      <c r="CY83" s="31"/>
      <c r="CZ83" s="234"/>
      <c r="DA83" s="234"/>
      <c r="DB83" s="234"/>
      <c r="DC83" s="234"/>
      <c r="DD83" s="234"/>
      <c r="DE83" s="234"/>
      <c r="DF83" s="234"/>
      <c r="DG83" s="234"/>
      <c r="DH83" s="234"/>
      <c r="DI83" s="234"/>
      <c r="DJ83" s="234"/>
      <c r="DK83" s="234"/>
      <c r="DL83" s="234"/>
      <c r="DM83" s="234"/>
      <c r="DN83" s="234"/>
      <c r="DO83" s="234"/>
      <c r="DP83" s="234"/>
      <c r="DQ83" s="234"/>
      <c r="DR83" s="234"/>
      <c r="DS83" s="234"/>
      <c r="DT83" s="234"/>
    </row>
    <row r="84" spans="1:124" s="231" customFormat="1" ht="16.5" customHeight="1" x14ac:dyDescent="0.25">
      <c r="A84" s="232"/>
      <c r="B84" s="232"/>
      <c r="C84" s="508"/>
      <c r="D84" s="509"/>
      <c r="E84" s="232"/>
      <c r="F84" s="391" t="s">
        <v>1044</v>
      </c>
      <c r="G84" s="391" t="s">
        <v>1045</v>
      </c>
      <c r="H84" s="70"/>
      <c r="I84" s="106" t="s">
        <v>1075</v>
      </c>
      <c r="J84" s="442" t="str">
        <f>J82</f>
        <v>Levererad energi</v>
      </c>
      <c r="K84" s="70"/>
      <c r="L84" s="106" t="s">
        <v>1075</v>
      </c>
      <c r="M84" s="442" t="str">
        <f>M82</f>
        <v>Levererad energi</v>
      </c>
      <c r="N84" s="70"/>
      <c r="O84" s="106" t="s">
        <v>1075</v>
      </c>
      <c r="P84" s="442" t="str">
        <f>P82</f>
        <v>Producerad energi</v>
      </c>
      <c r="Q84" s="37"/>
      <c r="R84" s="37"/>
      <c r="S84" s="37"/>
      <c r="T84" s="37"/>
      <c r="U84" s="37"/>
      <c r="V84" s="37"/>
      <c r="W84" s="232"/>
      <c r="X84" s="233"/>
      <c r="Y84" s="261">
        <f t="shared" si="169"/>
        <v>0</v>
      </c>
      <c r="Z84" s="261">
        <f t="shared" si="170"/>
        <v>0</v>
      </c>
      <c r="AA84" s="56">
        <f t="shared" si="171"/>
        <v>0</v>
      </c>
      <c r="AB84" s="233"/>
      <c r="AC84" s="261">
        <f t="shared" si="172"/>
        <v>0</v>
      </c>
      <c r="AD84" s="282">
        <f t="shared" si="172"/>
        <v>0</v>
      </c>
      <c r="AE84" s="259">
        <f t="shared" si="173"/>
        <v>0</v>
      </c>
      <c r="AF84" s="191">
        <f t="shared" si="174"/>
        <v>0</v>
      </c>
      <c r="AG84" s="362" t="str">
        <f t="shared" si="175"/>
        <v/>
      </c>
      <c r="AH84" s="233"/>
      <c r="AI84" s="233"/>
      <c r="AJ84" s="233"/>
      <c r="AK84" s="233"/>
      <c r="AL84" s="233"/>
      <c r="AM84" s="233"/>
      <c r="AN84" s="233"/>
      <c r="AO84" s="233"/>
      <c r="AP84" s="233"/>
      <c r="AQ84" s="233"/>
      <c r="AR84" s="233"/>
      <c r="AS84" s="233"/>
      <c r="AT84" s="233"/>
      <c r="AU84" s="233"/>
      <c r="AV84" s="233"/>
      <c r="AW84" s="233"/>
      <c r="AX84" s="233"/>
      <c r="AY84" s="234"/>
      <c r="AZ84" s="234"/>
      <c r="BA84" s="234"/>
      <c r="BB84" s="110">
        <f t="shared" si="167"/>
        <v>0</v>
      </c>
      <c r="BC84" s="110">
        <f t="shared" si="167"/>
        <v>0</v>
      </c>
      <c r="BD84" s="52">
        <f t="shared" si="168"/>
        <v>0</v>
      </c>
      <c r="BE84" s="234"/>
      <c r="BF84" s="234"/>
      <c r="BG84" s="234"/>
      <c r="BH84" s="234"/>
      <c r="BI84" s="234"/>
      <c r="BJ84" s="234"/>
      <c r="BK84" s="234"/>
      <c r="BL84" s="110">
        <f t="shared" si="164"/>
        <v>0</v>
      </c>
      <c r="BM84" s="110">
        <f t="shared" si="165"/>
        <v>0</v>
      </c>
      <c r="BN84" s="52">
        <f t="shared" si="166"/>
        <v>0</v>
      </c>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31"/>
      <c r="CZ84" s="234"/>
      <c r="DA84" s="234"/>
      <c r="DB84" s="234"/>
      <c r="DC84" s="234"/>
      <c r="DD84" s="234"/>
      <c r="DE84" s="234"/>
      <c r="DF84" s="234"/>
      <c r="DG84" s="234"/>
      <c r="DH84" s="234"/>
      <c r="DI84" s="234"/>
      <c r="DJ84" s="234"/>
      <c r="DK84" s="234"/>
      <c r="DL84" s="234"/>
      <c r="DM84" s="234"/>
      <c r="DN84" s="234"/>
      <c r="DO84" s="234"/>
      <c r="DP84" s="234"/>
      <c r="DQ84" s="234"/>
      <c r="DR84" s="234"/>
      <c r="DS84" s="234"/>
      <c r="DT84" s="234"/>
    </row>
    <row r="85" spans="1:124" s="231" customFormat="1" ht="16.5" customHeight="1" x14ac:dyDescent="0.25">
      <c r="A85" s="232"/>
      <c r="B85" s="250"/>
      <c r="C85" s="510"/>
      <c r="D85" s="511"/>
      <c r="E85" s="251"/>
      <c r="F85" s="387">
        <f>G80</f>
        <v>2017</v>
      </c>
      <c r="G85" s="387" t="str">
        <f t="shared" ref="G85:G96" ca="1" si="176">OFFSET($EI$2,$EI$40+ROW(F85)-ROW($F$85),0)</f>
        <v>jan</v>
      </c>
      <c r="H85" s="70"/>
      <c r="I85" s="108">
        <f t="shared" ref="I85:I96" si="177">IF($D$80&gt;0,IF($I$84=$J$84,J85,J85/$J$81),0)</f>
        <v>0</v>
      </c>
      <c r="J85" s="372"/>
      <c r="K85" s="73"/>
      <c r="L85" s="108">
        <f t="shared" ref="L85:L96" si="178">IF($D$80&gt;1,IF($L$84=$M$84,M85,M85/$M$81),0)</f>
        <v>0</v>
      </c>
      <c r="M85" s="372"/>
      <c r="N85" s="73"/>
      <c r="O85" s="108">
        <f t="shared" ref="O85:O96" si="179">IF($D$80&gt;2,IF($O$84=$P$84,P85,P85/$P$81),0)</f>
        <v>0</v>
      </c>
      <c r="P85" s="372"/>
      <c r="Q85" s="246"/>
      <c r="R85" s="246"/>
      <c r="S85" s="246"/>
      <c r="T85" s="246"/>
      <c r="U85" s="246"/>
      <c r="V85" s="246"/>
      <c r="W85" s="232"/>
      <c r="X85" s="233"/>
      <c r="Y85" s="261">
        <f t="shared" si="169"/>
        <v>0</v>
      </c>
      <c r="Z85" s="261">
        <f t="shared" si="170"/>
        <v>0</v>
      </c>
      <c r="AA85" s="56">
        <f t="shared" si="171"/>
        <v>0</v>
      </c>
      <c r="AB85" s="233"/>
      <c r="AC85" s="261">
        <f t="shared" si="172"/>
        <v>0</v>
      </c>
      <c r="AD85" s="282">
        <f t="shared" si="172"/>
        <v>0</v>
      </c>
      <c r="AE85" s="259">
        <f t="shared" si="173"/>
        <v>0</v>
      </c>
      <c r="AF85" s="191">
        <f t="shared" si="174"/>
        <v>0</v>
      </c>
      <c r="AG85" s="362" t="str">
        <f t="shared" si="175"/>
        <v/>
      </c>
      <c r="AH85" s="233"/>
      <c r="AI85" s="233"/>
      <c r="AJ85" s="233"/>
      <c r="AK85" s="233"/>
      <c r="AL85" s="233"/>
      <c r="AM85" s="233"/>
      <c r="AN85" s="233"/>
      <c r="AO85" s="233"/>
      <c r="AP85" s="233"/>
      <c r="AQ85" s="233"/>
      <c r="AR85" s="233"/>
      <c r="AS85" s="233"/>
      <c r="AT85" s="233"/>
      <c r="AU85" s="233"/>
      <c r="AV85" s="233"/>
      <c r="AW85" s="233"/>
      <c r="AX85" s="233"/>
      <c r="AY85" s="234"/>
      <c r="AZ85" s="234"/>
      <c r="BA85" s="234"/>
      <c r="BB85" s="110">
        <f t="shared" si="167"/>
        <v>0</v>
      </c>
      <c r="BC85" s="110">
        <f t="shared" si="167"/>
        <v>0</v>
      </c>
      <c r="BD85" s="52">
        <f t="shared" si="168"/>
        <v>0</v>
      </c>
      <c r="BE85" s="234"/>
      <c r="BF85" s="234"/>
      <c r="BG85" s="234"/>
      <c r="BH85" s="234"/>
      <c r="BI85" s="234"/>
      <c r="BJ85" s="234"/>
      <c r="BK85" s="234"/>
      <c r="BL85" s="110">
        <f t="shared" si="164"/>
        <v>0</v>
      </c>
      <c r="BM85" s="110">
        <f t="shared" si="165"/>
        <v>0</v>
      </c>
      <c r="BN85" s="52">
        <f t="shared" si="166"/>
        <v>0</v>
      </c>
      <c r="BO85" s="234"/>
      <c r="BP85" s="234"/>
      <c r="BQ85" s="234"/>
      <c r="BR85" s="234"/>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31"/>
      <c r="CZ85" s="234"/>
      <c r="DA85" s="234"/>
      <c r="DB85" s="234"/>
      <c r="DC85" s="234"/>
      <c r="DD85" s="234"/>
      <c r="DE85" s="234"/>
      <c r="DF85" s="234"/>
      <c r="DG85" s="234"/>
      <c r="DH85" s="234"/>
      <c r="DI85" s="234"/>
      <c r="DJ85" s="234"/>
      <c r="DK85" s="234"/>
      <c r="DL85" s="234"/>
      <c r="DM85" s="234"/>
      <c r="DN85" s="234"/>
      <c r="DO85" s="234"/>
      <c r="DP85" s="234"/>
      <c r="DQ85" s="234"/>
      <c r="DR85" s="234"/>
      <c r="DS85" s="234"/>
      <c r="DT85" s="234"/>
    </row>
    <row r="86" spans="1:124" s="231" customFormat="1" ht="16.5" customHeight="1" x14ac:dyDescent="0.25">
      <c r="A86" s="232"/>
      <c r="B86" s="250"/>
      <c r="C86" s="250"/>
      <c r="D86" s="250"/>
      <c r="E86" s="232"/>
      <c r="F86" s="387">
        <f ca="1">IF(G86="jan",F85+1,F85)</f>
        <v>2017</v>
      </c>
      <c r="G86" s="387" t="str">
        <f t="shared" ca="1" si="176"/>
        <v>feb</v>
      </c>
      <c r="H86" s="70"/>
      <c r="I86" s="108">
        <f t="shared" si="177"/>
        <v>0</v>
      </c>
      <c r="J86" s="372"/>
      <c r="K86" s="73"/>
      <c r="L86" s="108">
        <f t="shared" si="178"/>
        <v>0</v>
      </c>
      <c r="M86" s="372"/>
      <c r="N86" s="73"/>
      <c r="O86" s="108">
        <f t="shared" si="179"/>
        <v>0</v>
      </c>
      <c r="P86" s="372"/>
      <c r="Q86" s="246"/>
      <c r="R86" s="246"/>
      <c r="S86" s="246"/>
      <c r="T86" s="246"/>
      <c r="U86" s="246"/>
      <c r="V86" s="246"/>
      <c r="W86" s="232"/>
      <c r="X86" s="233"/>
      <c r="Y86" s="261">
        <f t="shared" si="169"/>
        <v>0</v>
      </c>
      <c r="Z86" s="261">
        <f t="shared" si="170"/>
        <v>0</v>
      </c>
      <c r="AA86" s="56">
        <f t="shared" si="171"/>
        <v>0</v>
      </c>
      <c r="AB86" s="233"/>
      <c r="AC86" s="261">
        <f t="shared" si="172"/>
        <v>0</v>
      </c>
      <c r="AD86" s="282">
        <f t="shared" si="172"/>
        <v>0</v>
      </c>
      <c r="AE86" s="259">
        <f t="shared" si="173"/>
        <v>0</v>
      </c>
      <c r="AF86" s="191">
        <f t="shared" si="174"/>
        <v>0</v>
      </c>
      <c r="AG86" s="362" t="str">
        <f t="shared" si="175"/>
        <v/>
      </c>
      <c r="AH86" s="233"/>
      <c r="AI86" s="233"/>
      <c r="AJ86" s="233"/>
      <c r="AK86" s="233"/>
      <c r="AL86" s="233"/>
      <c r="AM86" s="233"/>
      <c r="AN86" s="233"/>
      <c r="AO86" s="233"/>
      <c r="AP86" s="233"/>
      <c r="AQ86" s="233"/>
      <c r="AR86" s="233"/>
      <c r="AS86" s="233"/>
      <c r="AT86" s="233"/>
      <c r="AU86" s="233"/>
      <c r="AV86" s="233"/>
      <c r="AW86" s="233"/>
      <c r="AX86" s="233"/>
      <c r="AY86" s="234"/>
      <c r="AZ86" s="234"/>
      <c r="BA86" s="234"/>
      <c r="BB86" s="110">
        <f t="shared" si="167"/>
        <v>0</v>
      </c>
      <c r="BC86" s="110">
        <f t="shared" si="167"/>
        <v>0</v>
      </c>
      <c r="BD86" s="52">
        <f t="shared" si="168"/>
        <v>0</v>
      </c>
      <c r="BE86" s="234"/>
      <c r="BF86" s="234"/>
      <c r="BG86" s="234"/>
      <c r="BH86" s="234"/>
      <c r="BI86" s="234"/>
      <c r="BJ86" s="234"/>
      <c r="BK86" s="234"/>
      <c r="BL86" s="110">
        <f t="shared" si="164"/>
        <v>0</v>
      </c>
      <c r="BM86" s="110">
        <f t="shared" si="165"/>
        <v>0</v>
      </c>
      <c r="BN86" s="52">
        <f t="shared" si="166"/>
        <v>0</v>
      </c>
      <c r="BO86" s="234"/>
      <c r="BP86" s="234"/>
      <c r="BQ86" s="234"/>
      <c r="BR86" s="234"/>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31"/>
      <c r="CZ86" s="234"/>
      <c r="DA86" s="234"/>
      <c r="DB86" s="234"/>
      <c r="DC86" s="234"/>
      <c r="DD86" s="234"/>
      <c r="DE86" s="234"/>
      <c r="DF86" s="234"/>
      <c r="DG86" s="234"/>
      <c r="DH86" s="234"/>
      <c r="DI86" s="234"/>
      <c r="DJ86" s="234"/>
      <c r="DK86" s="234"/>
      <c r="DL86" s="234"/>
      <c r="DM86" s="234"/>
      <c r="DN86" s="234"/>
      <c r="DO86" s="234"/>
      <c r="DP86" s="234"/>
      <c r="DQ86" s="234"/>
      <c r="DR86" s="234"/>
      <c r="DS86" s="234"/>
      <c r="DT86" s="234"/>
    </row>
    <row r="87" spans="1:124" s="231" customFormat="1" ht="16.5" customHeight="1" x14ac:dyDescent="0.25">
      <c r="A87" s="232"/>
      <c r="B87" s="250"/>
      <c r="C87" s="250"/>
      <c r="D87" s="250"/>
      <c r="E87" s="232"/>
      <c r="F87" s="387">
        <f t="shared" ref="F87:F96" ca="1" si="180">IF(G87="jan",F86+1,F86)</f>
        <v>2017</v>
      </c>
      <c r="G87" s="387" t="str">
        <f t="shared" ca="1" si="176"/>
        <v>mars</v>
      </c>
      <c r="H87" s="70"/>
      <c r="I87" s="108">
        <f t="shared" si="177"/>
        <v>0</v>
      </c>
      <c r="J87" s="372"/>
      <c r="K87" s="73"/>
      <c r="L87" s="108">
        <f t="shared" si="178"/>
        <v>0</v>
      </c>
      <c r="M87" s="372"/>
      <c r="N87" s="73"/>
      <c r="O87" s="108">
        <f t="shared" si="179"/>
        <v>0</v>
      </c>
      <c r="P87" s="372"/>
      <c r="Q87" s="246"/>
      <c r="R87" s="246"/>
      <c r="S87" s="246"/>
      <c r="T87" s="246"/>
      <c r="U87" s="246"/>
      <c r="V87" s="246"/>
      <c r="W87" s="232"/>
      <c r="X87" s="233"/>
      <c r="Y87" s="261">
        <f t="shared" si="169"/>
        <v>0</v>
      </c>
      <c r="Z87" s="261">
        <f t="shared" si="170"/>
        <v>0</v>
      </c>
      <c r="AA87" s="56">
        <f t="shared" si="171"/>
        <v>0</v>
      </c>
      <c r="AB87" s="233"/>
      <c r="AC87" s="261">
        <f t="shared" si="172"/>
        <v>0</v>
      </c>
      <c r="AD87" s="282">
        <f t="shared" si="172"/>
        <v>0</v>
      </c>
      <c r="AE87" s="259">
        <f t="shared" si="173"/>
        <v>0</v>
      </c>
      <c r="AF87" s="191">
        <f t="shared" si="174"/>
        <v>0</v>
      </c>
      <c r="AG87" s="362" t="str">
        <f t="shared" si="175"/>
        <v/>
      </c>
      <c r="AH87" s="233"/>
      <c r="AI87" s="233"/>
      <c r="AJ87" s="233"/>
      <c r="AK87" s="233"/>
      <c r="AL87" s="233"/>
      <c r="AM87" s="233"/>
      <c r="AN87" s="233"/>
      <c r="AO87" s="233"/>
      <c r="AP87" s="233"/>
      <c r="AQ87" s="233"/>
      <c r="AR87" s="233"/>
      <c r="AS87" s="233"/>
      <c r="AT87" s="233"/>
      <c r="AU87" s="233"/>
      <c r="AV87" s="233"/>
      <c r="AW87" s="233"/>
      <c r="AX87" s="233"/>
      <c r="AY87" s="234"/>
      <c r="AZ87" s="234"/>
      <c r="BA87" s="234"/>
      <c r="BB87" s="110">
        <f t="shared" si="167"/>
        <v>0</v>
      </c>
      <c r="BC87" s="110">
        <f t="shared" si="167"/>
        <v>0</v>
      </c>
      <c r="BD87" s="52">
        <f t="shared" si="168"/>
        <v>0</v>
      </c>
      <c r="BE87" s="234"/>
      <c r="BF87" s="234"/>
      <c r="BG87" s="234"/>
      <c r="BH87" s="234"/>
      <c r="BI87" s="234"/>
      <c r="BJ87" s="234"/>
      <c r="BK87" s="234"/>
      <c r="BL87" s="110">
        <f t="shared" si="164"/>
        <v>0</v>
      </c>
      <c r="BM87" s="110">
        <f t="shared" si="165"/>
        <v>0</v>
      </c>
      <c r="BN87" s="52">
        <f t="shared" si="166"/>
        <v>0</v>
      </c>
      <c r="BO87" s="234"/>
      <c r="BP87" s="234"/>
      <c r="BQ87" s="234"/>
      <c r="BR87" s="234"/>
      <c r="BS87" s="234"/>
      <c r="BT87" s="234"/>
      <c r="BU87" s="234"/>
      <c r="BV87" s="234"/>
      <c r="BW87" s="234"/>
      <c r="BX87" s="234"/>
      <c r="BY87" s="234"/>
      <c r="BZ87" s="234"/>
      <c r="CA87" s="234"/>
      <c r="CB87" s="234"/>
      <c r="CC87" s="234"/>
      <c r="CD87" s="234"/>
      <c r="CE87" s="234"/>
      <c r="CF87" s="234"/>
      <c r="CG87" s="234"/>
      <c r="CH87" s="234"/>
      <c r="CI87" s="234"/>
      <c r="CJ87" s="234"/>
      <c r="CK87" s="234"/>
      <c r="CL87" s="234"/>
      <c r="CM87" s="234"/>
      <c r="CN87" s="234"/>
      <c r="CO87" s="234"/>
      <c r="CP87" s="234"/>
      <c r="CQ87" s="234"/>
      <c r="CR87" s="234"/>
      <c r="CS87" s="234"/>
      <c r="CT87" s="234"/>
      <c r="CU87" s="234"/>
      <c r="CV87" s="234"/>
      <c r="CW87" s="234"/>
      <c r="CX87" s="234"/>
      <c r="CY87" s="31"/>
      <c r="CZ87" s="234"/>
      <c r="DA87" s="234"/>
      <c r="DB87" s="234"/>
      <c r="DC87" s="234"/>
      <c r="DD87" s="234"/>
      <c r="DE87" s="234"/>
      <c r="DF87" s="234"/>
      <c r="DG87" s="234"/>
      <c r="DH87" s="234"/>
      <c r="DI87" s="234"/>
      <c r="DJ87" s="234"/>
      <c r="DK87" s="234"/>
      <c r="DL87" s="234"/>
      <c r="DM87" s="234"/>
      <c r="DN87" s="234"/>
      <c r="DO87" s="234"/>
      <c r="DP87" s="234"/>
      <c r="DQ87" s="234"/>
      <c r="DR87" s="234"/>
      <c r="DS87" s="234"/>
      <c r="DT87" s="234"/>
    </row>
    <row r="88" spans="1:124" s="231" customFormat="1" ht="16.5" customHeight="1" x14ac:dyDescent="0.25">
      <c r="A88" s="232"/>
      <c r="B88" s="250"/>
      <c r="C88" s="250"/>
      <c r="D88" s="250"/>
      <c r="E88" s="232"/>
      <c r="F88" s="387">
        <f t="shared" ca="1" si="180"/>
        <v>2017</v>
      </c>
      <c r="G88" s="387" t="str">
        <f t="shared" ca="1" si="176"/>
        <v>apr</v>
      </c>
      <c r="H88" s="70"/>
      <c r="I88" s="108">
        <f t="shared" si="177"/>
        <v>0</v>
      </c>
      <c r="J88" s="372"/>
      <c r="K88" s="73"/>
      <c r="L88" s="108">
        <f t="shared" si="178"/>
        <v>0</v>
      </c>
      <c r="M88" s="372"/>
      <c r="N88" s="73"/>
      <c r="O88" s="108">
        <f t="shared" si="179"/>
        <v>0</v>
      </c>
      <c r="P88" s="372"/>
      <c r="Q88" s="246"/>
      <c r="R88" s="246"/>
      <c r="S88" s="246"/>
      <c r="T88" s="246"/>
      <c r="U88" s="246"/>
      <c r="V88" s="246"/>
      <c r="W88" s="232"/>
      <c r="X88" s="233"/>
      <c r="Y88" s="261">
        <f t="shared" si="169"/>
        <v>0</v>
      </c>
      <c r="Z88" s="261">
        <f t="shared" si="170"/>
        <v>0</v>
      </c>
      <c r="AA88" s="56">
        <f t="shared" si="171"/>
        <v>0</v>
      </c>
      <c r="AB88" s="233"/>
      <c r="AC88" s="261">
        <f t="shared" si="172"/>
        <v>0</v>
      </c>
      <c r="AD88" s="282">
        <f t="shared" si="172"/>
        <v>0</v>
      </c>
      <c r="AE88" s="259">
        <f t="shared" si="173"/>
        <v>0</v>
      </c>
      <c r="AF88" s="191">
        <f t="shared" si="174"/>
        <v>0</v>
      </c>
      <c r="AG88" s="362" t="str">
        <f t="shared" si="175"/>
        <v/>
      </c>
      <c r="AH88" s="233"/>
      <c r="AI88" s="233"/>
      <c r="AJ88" s="233"/>
      <c r="AK88" s="233"/>
      <c r="AL88" s="233"/>
      <c r="AM88" s="233"/>
      <c r="AN88" s="233"/>
      <c r="AO88" s="233"/>
      <c r="AP88" s="233"/>
      <c r="AQ88" s="233"/>
      <c r="AR88" s="233"/>
      <c r="AS88" s="233"/>
      <c r="AT88" s="233"/>
      <c r="AU88" s="233"/>
      <c r="AV88" s="233"/>
      <c r="AW88" s="233"/>
      <c r="AX88" s="233"/>
      <c r="AY88" s="234"/>
      <c r="AZ88" s="234"/>
      <c r="BA88" s="234"/>
      <c r="BB88" s="110">
        <f t="shared" si="167"/>
        <v>0</v>
      </c>
      <c r="BC88" s="110">
        <f t="shared" si="167"/>
        <v>0</v>
      </c>
      <c r="BD88" s="52">
        <f t="shared" si="168"/>
        <v>0</v>
      </c>
      <c r="BE88" s="234"/>
      <c r="BF88" s="234"/>
      <c r="BG88" s="234"/>
      <c r="BH88" s="234"/>
      <c r="BI88" s="234"/>
      <c r="BJ88" s="234"/>
      <c r="BK88" s="234"/>
      <c r="BL88" s="110">
        <f t="shared" si="164"/>
        <v>0</v>
      </c>
      <c r="BM88" s="110">
        <f t="shared" si="165"/>
        <v>0</v>
      </c>
      <c r="BN88" s="52">
        <f t="shared" si="166"/>
        <v>0</v>
      </c>
      <c r="BO88" s="234"/>
      <c r="BP88" s="234"/>
      <c r="BQ88" s="234"/>
      <c r="BR88" s="234"/>
      <c r="BS88" s="234"/>
      <c r="BT88" s="234"/>
      <c r="BU88" s="234"/>
      <c r="BV88" s="234"/>
      <c r="BW88" s="234"/>
      <c r="BX88" s="234"/>
      <c r="BY88" s="234"/>
      <c r="BZ88" s="234"/>
      <c r="CA88" s="234"/>
      <c r="CB88" s="234"/>
      <c r="CC88" s="234"/>
      <c r="CD88" s="234"/>
      <c r="CE88" s="234"/>
      <c r="CF88" s="234"/>
      <c r="CG88" s="234"/>
      <c r="CH88" s="234"/>
      <c r="CI88" s="234"/>
      <c r="CJ88" s="234"/>
      <c r="CK88" s="234"/>
      <c r="CL88" s="234"/>
      <c r="CM88" s="234"/>
      <c r="CN88" s="234"/>
      <c r="CO88" s="234"/>
      <c r="CP88" s="234"/>
      <c r="CQ88" s="234"/>
      <c r="CR88" s="234"/>
      <c r="CS88" s="234"/>
      <c r="CT88" s="234"/>
      <c r="CU88" s="234"/>
      <c r="CV88" s="234"/>
      <c r="CW88" s="234"/>
      <c r="CX88" s="234"/>
      <c r="CY88" s="31"/>
      <c r="CZ88" s="234"/>
      <c r="DA88" s="234"/>
      <c r="DB88" s="234"/>
      <c r="DC88" s="234"/>
      <c r="DD88" s="234"/>
      <c r="DE88" s="234"/>
      <c r="DF88" s="234"/>
      <c r="DG88" s="234"/>
      <c r="DH88" s="234"/>
      <c r="DI88" s="234"/>
      <c r="DJ88" s="234"/>
      <c r="DK88" s="234"/>
      <c r="DL88" s="234"/>
      <c r="DM88" s="234"/>
      <c r="DN88" s="234"/>
      <c r="DO88" s="234"/>
      <c r="DP88" s="234"/>
      <c r="DQ88" s="234"/>
      <c r="DR88" s="234"/>
      <c r="DS88" s="234"/>
      <c r="DT88" s="234"/>
    </row>
    <row r="89" spans="1:124" s="231" customFormat="1" ht="16.5" customHeight="1" thickBot="1" x14ac:dyDescent="0.3">
      <c r="A89" s="232"/>
      <c r="B89" s="250"/>
      <c r="C89" s="250"/>
      <c r="D89" s="250"/>
      <c r="E89" s="232"/>
      <c r="F89" s="387">
        <f t="shared" ca="1" si="180"/>
        <v>2017</v>
      </c>
      <c r="G89" s="387" t="str">
        <f t="shared" ca="1" si="176"/>
        <v>maj</v>
      </c>
      <c r="H89" s="70"/>
      <c r="I89" s="108">
        <f t="shared" si="177"/>
        <v>0</v>
      </c>
      <c r="J89" s="372"/>
      <c r="K89" s="73"/>
      <c r="L89" s="108">
        <f t="shared" si="178"/>
        <v>0</v>
      </c>
      <c r="M89" s="372"/>
      <c r="N89" s="73"/>
      <c r="O89" s="108">
        <f t="shared" si="179"/>
        <v>0</v>
      </c>
      <c r="P89" s="372"/>
      <c r="Q89" s="246"/>
      <c r="R89" s="246"/>
      <c r="S89" s="246"/>
      <c r="T89" s="246"/>
      <c r="U89" s="246"/>
      <c r="V89" s="246"/>
      <c r="W89" s="232"/>
      <c r="X89" s="233"/>
      <c r="Y89" s="261">
        <f t="shared" si="169"/>
        <v>0</v>
      </c>
      <c r="Z89" s="261">
        <f t="shared" si="170"/>
        <v>0</v>
      </c>
      <c r="AA89" s="56">
        <f t="shared" si="171"/>
        <v>0</v>
      </c>
      <c r="AB89" s="233"/>
      <c r="AC89" s="261">
        <f t="shared" si="172"/>
        <v>0</v>
      </c>
      <c r="AD89" s="282">
        <f t="shared" si="172"/>
        <v>0</v>
      </c>
      <c r="AE89" s="259">
        <f t="shared" si="173"/>
        <v>0</v>
      </c>
      <c r="AF89" s="191">
        <f t="shared" si="174"/>
        <v>0</v>
      </c>
      <c r="AG89" s="362" t="str">
        <f t="shared" si="175"/>
        <v/>
      </c>
      <c r="AH89" s="233"/>
      <c r="AI89" s="233"/>
      <c r="AJ89" s="233"/>
      <c r="AK89" s="233"/>
      <c r="AL89" s="233"/>
      <c r="AM89" s="233"/>
      <c r="AN89" s="233"/>
      <c r="AO89" s="233"/>
      <c r="AP89" s="233"/>
      <c r="AQ89" s="233"/>
      <c r="AR89" s="233"/>
      <c r="AS89" s="233"/>
      <c r="AT89" s="233"/>
      <c r="AU89" s="233"/>
      <c r="AV89" s="233"/>
      <c r="AW89" s="233"/>
      <c r="AX89" s="233"/>
      <c r="AY89" s="234"/>
      <c r="AZ89" s="234"/>
      <c r="BA89" s="234"/>
      <c r="BB89" s="110">
        <f t="shared" si="167"/>
        <v>0</v>
      </c>
      <c r="BC89" s="110">
        <f t="shared" si="167"/>
        <v>0</v>
      </c>
      <c r="BD89" s="52">
        <f t="shared" si="168"/>
        <v>0</v>
      </c>
      <c r="BE89" s="234"/>
      <c r="BF89" s="234"/>
      <c r="BG89" s="234"/>
      <c r="BH89" s="234"/>
      <c r="BI89" s="234"/>
      <c r="BJ89" s="234"/>
      <c r="BK89" s="234"/>
      <c r="BL89" s="111">
        <f t="shared" si="164"/>
        <v>0</v>
      </c>
      <c r="BM89" s="111">
        <f t="shared" si="165"/>
        <v>0</v>
      </c>
      <c r="BN89" s="112">
        <f t="shared" si="166"/>
        <v>0</v>
      </c>
      <c r="BO89" s="234"/>
      <c r="BP89" s="234"/>
      <c r="BQ89" s="234"/>
      <c r="BR89" s="234"/>
      <c r="BS89" s="234"/>
      <c r="BT89" s="234"/>
      <c r="BU89" s="234"/>
      <c r="BV89" s="234"/>
      <c r="BW89" s="234"/>
      <c r="BX89" s="234"/>
      <c r="BY89" s="234"/>
      <c r="BZ89" s="234"/>
      <c r="CA89" s="234"/>
      <c r="CB89" s="234"/>
      <c r="CC89" s="234"/>
      <c r="CD89" s="234"/>
      <c r="CE89" s="234"/>
      <c r="CF89" s="234"/>
      <c r="CG89" s="234"/>
      <c r="CH89" s="234"/>
      <c r="CI89" s="234"/>
      <c r="CJ89" s="234"/>
      <c r="CK89" s="234"/>
      <c r="CL89" s="234"/>
      <c r="CM89" s="234"/>
      <c r="CN89" s="234"/>
      <c r="CO89" s="234"/>
      <c r="CP89" s="234"/>
      <c r="CQ89" s="234"/>
      <c r="CR89" s="234"/>
      <c r="CS89" s="234"/>
      <c r="CT89" s="234"/>
      <c r="CU89" s="234"/>
      <c r="CV89" s="234"/>
      <c r="CW89" s="234"/>
      <c r="CX89" s="234"/>
      <c r="CY89" s="31"/>
      <c r="CZ89" s="234"/>
      <c r="DA89" s="234"/>
      <c r="DB89" s="234"/>
      <c r="DC89" s="234"/>
      <c r="DD89" s="234"/>
      <c r="DE89" s="234"/>
      <c r="DF89" s="234"/>
      <c r="DG89" s="234"/>
      <c r="DH89" s="234"/>
      <c r="DI89" s="234"/>
      <c r="DJ89" s="234"/>
      <c r="DK89" s="234"/>
      <c r="DL89" s="234"/>
      <c r="DM89" s="234"/>
      <c r="DN89" s="234"/>
      <c r="DO89" s="234"/>
      <c r="DP89" s="234"/>
      <c r="DQ89" s="234"/>
      <c r="DR89" s="234"/>
      <c r="DS89" s="234"/>
      <c r="DT89" s="234"/>
    </row>
    <row r="90" spans="1:124" s="231" customFormat="1" ht="16.5" customHeight="1" thickTop="1" thickBot="1" x14ac:dyDescent="0.3">
      <c r="A90" s="232"/>
      <c r="B90" s="250"/>
      <c r="C90" s="250"/>
      <c r="D90" s="250"/>
      <c r="E90" s="232"/>
      <c r="F90" s="387">
        <f t="shared" ca="1" si="180"/>
        <v>2017</v>
      </c>
      <c r="G90" s="387" t="str">
        <f t="shared" ca="1" si="176"/>
        <v xml:space="preserve">jun </v>
      </c>
      <c r="H90" s="70"/>
      <c r="I90" s="108">
        <f t="shared" si="177"/>
        <v>0</v>
      </c>
      <c r="J90" s="372"/>
      <c r="K90" s="73"/>
      <c r="L90" s="108">
        <f t="shared" si="178"/>
        <v>0</v>
      </c>
      <c r="M90" s="372"/>
      <c r="N90" s="73"/>
      <c r="O90" s="108">
        <f t="shared" si="179"/>
        <v>0</v>
      </c>
      <c r="P90" s="372"/>
      <c r="Q90" s="232"/>
      <c r="R90" s="232"/>
      <c r="S90" s="232"/>
      <c r="T90" s="232"/>
      <c r="U90" s="232"/>
      <c r="V90" s="232"/>
      <c r="W90" s="232"/>
      <c r="X90" s="233"/>
      <c r="Y90" s="261">
        <f t="shared" si="169"/>
        <v>0</v>
      </c>
      <c r="Z90" s="261">
        <f t="shared" si="170"/>
        <v>0</v>
      </c>
      <c r="AA90" s="56">
        <f t="shared" si="171"/>
        <v>0</v>
      </c>
      <c r="AB90" s="233"/>
      <c r="AC90" s="261">
        <f t="shared" si="172"/>
        <v>0</v>
      </c>
      <c r="AD90" s="282">
        <f t="shared" si="172"/>
        <v>0</v>
      </c>
      <c r="AE90" s="259">
        <f t="shared" si="173"/>
        <v>0</v>
      </c>
      <c r="AF90" s="191">
        <f t="shared" si="174"/>
        <v>0</v>
      </c>
      <c r="AG90" s="362" t="str">
        <f t="shared" si="175"/>
        <v/>
      </c>
      <c r="AH90" s="233"/>
      <c r="AI90" s="233"/>
      <c r="AJ90" s="233"/>
      <c r="AK90" s="233"/>
      <c r="AL90" s="233"/>
      <c r="AM90" s="233"/>
      <c r="AN90" s="233"/>
      <c r="AO90" s="233"/>
      <c r="AP90" s="233"/>
      <c r="AQ90" s="233"/>
      <c r="AR90" s="233"/>
      <c r="AS90" s="233"/>
      <c r="AT90" s="233"/>
      <c r="AU90" s="233"/>
      <c r="AV90" s="233"/>
      <c r="AW90" s="233"/>
      <c r="AX90" s="233"/>
      <c r="AY90" s="234"/>
      <c r="AZ90" s="234"/>
      <c r="BA90" s="234"/>
      <c r="BB90" s="111">
        <f t="shared" si="167"/>
        <v>0</v>
      </c>
      <c r="BC90" s="111">
        <f t="shared" si="167"/>
        <v>0</v>
      </c>
      <c r="BD90" s="112">
        <f t="shared" si="168"/>
        <v>0</v>
      </c>
      <c r="BE90" s="234"/>
      <c r="BF90" s="234"/>
      <c r="BG90" s="234"/>
      <c r="BH90" s="234"/>
      <c r="BI90" s="234"/>
      <c r="BJ90" s="234"/>
      <c r="BK90" s="41" t="s">
        <v>1098</v>
      </c>
      <c r="BL90" s="113">
        <f>SUM(BL78:BL89)</f>
        <v>0</v>
      </c>
      <c r="BM90" s="113">
        <f>SUM(BM78:BM89)</f>
        <v>0</v>
      </c>
      <c r="BN90" s="113">
        <f t="shared" si="166"/>
        <v>0</v>
      </c>
      <c r="BO90" s="234"/>
      <c r="BP90" s="234"/>
      <c r="BQ90" s="234"/>
      <c r="BR90" s="234"/>
      <c r="BS90" s="234"/>
      <c r="BT90" s="234"/>
      <c r="BU90" s="234"/>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34"/>
      <c r="CR90" s="234"/>
      <c r="CS90" s="234"/>
      <c r="CT90" s="234"/>
      <c r="CU90" s="234"/>
      <c r="CV90" s="234"/>
      <c r="CW90" s="234"/>
      <c r="CX90" s="234"/>
      <c r="CY90" s="31"/>
      <c r="CZ90" s="234"/>
      <c r="DA90" s="234"/>
      <c r="DB90" s="234"/>
      <c r="DC90" s="234"/>
      <c r="DD90" s="234"/>
      <c r="DE90" s="234"/>
      <c r="DF90" s="234"/>
      <c r="DG90" s="234"/>
      <c r="DH90" s="234"/>
      <c r="DI90" s="234"/>
      <c r="DJ90" s="234"/>
      <c r="DK90" s="234"/>
      <c r="DL90" s="234"/>
      <c r="DM90" s="234"/>
      <c r="DN90" s="234"/>
      <c r="DO90" s="234"/>
      <c r="DP90" s="234"/>
      <c r="DQ90" s="234"/>
      <c r="DR90" s="234"/>
      <c r="DS90" s="234"/>
      <c r="DT90" s="234"/>
    </row>
    <row r="91" spans="1:124" s="231" customFormat="1" ht="16.5" customHeight="1" thickTop="1" thickBot="1" x14ac:dyDescent="0.3">
      <c r="A91" s="232"/>
      <c r="B91" s="250"/>
      <c r="C91" s="250"/>
      <c r="D91" s="250"/>
      <c r="E91" s="232"/>
      <c r="F91" s="387">
        <f t="shared" ca="1" si="180"/>
        <v>2017</v>
      </c>
      <c r="G91" s="387" t="str">
        <f t="shared" ca="1" si="176"/>
        <v>jul</v>
      </c>
      <c r="H91" s="70"/>
      <c r="I91" s="108">
        <f t="shared" si="177"/>
        <v>0</v>
      </c>
      <c r="J91" s="372"/>
      <c r="K91" s="73"/>
      <c r="L91" s="108">
        <f t="shared" si="178"/>
        <v>0</v>
      </c>
      <c r="M91" s="372"/>
      <c r="N91" s="73"/>
      <c r="O91" s="108">
        <f t="shared" si="179"/>
        <v>0</v>
      </c>
      <c r="P91" s="372"/>
      <c r="Q91" s="232"/>
      <c r="R91" s="232"/>
      <c r="S91" s="232"/>
      <c r="T91" s="232"/>
      <c r="U91" s="232"/>
      <c r="V91" s="232"/>
      <c r="W91" s="232"/>
      <c r="X91" s="233"/>
      <c r="Y91" s="261">
        <f t="shared" si="169"/>
        <v>0</v>
      </c>
      <c r="Z91" s="261">
        <f t="shared" si="170"/>
        <v>0</v>
      </c>
      <c r="AA91" s="56">
        <f t="shared" si="171"/>
        <v>0</v>
      </c>
      <c r="AB91" s="233"/>
      <c r="AC91" s="261">
        <f t="shared" si="172"/>
        <v>0</v>
      </c>
      <c r="AD91" s="282">
        <f t="shared" si="172"/>
        <v>0</v>
      </c>
      <c r="AE91" s="259">
        <f t="shared" si="173"/>
        <v>0</v>
      </c>
      <c r="AF91" s="191">
        <f t="shared" si="174"/>
        <v>0</v>
      </c>
      <c r="AG91" s="362" t="str">
        <f t="shared" si="175"/>
        <v/>
      </c>
      <c r="AH91" s="233"/>
      <c r="AI91" s="233"/>
      <c r="AJ91" s="233"/>
      <c r="AK91" s="233"/>
      <c r="AL91" s="233"/>
      <c r="AM91" s="233"/>
      <c r="AN91" s="233"/>
      <c r="AO91" s="233"/>
      <c r="AP91" s="233"/>
      <c r="AQ91" s="233"/>
      <c r="AR91" s="233"/>
      <c r="AS91" s="233"/>
      <c r="AT91" s="233"/>
      <c r="AU91" s="233"/>
      <c r="AV91" s="233"/>
      <c r="AW91" s="233"/>
      <c r="AX91" s="233"/>
      <c r="AY91" s="234"/>
      <c r="AZ91" s="234"/>
      <c r="BA91" s="41" t="s">
        <v>1098</v>
      </c>
      <c r="BB91" s="113">
        <f>SUM(BB79:BB90)</f>
        <v>0</v>
      </c>
      <c r="BC91" s="113">
        <f>SUM(BC79:BC90)</f>
        <v>0</v>
      </c>
      <c r="BD91" s="113">
        <f t="shared" si="168"/>
        <v>0</v>
      </c>
      <c r="BE91" s="234"/>
      <c r="BF91" s="234"/>
      <c r="BG91" s="234"/>
      <c r="BH91" s="234"/>
      <c r="BI91" s="234"/>
      <c r="BJ91" s="234"/>
      <c r="BK91" s="41" t="s">
        <v>1396</v>
      </c>
      <c r="BL91" s="47">
        <f>BL90</f>
        <v>0</v>
      </c>
      <c r="BM91" s="94">
        <f>BM90</f>
        <v>0</v>
      </c>
      <c r="BN91" s="260">
        <f>BL91+BM91</f>
        <v>0</v>
      </c>
      <c r="BO91" s="234"/>
      <c r="BP91" s="234"/>
      <c r="BQ91" s="234"/>
      <c r="BR91" s="234"/>
      <c r="BS91" s="234"/>
      <c r="BT91" s="234"/>
      <c r="BU91" s="234"/>
      <c r="BV91" s="234"/>
      <c r="BW91" s="234"/>
      <c r="BX91" s="234"/>
      <c r="BY91" s="234"/>
      <c r="BZ91" s="234"/>
      <c r="CA91" s="234"/>
      <c r="CB91" s="234"/>
      <c r="CC91" s="234"/>
      <c r="CD91" s="234"/>
      <c r="CE91" s="234"/>
      <c r="CF91" s="234"/>
      <c r="CG91" s="234"/>
      <c r="CH91" s="234"/>
      <c r="CI91" s="234"/>
      <c r="CJ91" s="234"/>
      <c r="CK91" s="234"/>
      <c r="CL91" s="234"/>
      <c r="CM91" s="234"/>
      <c r="CN91" s="234"/>
      <c r="CO91" s="234"/>
      <c r="CP91" s="234"/>
      <c r="CQ91" s="234"/>
      <c r="CR91" s="234"/>
      <c r="CS91" s="234"/>
      <c r="CT91" s="234"/>
      <c r="CU91" s="234"/>
      <c r="CV91" s="234"/>
      <c r="CW91" s="234"/>
      <c r="CX91" s="234"/>
      <c r="CY91" s="31"/>
      <c r="CZ91" s="234"/>
      <c r="DA91" s="234"/>
      <c r="DB91" s="234"/>
      <c r="DC91" s="234"/>
      <c r="DD91" s="234"/>
      <c r="DE91" s="234"/>
      <c r="DF91" s="234"/>
      <c r="DG91" s="234"/>
      <c r="DH91" s="234"/>
      <c r="DI91" s="234"/>
      <c r="DJ91" s="234"/>
      <c r="DK91" s="234"/>
      <c r="DL91" s="234"/>
      <c r="DM91" s="234"/>
      <c r="DN91" s="234"/>
      <c r="DO91" s="234"/>
      <c r="DP91" s="234"/>
      <c r="DQ91" s="234"/>
      <c r="DR91" s="234"/>
      <c r="DS91" s="234"/>
      <c r="DT91" s="234"/>
    </row>
    <row r="92" spans="1:124" s="231" customFormat="1" ht="16.5" customHeight="1" thickBot="1" x14ac:dyDescent="0.3">
      <c r="A92" s="232"/>
      <c r="B92" s="250"/>
      <c r="C92" s="250"/>
      <c r="D92" s="250"/>
      <c r="E92" s="232"/>
      <c r="F92" s="387">
        <f t="shared" ca="1" si="180"/>
        <v>2017</v>
      </c>
      <c r="G92" s="387" t="str">
        <f t="shared" ca="1" si="176"/>
        <v>aug</v>
      </c>
      <c r="H92" s="70"/>
      <c r="I92" s="108">
        <f t="shared" si="177"/>
        <v>0</v>
      </c>
      <c r="J92" s="372"/>
      <c r="K92" s="73"/>
      <c r="L92" s="108">
        <f t="shared" si="178"/>
        <v>0</v>
      </c>
      <c r="M92" s="372"/>
      <c r="N92" s="73"/>
      <c r="O92" s="108">
        <f t="shared" si="179"/>
        <v>0</v>
      </c>
      <c r="P92" s="372"/>
      <c r="Q92" s="232"/>
      <c r="R92" s="232"/>
      <c r="S92" s="232"/>
      <c r="T92" s="232"/>
      <c r="U92" s="232"/>
      <c r="V92" s="232"/>
      <c r="W92" s="232"/>
      <c r="X92" s="233"/>
      <c r="Y92" s="261">
        <f t="shared" si="169"/>
        <v>0</v>
      </c>
      <c r="Z92" s="261">
        <f t="shared" si="170"/>
        <v>0</v>
      </c>
      <c r="AA92" s="56">
        <f t="shared" si="171"/>
        <v>0</v>
      </c>
      <c r="AB92" s="233"/>
      <c r="AC92" s="261">
        <f t="shared" si="172"/>
        <v>0</v>
      </c>
      <c r="AD92" s="282">
        <f t="shared" si="172"/>
        <v>0</v>
      </c>
      <c r="AE92" s="259">
        <f t="shared" si="173"/>
        <v>0</v>
      </c>
      <c r="AF92" s="191">
        <f t="shared" si="174"/>
        <v>0</v>
      </c>
      <c r="AG92" s="362" t="str">
        <f t="shared" si="175"/>
        <v/>
      </c>
      <c r="AH92" s="233"/>
      <c r="AI92" s="233"/>
      <c r="AJ92" s="233"/>
      <c r="AK92" s="233"/>
      <c r="AL92" s="233"/>
      <c r="AM92" s="233"/>
      <c r="AN92" s="233"/>
      <c r="AO92" s="233"/>
      <c r="AP92" s="233"/>
      <c r="AQ92" s="233"/>
      <c r="AR92" s="233"/>
      <c r="AS92" s="233"/>
      <c r="AT92" s="233"/>
      <c r="AU92" s="233"/>
      <c r="AV92" s="233"/>
      <c r="AW92" s="233"/>
      <c r="AX92" s="233"/>
      <c r="AY92" s="234"/>
      <c r="AZ92" s="234"/>
      <c r="BA92" s="41" t="s">
        <v>1201</v>
      </c>
      <c r="BB92" s="47">
        <f>BB91</f>
        <v>0</v>
      </c>
      <c r="BC92" s="94">
        <f>BC91-$AB$142</f>
        <v>0</v>
      </c>
      <c r="BD92" s="260">
        <f>BB92+BC92</f>
        <v>0</v>
      </c>
      <c r="BE92" s="234"/>
      <c r="BF92" s="234"/>
      <c r="BG92" s="234"/>
      <c r="BH92" s="234"/>
      <c r="BI92" s="234"/>
      <c r="BJ92" s="234"/>
      <c r="BK92" s="41" t="s">
        <v>1294</v>
      </c>
      <c r="BL92" s="47">
        <f>BL91*BL74</f>
        <v>0</v>
      </c>
      <c r="BM92" s="47">
        <f>IF('Indata byggnad och BBR krav'!$C$27="&lt; 10 W/m2 Atemp",BM91*1.875*$BM$74,BM91*$BM$74)</f>
        <v>0</v>
      </c>
      <c r="BN92" s="96">
        <f>BL92+BM92</f>
        <v>0</v>
      </c>
      <c r="BO92" s="234"/>
      <c r="BP92" s="234"/>
      <c r="BQ92" s="234"/>
      <c r="BR92" s="234"/>
      <c r="BS92" s="234"/>
      <c r="BT92" s="234"/>
      <c r="BU92" s="234"/>
      <c r="BV92" s="234"/>
      <c r="BW92" s="234"/>
      <c r="BX92" s="234"/>
      <c r="BY92" s="234"/>
      <c r="BZ92" s="234"/>
      <c r="CA92" s="234"/>
      <c r="CB92" s="234"/>
      <c r="CC92" s="234"/>
      <c r="CD92" s="234"/>
      <c r="CE92" s="234"/>
      <c r="CF92" s="234"/>
      <c r="CG92" s="234"/>
      <c r="CH92" s="234"/>
      <c r="CI92" s="234"/>
      <c r="CJ92" s="234"/>
      <c r="CK92" s="234"/>
      <c r="CL92" s="234"/>
      <c r="CM92" s="234"/>
      <c r="CN92" s="234"/>
      <c r="CO92" s="234"/>
      <c r="CP92" s="234"/>
      <c r="CQ92" s="234"/>
      <c r="CR92" s="234"/>
      <c r="CS92" s="234"/>
      <c r="CT92" s="234"/>
      <c r="CU92" s="234"/>
      <c r="CV92" s="234"/>
      <c r="CW92" s="234"/>
      <c r="CX92" s="234"/>
      <c r="CY92" s="31"/>
      <c r="CZ92" s="234"/>
      <c r="DA92" s="234"/>
      <c r="DB92" s="234"/>
      <c r="DC92" s="234"/>
      <c r="DD92" s="234"/>
      <c r="DE92" s="234"/>
      <c r="DF92" s="234"/>
      <c r="DG92" s="234"/>
      <c r="DH92" s="234"/>
      <c r="DI92" s="234"/>
      <c r="DJ92" s="234"/>
      <c r="DK92" s="234"/>
      <c r="DL92" s="234"/>
      <c r="DM92" s="234"/>
      <c r="DN92" s="234"/>
      <c r="DO92" s="234"/>
      <c r="DP92" s="234"/>
      <c r="DQ92" s="234"/>
      <c r="DR92" s="234"/>
      <c r="DS92" s="234"/>
      <c r="DT92" s="234"/>
    </row>
    <row r="93" spans="1:124" s="231" customFormat="1" ht="16.5" customHeight="1" thickBot="1" x14ac:dyDescent="0.3">
      <c r="A93" s="232"/>
      <c r="B93" s="250"/>
      <c r="C93" s="250"/>
      <c r="D93" s="250"/>
      <c r="E93" s="232"/>
      <c r="F93" s="387">
        <f t="shared" ca="1" si="180"/>
        <v>2017</v>
      </c>
      <c r="G93" s="387" t="str">
        <f t="shared" ca="1" si="176"/>
        <v>sept</v>
      </c>
      <c r="H93" s="70"/>
      <c r="I93" s="108">
        <f t="shared" si="177"/>
        <v>0</v>
      </c>
      <c r="J93" s="372"/>
      <c r="K93" s="73"/>
      <c r="L93" s="108">
        <f t="shared" si="178"/>
        <v>0</v>
      </c>
      <c r="M93" s="372"/>
      <c r="N93" s="73"/>
      <c r="O93" s="108">
        <f t="shared" si="179"/>
        <v>0</v>
      </c>
      <c r="P93" s="372"/>
      <c r="Q93" s="232"/>
      <c r="R93" s="232"/>
      <c r="S93" s="232"/>
      <c r="T93" s="232"/>
      <c r="U93" s="232"/>
      <c r="V93" s="232"/>
      <c r="W93" s="232"/>
      <c r="X93" s="233"/>
      <c r="Y93" s="262">
        <f t="shared" si="169"/>
        <v>0</v>
      </c>
      <c r="Z93" s="262">
        <f t="shared" si="170"/>
        <v>0</v>
      </c>
      <c r="AA93" s="114">
        <f t="shared" si="171"/>
        <v>0</v>
      </c>
      <c r="AB93" s="233"/>
      <c r="AC93" s="262">
        <f t="shared" si="172"/>
        <v>0</v>
      </c>
      <c r="AD93" s="283">
        <f t="shared" si="172"/>
        <v>0</v>
      </c>
      <c r="AE93" s="274">
        <f t="shared" si="173"/>
        <v>0</v>
      </c>
      <c r="AF93" s="192">
        <f t="shared" si="174"/>
        <v>0</v>
      </c>
      <c r="AG93" s="362" t="str">
        <f t="shared" si="175"/>
        <v/>
      </c>
      <c r="AH93" s="233"/>
      <c r="AI93" s="233"/>
      <c r="AJ93" s="233"/>
      <c r="AK93" s="233"/>
      <c r="AL93" s="233"/>
      <c r="AM93" s="233"/>
      <c r="AN93" s="233"/>
      <c r="AO93" s="233"/>
      <c r="AP93" s="233"/>
      <c r="AQ93" s="233"/>
      <c r="AR93" s="233"/>
      <c r="AS93" s="233"/>
      <c r="AT93" s="233"/>
      <c r="AU93" s="233"/>
      <c r="AV93" s="233"/>
      <c r="AW93" s="233"/>
      <c r="AX93" s="233"/>
      <c r="AY93" s="234"/>
      <c r="AZ93" s="234"/>
      <c r="BA93" s="41" t="s">
        <v>1294</v>
      </c>
      <c r="BB93" s="47">
        <f>BB92*BB75</f>
        <v>0</v>
      </c>
      <c r="BC93" s="47">
        <f>IF('Indata byggnad och BBR krav'!$C$27="&lt; 10 W/m2 Atemp",BC92*1.875*$BC$75,BC92*$BC$75)</f>
        <v>0</v>
      </c>
      <c r="BD93" s="96">
        <f>BB93+BC93</f>
        <v>0</v>
      </c>
      <c r="BE93" s="234"/>
      <c r="BF93" s="234"/>
      <c r="BG93" s="234"/>
      <c r="BH93" s="234"/>
      <c r="BI93" s="234"/>
      <c r="BJ93" s="234"/>
      <c r="BK93" s="41" t="s">
        <v>1295</v>
      </c>
      <c r="BL93" s="47">
        <f>BL91*BL75</f>
        <v>0</v>
      </c>
      <c r="BM93" s="47">
        <f>BM91*BM75</f>
        <v>0</v>
      </c>
      <c r="BN93" s="96">
        <f>BL93+BM93</f>
        <v>0</v>
      </c>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31"/>
      <c r="CZ93" s="234"/>
      <c r="DA93" s="234"/>
      <c r="DB93" s="234"/>
      <c r="DC93" s="234"/>
      <c r="DD93" s="234"/>
      <c r="DE93" s="234"/>
      <c r="DF93" s="234"/>
      <c r="DG93" s="234"/>
      <c r="DH93" s="234"/>
      <c r="DI93" s="234"/>
      <c r="DJ93" s="234"/>
      <c r="DK93" s="234"/>
      <c r="DL93" s="234"/>
      <c r="DM93" s="234"/>
      <c r="DN93" s="234"/>
      <c r="DO93" s="234"/>
      <c r="DP93" s="234"/>
      <c r="DQ93" s="234"/>
      <c r="DR93" s="234"/>
      <c r="DS93" s="234"/>
      <c r="DT93" s="234"/>
    </row>
    <row r="94" spans="1:124" s="231" customFormat="1" ht="16.5" customHeight="1" thickTop="1" thickBot="1" x14ac:dyDescent="0.3">
      <c r="A94" s="232"/>
      <c r="B94" s="250"/>
      <c r="C94" s="250"/>
      <c r="D94" s="250"/>
      <c r="E94" s="232"/>
      <c r="F94" s="387">
        <f t="shared" ca="1" si="180"/>
        <v>2017</v>
      </c>
      <c r="G94" s="387" t="str">
        <f t="shared" ca="1" si="176"/>
        <v>okt</v>
      </c>
      <c r="H94" s="70"/>
      <c r="I94" s="108">
        <f t="shared" si="177"/>
        <v>0</v>
      </c>
      <c r="J94" s="372"/>
      <c r="K94" s="73"/>
      <c r="L94" s="108">
        <f t="shared" si="178"/>
        <v>0</v>
      </c>
      <c r="M94" s="372"/>
      <c r="N94" s="73"/>
      <c r="O94" s="108">
        <f t="shared" si="179"/>
        <v>0</v>
      </c>
      <c r="P94" s="372"/>
      <c r="Q94" s="232"/>
      <c r="R94" s="232"/>
      <c r="S94" s="232"/>
      <c r="T94" s="232"/>
      <c r="U94" s="232"/>
      <c r="V94" s="232"/>
      <c r="W94" s="232"/>
      <c r="X94" s="236" t="s">
        <v>1296</v>
      </c>
      <c r="Y94" s="116">
        <f>SUM(Y82:Y93)</f>
        <v>0</v>
      </c>
      <c r="Z94" s="116">
        <f>SUM(Z82:Z93)</f>
        <v>0</v>
      </c>
      <c r="AA94" s="116">
        <f t="shared" si="171"/>
        <v>0</v>
      </c>
      <c r="AB94" s="233"/>
      <c r="AC94" s="256">
        <f>SUM(AC82:AC93)</f>
        <v>0</v>
      </c>
      <c r="AD94" s="257">
        <f>SUM(AD82:AD93)</f>
        <v>0</v>
      </c>
      <c r="AE94" s="256">
        <f>SUM(AE82:AE93)</f>
        <v>0</v>
      </c>
      <c r="AF94" s="281">
        <f>SUM(AF82:AF93)</f>
        <v>0</v>
      </c>
      <c r="AG94" s="233"/>
      <c r="AH94" s="233"/>
      <c r="AI94" s="233"/>
      <c r="AJ94" s="233"/>
      <c r="AK94" s="233"/>
      <c r="AL94" s="233"/>
      <c r="AM94" s="233"/>
      <c r="AN94" s="233"/>
      <c r="AO94" s="233"/>
      <c r="AP94" s="233"/>
      <c r="AQ94" s="233"/>
      <c r="AR94" s="233"/>
      <c r="AS94" s="233"/>
      <c r="AT94" s="233"/>
      <c r="AU94" s="233"/>
      <c r="AV94" s="233"/>
      <c r="AW94" s="233"/>
      <c r="AX94" s="233"/>
      <c r="AY94" s="234"/>
      <c r="AZ94" s="234"/>
      <c r="BA94" s="41" t="s">
        <v>1295</v>
      </c>
      <c r="BB94" s="47">
        <f>BB92*BB76</f>
        <v>0</v>
      </c>
      <c r="BC94" s="47">
        <f>BC92*BC76</f>
        <v>0</v>
      </c>
      <c r="BD94" s="96">
        <f>BB94+BC94</f>
        <v>0</v>
      </c>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234"/>
      <c r="CD94" s="234"/>
      <c r="CE94" s="234"/>
      <c r="CF94" s="234"/>
      <c r="CG94" s="234"/>
      <c r="CH94" s="234"/>
      <c r="CI94" s="234"/>
      <c r="CJ94" s="234"/>
      <c r="CK94" s="234"/>
      <c r="CL94" s="234"/>
      <c r="CM94" s="234"/>
      <c r="CN94" s="234"/>
      <c r="CO94" s="234"/>
      <c r="CP94" s="234"/>
      <c r="CQ94" s="234"/>
      <c r="CR94" s="234"/>
      <c r="CS94" s="234"/>
      <c r="CT94" s="234"/>
      <c r="CU94" s="234"/>
      <c r="CV94" s="234"/>
      <c r="CW94" s="234"/>
      <c r="CX94" s="234"/>
      <c r="CY94" s="31"/>
      <c r="CZ94" s="234"/>
      <c r="DA94" s="234"/>
      <c r="DB94" s="234"/>
      <c r="DC94" s="234"/>
      <c r="DD94" s="234"/>
      <c r="DE94" s="234"/>
      <c r="DF94" s="234"/>
      <c r="DG94" s="234"/>
      <c r="DH94" s="234"/>
      <c r="DI94" s="234"/>
      <c r="DJ94" s="234"/>
      <c r="DK94" s="234"/>
      <c r="DL94" s="234"/>
      <c r="DM94" s="234"/>
      <c r="DN94" s="234"/>
      <c r="DO94" s="234"/>
      <c r="DP94" s="234"/>
      <c r="DQ94" s="234"/>
      <c r="DR94" s="234"/>
      <c r="DS94" s="234"/>
      <c r="DT94" s="234"/>
    </row>
    <row r="95" spans="1:124" s="231" customFormat="1" ht="16.5" customHeight="1" thickBot="1" x14ac:dyDescent="0.3">
      <c r="A95" s="232"/>
      <c r="B95" s="250"/>
      <c r="C95" s="250"/>
      <c r="D95" s="250"/>
      <c r="E95" s="232"/>
      <c r="F95" s="387">
        <f t="shared" ca="1" si="180"/>
        <v>2017</v>
      </c>
      <c r="G95" s="387" t="str">
        <f t="shared" ca="1" si="176"/>
        <v>nov</v>
      </c>
      <c r="H95" s="70"/>
      <c r="I95" s="108">
        <f t="shared" si="177"/>
        <v>0</v>
      </c>
      <c r="J95" s="372"/>
      <c r="K95" s="73"/>
      <c r="L95" s="108">
        <f t="shared" si="178"/>
        <v>0</v>
      </c>
      <c r="M95" s="372"/>
      <c r="N95" s="73"/>
      <c r="O95" s="108">
        <f t="shared" si="179"/>
        <v>0</v>
      </c>
      <c r="P95" s="372"/>
      <c r="Q95" s="246"/>
      <c r="R95" s="246"/>
      <c r="S95" s="246"/>
      <c r="T95" s="246"/>
      <c r="U95" s="246"/>
      <c r="V95" s="246"/>
      <c r="W95" s="232"/>
      <c r="X95" s="236" t="s">
        <v>1381</v>
      </c>
      <c r="Y95" s="248">
        <f>Y94</f>
        <v>0</v>
      </c>
      <c r="Z95" s="263">
        <f>Z94-$AB$142</f>
        <v>0</v>
      </c>
      <c r="AA95" s="260">
        <f>Y95+Z95</f>
        <v>0</v>
      </c>
      <c r="AB95" s="273"/>
      <c r="AC95" s="190"/>
      <c r="AD95" s="190"/>
      <c r="AE95" s="98"/>
      <c r="AF95" s="98"/>
      <c r="AG95" s="233"/>
      <c r="AH95" s="233"/>
      <c r="AI95" s="233"/>
      <c r="AJ95" s="233"/>
      <c r="AK95" s="233"/>
      <c r="AL95" s="233"/>
      <c r="AM95" s="233"/>
      <c r="AN95" s="233"/>
      <c r="AO95" s="233"/>
      <c r="AP95" s="233"/>
      <c r="AQ95" s="233"/>
      <c r="AR95" s="233"/>
      <c r="AS95" s="233"/>
      <c r="AT95" s="233"/>
      <c r="AU95" s="233"/>
      <c r="AV95" s="233"/>
      <c r="AW95" s="233"/>
      <c r="AX95" s="233"/>
      <c r="AY95" s="234"/>
      <c r="AZ95" s="234"/>
      <c r="BA95" s="234"/>
      <c r="BB95" s="175" t="s">
        <v>1297</v>
      </c>
      <c r="BC95" s="234"/>
      <c r="BD95" s="234"/>
      <c r="BE95" s="234"/>
      <c r="BF95" s="234"/>
      <c r="BG95" s="234"/>
      <c r="BH95" s="234"/>
      <c r="BI95" s="234"/>
      <c r="BJ95" s="234"/>
      <c r="BK95" s="234"/>
      <c r="BL95" s="175" t="s">
        <v>1297</v>
      </c>
      <c r="BM95" s="234"/>
      <c r="BN95" s="234"/>
      <c r="BO95" s="234"/>
      <c r="BP95" s="234"/>
      <c r="BQ95" s="234"/>
      <c r="BR95" s="234"/>
      <c r="BS95" s="234"/>
      <c r="BT95" s="234"/>
      <c r="BU95" s="234"/>
      <c r="BV95" s="234"/>
      <c r="BW95" s="234"/>
      <c r="BX95" s="234"/>
      <c r="BY95" s="234"/>
      <c r="BZ95" s="234"/>
      <c r="CA95" s="234"/>
      <c r="CB95" s="234"/>
      <c r="CC95" s="234"/>
      <c r="CD95" s="234"/>
      <c r="CE95" s="234"/>
      <c r="CF95" s="234"/>
      <c r="CG95" s="234"/>
      <c r="CH95" s="234"/>
      <c r="CI95" s="234"/>
      <c r="CJ95" s="234"/>
      <c r="CK95" s="234"/>
      <c r="CL95" s="234"/>
      <c r="CM95" s="234"/>
      <c r="CN95" s="234"/>
      <c r="CO95" s="234"/>
      <c r="CP95" s="234"/>
      <c r="CQ95" s="234"/>
      <c r="CR95" s="234"/>
      <c r="CS95" s="234"/>
      <c r="CT95" s="234"/>
      <c r="CU95" s="234"/>
      <c r="CV95" s="234"/>
      <c r="CW95" s="234"/>
      <c r="CX95" s="234"/>
      <c r="CY95" s="31"/>
      <c r="CZ95" s="234"/>
      <c r="DA95" s="234"/>
      <c r="DB95" s="234"/>
      <c r="DC95" s="234"/>
      <c r="DD95" s="234"/>
      <c r="DE95" s="234"/>
      <c r="DF95" s="234"/>
      <c r="DG95" s="234"/>
      <c r="DH95" s="234"/>
      <c r="DI95" s="234"/>
      <c r="DJ95" s="234"/>
      <c r="DK95" s="234"/>
      <c r="DL95" s="234"/>
      <c r="DM95" s="234"/>
      <c r="DN95" s="234"/>
      <c r="DO95" s="234"/>
      <c r="DP95" s="234"/>
      <c r="DQ95" s="234"/>
      <c r="DR95" s="234"/>
      <c r="DS95" s="234"/>
      <c r="DT95" s="234"/>
    </row>
    <row r="96" spans="1:124" s="231" customFormat="1" ht="16.5" customHeight="1" x14ac:dyDescent="0.25">
      <c r="A96" s="232"/>
      <c r="B96" s="250"/>
      <c r="C96" s="250"/>
      <c r="D96" s="250"/>
      <c r="E96" s="232"/>
      <c r="F96" s="387">
        <f t="shared" ca="1" si="180"/>
        <v>2017</v>
      </c>
      <c r="G96" s="387" t="str">
        <f t="shared" ca="1" si="176"/>
        <v>dec</v>
      </c>
      <c r="H96" s="70"/>
      <c r="I96" s="108">
        <f t="shared" si="177"/>
        <v>0</v>
      </c>
      <c r="J96" s="372"/>
      <c r="K96" s="73"/>
      <c r="L96" s="108">
        <f t="shared" si="178"/>
        <v>0</v>
      </c>
      <c r="M96" s="372"/>
      <c r="N96" s="73"/>
      <c r="O96" s="108">
        <f t="shared" si="179"/>
        <v>0</v>
      </c>
      <c r="P96" s="372"/>
      <c r="Q96" s="246"/>
      <c r="R96" s="246"/>
      <c r="S96" s="246"/>
      <c r="T96" s="246"/>
      <c r="U96" s="246"/>
      <c r="V96" s="246"/>
      <c r="W96" s="232"/>
      <c r="X96" s="236"/>
      <c r="Y96" s="275"/>
      <c r="Z96" s="275"/>
      <c r="AA96" s="275"/>
      <c r="AB96" s="273"/>
      <c r="AC96" s="190"/>
      <c r="AD96" s="190"/>
      <c r="AE96" s="247"/>
      <c r="AF96" s="233"/>
      <c r="AG96" s="233"/>
      <c r="AH96" s="233"/>
      <c r="AI96" s="233"/>
      <c r="AJ96" s="233"/>
      <c r="AK96" s="233"/>
      <c r="AL96" s="233"/>
      <c r="AM96" s="233"/>
      <c r="AN96" s="233"/>
      <c r="AO96" s="233"/>
      <c r="AP96" s="233"/>
      <c r="AQ96" s="233"/>
      <c r="AR96" s="233"/>
      <c r="AS96" s="233"/>
      <c r="AT96" s="233"/>
      <c r="AU96" s="233"/>
      <c r="AV96" s="233"/>
      <c r="AW96" s="233"/>
      <c r="AX96" s="233"/>
      <c r="AY96" s="234"/>
      <c r="AZ96" s="234"/>
      <c r="BA96" s="234"/>
      <c r="BB96" s="234"/>
      <c r="BC96" s="234"/>
      <c r="BD96" s="234"/>
      <c r="BE96" s="234"/>
      <c r="BF96" s="234"/>
      <c r="BG96" s="234"/>
      <c r="BH96" s="234"/>
      <c r="BI96" s="234"/>
      <c r="BJ96" s="234"/>
      <c r="BK96" s="234"/>
      <c r="BL96" s="234"/>
      <c r="BM96" s="234"/>
      <c r="BN96" s="31"/>
      <c r="BO96" s="234"/>
      <c r="BP96" s="234"/>
      <c r="BQ96" s="234"/>
      <c r="BR96" s="234"/>
      <c r="BS96" s="234"/>
      <c r="BT96" s="234"/>
      <c r="BU96" s="234"/>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34"/>
      <c r="CR96" s="234"/>
      <c r="CS96" s="234"/>
      <c r="CT96" s="234"/>
      <c r="CU96" s="234"/>
      <c r="CV96" s="234"/>
      <c r="CW96" s="234"/>
      <c r="CX96" s="234"/>
      <c r="CY96" s="31"/>
      <c r="CZ96" s="234"/>
      <c r="DA96" s="234"/>
      <c r="DB96" s="234"/>
      <c r="DC96" s="234"/>
      <c r="DD96" s="234"/>
      <c r="DE96" s="234"/>
      <c r="DF96" s="234"/>
      <c r="DG96" s="234"/>
      <c r="DH96" s="234"/>
      <c r="DI96" s="234"/>
      <c r="DJ96" s="234"/>
      <c r="DK96" s="234"/>
      <c r="DL96" s="234"/>
      <c r="DM96" s="234"/>
      <c r="DN96" s="234"/>
      <c r="DO96" s="234"/>
      <c r="DP96" s="234"/>
      <c r="DQ96" s="234"/>
      <c r="DR96" s="234"/>
      <c r="DS96" s="234"/>
      <c r="DT96" s="234"/>
    </row>
    <row r="97" spans="1:124" s="231" customFormat="1" ht="16.5" customHeight="1" thickBot="1" x14ac:dyDescent="0.3">
      <c r="A97" s="232"/>
      <c r="B97" s="250"/>
      <c r="C97" s="250"/>
      <c r="D97" s="250"/>
      <c r="E97" s="232"/>
      <c r="F97" s="70"/>
      <c r="G97" s="70"/>
      <c r="H97" s="70"/>
      <c r="I97" s="115">
        <f>SUM(I85:I96)</f>
        <v>0</v>
      </c>
      <c r="J97" s="115">
        <f>SUM(J85:J96)</f>
        <v>0</v>
      </c>
      <c r="K97" s="229"/>
      <c r="L97" s="115">
        <f>SUM(L85:L96)</f>
        <v>0</v>
      </c>
      <c r="M97" s="115">
        <f>SUM(M85:M96)</f>
        <v>0</v>
      </c>
      <c r="N97" s="229"/>
      <c r="O97" s="115">
        <f>SUM(O85:O96)</f>
        <v>0</v>
      </c>
      <c r="P97" s="115">
        <f>SUM(P85:P96)</f>
        <v>0</v>
      </c>
      <c r="Q97" s="246"/>
      <c r="R97" s="246"/>
      <c r="S97" s="246"/>
      <c r="T97" s="246"/>
      <c r="U97" s="246"/>
      <c r="V97" s="246"/>
      <c r="W97" s="232"/>
      <c r="X97" s="233"/>
      <c r="Y97" s="233"/>
      <c r="Z97" s="233"/>
      <c r="AA97" s="233"/>
      <c r="AB97" s="233"/>
      <c r="AC97" s="247"/>
      <c r="AD97" s="247"/>
      <c r="AE97" s="233"/>
      <c r="AF97" s="233"/>
      <c r="AG97" s="233"/>
      <c r="AH97" s="233"/>
      <c r="AI97" s="233"/>
      <c r="AJ97" s="233"/>
      <c r="AK97" s="233"/>
      <c r="AL97" s="233"/>
      <c r="AM97" s="233"/>
      <c r="AN97" s="233"/>
      <c r="AO97" s="233"/>
      <c r="AP97" s="233"/>
      <c r="AQ97" s="233"/>
      <c r="AR97" s="233"/>
      <c r="AS97" s="233"/>
      <c r="AT97" s="233"/>
      <c r="AU97" s="233"/>
      <c r="AV97" s="233"/>
      <c r="AW97" s="233"/>
      <c r="AX97" s="233"/>
      <c r="AY97" s="234"/>
      <c r="AZ97" s="234"/>
      <c r="BA97" s="122" t="s">
        <v>1401</v>
      </c>
      <c r="BB97" s="52">
        <f>'Indata byggnad och BBR krav'!$AA$13</f>
        <v>0.06</v>
      </c>
      <c r="BC97" s="52">
        <f>'Indata byggnad och BBR krav'!$AA$8</f>
        <v>2.1999999999999999E-2</v>
      </c>
      <c r="BD97" s="299"/>
      <c r="BE97" s="234"/>
      <c r="BF97" s="234"/>
      <c r="BG97" s="234"/>
      <c r="BH97" s="234"/>
      <c r="BI97" s="234"/>
      <c r="BJ97" s="234"/>
      <c r="BK97" s="122" t="s">
        <v>1401</v>
      </c>
      <c r="BL97" s="52">
        <f>'Indata byggnad och BBR krav'!$AA$13</f>
        <v>0.06</v>
      </c>
      <c r="BM97" s="52">
        <f>'Indata byggnad och BBR krav'!$AA$8</f>
        <v>2.1999999999999999E-2</v>
      </c>
      <c r="BN97" s="299"/>
      <c r="BO97" s="234"/>
      <c r="BP97" s="234"/>
      <c r="BQ97" s="234"/>
      <c r="BR97" s="234"/>
      <c r="BS97" s="234"/>
      <c r="BT97" s="234"/>
      <c r="BU97" s="234"/>
      <c r="BV97" s="234"/>
      <c r="BW97" s="234"/>
      <c r="BX97" s="234"/>
      <c r="BY97" s="234"/>
      <c r="BZ97" s="234"/>
      <c r="CA97" s="234"/>
      <c r="CB97" s="234"/>
      <c r="CC97" s="234"/>
      <c r="CD97" s="234"/>
      <c r="CE97" s="234"/>
      <c r="CF97" s="234"/>
      <c r="CG97" s="234"/>
      <c r="CH97" s="234"/>
      <c r="CI97" s="234"/>
      <c r="CJ97" s="234"/>
      <c r="CK97" s="234"/>
      <c r="CL97" s="234"/>
      <c r="CM97" s="234"/>
      <c r="CN97" s="234"/>
      <c r="CO97" s="234"/>
      <c r="CP97" s="234"/>
      <c r="CQ97" s="234"/>
      <c r="CR97" s="234"/>
      <c r="CS97" s="234"/>
      <c r="CT97" s="234"/>
      <c r="CU97" s="234"/>
      <c r="CV97" s="234"/>
      <c r="CW97" s="234"/>
      <c r="CX97" s="234"/>
      <c r="CY97" s="31"/>
      <c r="CZ97" s="234"/>
      <c r="DA97" s="234"/>
      <c r="DB97" s="234"/>
      <c r="DC97" s="234"/>
      <c r="DD97" s="234"/>
      <c r="DE97" s="234"/>
      <c r="DF97" s="234"/>
      <c r="DG97" s="234"/>
      <c r="DH97" s="234"/>
      <c r="DI97" s="234"/>
      <c r="DJ97" s="234"/>
      <c r="DK97" s="234"/>
      <c r="DL97" s="234"/>
      <c r="DM97" s="234"/>
      <c r="DN97" s="234"/>
      <c r="DO97" s="234"/>
      <c r="DP97" s="234"/>
      <c r="DQ97" s="234"/>
      <c r="DR97" s="234"/>
      <c r="DS97" s="234"/>
      <c r="DT97" s="234"/>
    </row>
    <row r="98" spans="1:124" s="231" customFormat="1" ht="16.5" customHeight="1" thickBot="1" x14ac:dyDescent="0.3">
      <c r="A98" s="232"/>
      <c r="B98" s="250"/>
      <c r="C98" s="250"/>
      <c r="D98" s="250"/>
      <c r="E98" s="232"/>
      <c r="F98" s="70"/>
      <c r="G98" s="70"/>
      <c r="H98" s="70"/>
      <c r="I98" s="108"/>
      <c r="J98" s="246"/>
      <c r="K98" s="73"/>
      <c r="L98" s="108"/>
      <c r="M98" s="246"/>
      <c r="N98" s="73"/>
      <c r="O98" s="108"/>
      <c r="P98" s="246"/>
      <c r="Q98" s="246"/>
      <c r="R98" s="246"/>
      <c r="S98" s="246"/>
      <c r="T98" s="246"/>
      <c r="U98" s="246"/>
      <c r="V98" s="246"/>
      <c r="W98" s="232"/>
      <c r="X98" s="236"/>
      <c r="Y98" s="236"/>
      <c r="Z98" s="236"/>
      <c r="AA98" s="236"/>
      <c r="AB98" s="236"/>
      <c r="AC98" s="264"/>
      <c r="AD98" s="264"/>
      <c r="AE98" s="233"/>
      <c r="AF98" s="264"/>
      <c r="AG98" s="233"/>
      <c r="AH98" s="233"/>
      <c r="AI98" s="233"/>
      <c r="AJ98" s="233"/>
      <c r="AK98" s="233"/>
      <c r="AL98" s="233"/>
      <c r="AM98" s="233"/>
      <c r="AN98" s="233"/>
      <c r="AO98" s="233"/>
      <c r="AP98" s="233"/>
      <c r="AQ98" s="233"/>
      <c r="AR98" s="233"/>
      <c r="AS98" s="233"/>
      <c r="AT98" s="233"/>
      <c r="AU98" s="233"/>
      <c r="AV98" s="233"/>
      <c r="AW98" s="233"/>
      <c r="AX98" s="233"/>
      <c r="AY98" s="234"/>
      <c r="AZ98" s="437"/>
      <c r="BA98" s="438" t="s">
        <v>1411</v>
      </c>
      <c r="BB98" s="417" t="e">
        <f>BB92*1000/'Indata byggnad och BBR krav'!$C$40*'Indata byggnad och BBR krav'!$C$38*BB97</f>
        <v>#DIV/0!</v>
      </c>
      <c r="BC98" s="417" t="e">
        <f>BC92*1000/'Indata byggnad och BBR krav'!$C$40*'Indata byggnad och BBR krav'!$C$38*BC97</f>
        <v>#DIV/0!</v>
      </c>
      <c r="BD98" s="418" t="e">
        <f>BB98+BC98</f>
        <v>#DIV/0!</v>
      </c>
      <c r="BE98" s="234"/>
      <c r="BF98" s="234"/>
      <c r="BG98" s="234"/>
      <c r="BH98" s="234"/>
      <c r="BI98" s="234"/>
      <c r="BJ98" s="437"/>
      <c r="BK98" s="438" t="s">
        <v>1411</v>
      </c>
      <c r="BL98" s="417" t="e">
        <f>BL91*1000/'Indata byggnad och BBR krav'!$C$40*'Indata byggnad och BBR krav'!$C$38*BL97</f>
        <v>#DIV/0!</v>
      </c>
      <c r="BM98" s="417" t="e">
        <f>BM91*1000/'Indata byggnad och BBR krav'!$C$40*'Indata byggnad och BBR krav'!$C$38*BM97</f>
        <v>#DIV/0!</v>
      </c>
      <c r="BN98" s="418" t="e">
        <f>BL98+BM98</f>
        <v>#DIV/0!</v>
      </c>
      <c r="BO98" s="234"/>
      <c r="BP98" s="234"/>
      <c r="BQ98" s="31"/>
      <c r="BR98" s="234"/>
      <c r="BS98" s="31"/>
      <c r="BT98" s="31"/>
      <c r="BU98" s="31"/>
      <c r="BV98" s="31"/>
      <c r="BW98" s="31"/>
      <c r="BX98" s="31"/>
      <c r="BY98" s="31"/>
      <c r="BZ98" s="234"/>
      <c r="CA98" s="234"/>
      <c r="CB98" s="234"/>
      <c r="CC98" s="234"/>
      <c r="CD98" s="234"/>
      <c r="CE98" s="234"/>
      <c r="CF98" s="234"/>
      <c r="CG98" s="234"/>
      <c r="CH98" s="234"/>
      <c r="CI98" s="234"/>
      <c r="CJ98" s="234"/>
      <c r="CK98" s="234"/>
      <c r="CL98" s="234"/>
      <c r="CM98" s="234"/>
      <c r="CN98" s="234"/>
      <c r="CO98" s="234"/>
      <c r="CP98" s="234"/>
      <c r="CQ98" s="234"/>
      <c r="CR98" s="234"/>
      <c r="CS98" s="234"/>
      <c r="CT98" s="234"/>
      <c r="CU98" s="234"/>
      <c r="CV98" s="234"/>
      <c r="CW98" s="234"/>
      <c r="CX98" s="234"/>
      <c r="CY98" s="31"/>
      <c r="CZ98" s="234"/>
      <c r="DA98" s="234"/>
      <c r="DB98" s="234"/>
      <c r="DC98" s="234"/>
      <c r="DD98" s="234"/>
      <c r="DE98" s="234"/>
      <c r="DF98" s="234"/>
      <c r="DG98" s="234"/>
      <c r="DH98" s="234"/>
      <c r="DI98" s="234"/>
      <c r="DJ98" s="234"/>
      <c r="DK98" s="234"/>
      <c r="DL98" s="234"/>
      <c r="DM98" s="234"/>
      <c r="DN98" s="234"/>
      <c r="DO98" s="234"/>
      <c r="DP98" s="234"/>
      <c r="DQ98" s="234"/>
      <c r="DR98" s="234"/>
      <c r="DS98" s="234"/>
      <c r="DT98" s="234"/>
    </row>
    <row r="99" spans="1:124" s="231" customFormat="1" ht="16.5" customHeight="1" thickBot="1" x14ac:dyDescent="0.3">
      <c r="A99" s="232"/>
      <c r="B99" s="250"/>
      <c r="C99" s="232"/>
      <c r="D99" s="232"/>
      <c r="E99" s="251"/>
      <c r="F99" s="250"/>
      <c r="G99" s="250"/>
      <c r="H99" s="250"/>
      <c r="I99" s="120"/>
      <c r="J99" s="250"/>
      <c r="K99" s="250"/>
      <c r="L99" s="120"/>
      <c r="M99" s="250"/>
      <c r="N99" s="250"/>
      <c r="O99" s="120"/>
      <c r="P99" s="250"/>
      <c r="Q99" s="250"/>
      <c r="R99" s="250"/>
      <c r="S99" s="250"/>
      <c r="T99" s="250"/>
      <c r="U99" s="250"/>
      <c r="V99" s="250"/>
      <c r="W99" s="250"/>
      <c r="X99" s="236"/>
      <c r="Y99" s="236"/>
      <c r="Z99" s="236"/>
      <c r="AA99" s="236"/>
      <c r="AB99" s="236"/>
      <c r="AC99" s="233"/>
      <c r="AD99" s="264"/>
      <c r="AE99" s="233"/>
      <c r="AF99" s="233"/>
      <c r="AG99" s="233"/>
      <c r="AH99" s="233"/>
      <c r="AI99" s="233"/>
      <c r="AJ99" s="233"/>
      <c r="AK99" s="233"/>
      <c r="AL99" s="233"/>
      <c r="AM99" s="233"/>
      <c r="AN99" s="233"/>
      <c r="AO99" s="233"/>
      <c r="AP99" s="233"/>
      <c r="AQ99" s="233"/>
      <c r="AR99" s="233"/>
      <c r="AS99" s="233"/>
      <c r="AT99" s="233"/>
      <c r="AU99" s="233"/>
      <c r="AV99" s="233"/>
      <c r="AW99" s="233"/>
      <c r="AX99" s="233"/>
      <c r="AY99" s="234"/>
      <c r="AZ99" s="437"/>
      <c r="BA99" s="439" t="s">
        <v>1459</v>
      </c>
      <c r="BB99" s="417" t="e">
        <f>BB92*1000/'Indata byggnad och BBR krav'!$C$16*'Indata byggnad och BBR krav'!$C$38*BB97</f>
        <v>#DIV/0!</v>
      </c>
      <c r="BC99" s="417" t="e">
        <f>BC92*1000/'Indata byggnad och BBR krav'!$C$16*'Indata byggnad och BBR krav'!$C$38*BC97</f>
        <v>#DIV/0!</v>
      </c>
      <c r="BD99" s="418" t="e">
        <f t="shared" ref="BD99:BD100" si="181">BB99+BC99</f>
        <v>#DIV/0!</v>
      </c>
      <c r="BE99" s="234"/>
      <c r="BF99" s="234"/>
      <c r="BG99" s="234"/>
      <c r="BH99" s="234"/>
      <c r="BI99" s="234"/>
      <c r="BJ99" s="437"/>
      <c r="BK99" s="439" t="s">
        <v>1459</v>
      </c>
      <c r="BL99" s="417" t="e">
        <f>BL91*1000/'Indata byggnad och BBR krav'!$C$16*'Indata byggnad och BBR krav'!$C$38*BL97</f>
        <v>#DIV/0!</v>
      </c>
      <c r="BM99" s="417" t="e">
        <f>BM91*1000/'Indata byggnad och BBR krav'!$C$16*'Indata byggnad och BBR krav'!$C$38*BM97</f>
        <v>#DIV/0!</v>
      </c>
      <c r="BN99" s="418" t="e">
        <f t="shared" ref="BN99:BN100" si="182">BL99+BM99</f>
        <v>#DIV/0!</v>
      </c>
      <c r="BO99" s="234"/>
      <c r="BP99" s="234"/>
      <c r="BQ99" s="31"/>
      <c r="BR99" s="234"/>
      <c r="BS99" s="31"/>
      <c r="BT99" s="31"/>
      <c r="BU99" s="31"/>
      <c r="BV99" s="31"/>
      <c r="BW99" s="31"/>
      <c r="BX99" s="31"/>
      <c r="BY99" s="31"/>
      <c r="BZ99" s="234"/>
      <c r="CA99" s="234"/>
      <c r="CB99" s="234"/>
      <c r="CC99" s="234"/>
      <c r="CD99" s="234"/>
      <c r="CE99" s="234"/>
      <c r="CF99" s="234"/>
      <c r="CG99" s="234"/>
      <c r="CH99" s="234"/>
      <c r="CI99" s="234"/>
      <c r="CJ99" s="234"/>
      <c r="CK99" s="234"/>
      <c r="CL99" s="234"/>
      <c r="CM99" s="234"/>
      <c r="CN99" s="234"/>
      <c r="CO99" s="234"/>
      <c r="CP99" s="234"/>
      <c r="CQ99" s="234"/>
      <c r="CR99" s="234"/>
      <c r="CS99" s="234"/>
      <c r="CT99" s="234"/>
      <c r="CU99" s="234"/>
      <c r="CV99" s="234"/>
      <c r="CW99" s="234"/>
      <c r="CX99" s="234"/>
      <c r="CY99" s="31"/>
      <c r="CZ99" s="234"/>
      <c r="DA99" s="234"/>
      <c r="DB99" s="234"/>
      <c r="DC99" s="234"/>
      <c r="DD99" s="234"/>
      <c r="DE99" s="234"/>
      <c r="DF99" s="234"/>
      <c r="DG99" s="234"/>
      <c r="DH99" s="234"/>
      <c r="DI99" s="234"/>
      <c r="DJ99" s="234"/>
      <c r="DK99" s="234"/>
      <c r="DL99" s="234"/>
      <c r="DM99" s="234"/>
      <c r="DN99" s="234"/>
      <c r="DO99" s="234"/>
      <c r="DP99" s="234"/>
      <c r="DQ99" s="234"/>
      <c r="DR99" s="234"/>
      <c r="DS99" s="234"/>
      <c r="DT99" s="234"/>
    </row>
    <row r="100" spans="1:124" s="231" customFormat="1" ht="16.5" customHeight="1" thickBot="1" x14ac:dyDescent="0.3">
      <c r="A100" s="232"/>
      <c r="B100" s="398">
        <v>4</v>
      </c>
      <c r="C100" s="399" t="s">
        <v>1348</v>
      </c>
      <c r="D100" s="400"/>
      <c r="E100" s="400"/>
      <c r="F100" s="385"/>
      <c r="G100" s="385"/>
      <c r="H100" s="385"/>
      <c r="I100" s="385"/>
      <c r="J100" s="384"/>
      <c r="K100" s="384"/>
      <c r="L100" s="384"/>
      <c r="M100" s="385"/>
      <c r="N100" s="385"/>
      <c r="O100" s="385"/>
      <c r="P100" s="385"/>
      <c r="Q100" s="385"/>
      <c r="R100" s="385"/>
      <c r="S100" s="385"/>
      <c r="T100" s="385"/>
      <c r="U100" s="385"/>
      <c r="V100" s="385"/>
      <c r="W100" s="386"/>
      <c r="X100" s="233"/>
      <c r="Y100" s="242" t="s">
        <v>1389</v>
      </c>
      <c r="Z100" s="233"/>
      <c r="AA100" s="233"/>
      <c r="AB100" s="233"/>
      <c r="AC100" s="233"/>
      <c r="AD100" s="264"/>
      <c r="AE100" s="233"/>
      <c r="AF100" s="242" t="s">
        <v>1277</v>
      </c>
      <c r="AG100" s="233"/>
      <c r="AH100" s="233"/>
      <c r="AI100" s="233"/>
      <c r="AJ100" s="233"/>
      <c r="AK100" s="233"/>
      <c r="AL100" s="233"/>
      <c r="AM100" s="179" t="s">
        <v>1388</v>
      </c>
      <c r="AN100" s="233"/>
      <c r="AO100" s="233"/>
      <c r="AP100" s="233"/>
      <c r="AQ100" s="233"/>
      <c r="AR100" s="233"/>
      <c r="AS100" s="233"/>
      <c r="AT100" s="233"/>
      <c r="AU100" s="233"/>
      <c r="AV100" s="233"/>
      <c r="AW100" s="233"/>
      <c r="AX100" s="233"/>
      <c r="AY100" s="234"/>
      <c r="AZ100" s="437"/>
      <c r="BA100" s="439" t="s">
        <v>1460</v>
      </c>
      <c r="BB100" s="419" t="e">
        <f>BB98/50</f>
        <v>#DIV/0!</v>
      </c>
      <c r="BC100" s="419" t="e">
        <f>BC98/50</f>
        <v>#DIV/0!</v>
      </c>
      <c r="BD100" s="420" t="e">
        <f t="shared" si="181"/>
        <v>#DIV/0!</v>
      </c>
      <c r="BE100" s="234"/>
      <c r="BF100" s="234"/>
      <c r="BG100" s="234"/>
      <c r="BH100" s="234"/>
      <c r="BI100" s="234"/>
      <c r="BJ100" s="437"/>
      <c r="BK100" s="439" t="s">
        <v>1460</v>
      </c>
      <c r="BL100" s="419" t="e">
        <f>BL98/50</f>
        <v>#DIV/0!</v>
      </c>
      <c r="BM100" s="419" t="e">
        <f>BM98/50</f>
        <v>#DIV/0!</v>
      </c>
      <c r="BN100" s="420" t="e">
        <f t="shared" si="182"/>
        <v>#DIV/0!</v>
      </c>
      <c r="BO100" s="234"/>
      <c r="BP100" s="234"/>
      <c r="BQ100" s="234"/>
      <c r="BR100" s="234"/>
      <c r="BS100" s="234"/>
      <c r="BT100" s="234"/>
      <c r="BU100" s="234"/>
      <c r="BV100" s="234"/>
      <c r="BW100" s="234"/>
      <c r="BX100" s="234"/>
      <c r="BY100" s="234"/>
      <c r="BZ100" s="234"/>
      <c r="CA100" s="234"/>
      <c r="CB100" s="234"/>
      <c r="CC100" s="234"/>
      <c r="CD100" s="234"/>
      <c r="CE100" s="234"/>
      <c r="CF100" s="234"/>
      <c r="CG100" s="234"/>
      <c r="CH100" s="234"/>
      <c r="CI100" s="234"/>
      <c r="CJ100" s="234"/>
      <c r="CK100" s="234"/>
      <c r="CL100" s="234"/>
      <c r="CM100" s="234"/>
      <c r="CN100" s="234"/>
      <c r="CO100" s="234"/>
      <c r="CP100" s="234"/>
      <c r="CQ100" s="234"/>
      <c r="CR100" s="234"/>
      <c r="CS100" s="234"/>
      <c r="CT100" s="234"/>
      <c r="CU100" s="234"/>
      <c r="CV100" s="234"/>
      <c r="CW100" s="234"/>
      <c r="CX100" s="234"/>
      <c r="CY100" s="31"/>
      <c r="CZ100" s="234"/>
      <c r="DA100" s="234"/>
      <c r="DB100" s="234"/>
      <c r="DC100" s="234"/>
      <c r="DD100" s="234"/>
      <c r="DE100" s="234"/>
      <c r="DF100" s="234"/>
      <c r="DG100" s="234"/>
      <c r="DH100" s="234"/>
      <c r="DI100" s="234"/>
      <c r="DJ100" s="234"/>
      <c r="DK100" s="234"/>
      <c r="DL100" s="234"/>
      <c r="DM100" s="234"/>
      <c r="DN100" s="234"/>
      <c r="DO100" s="234"/>
      <c r="DP100" s="234"/>
      <c r="DQ100" s="234"/>
      <c r="DR100" s="234"/>
      <c r="DS100" s="234"/>
      <c r="DT100" s="234"/>
    </row>
    <row r="101" spans="1:124" s="231" customFormat="1" ht="16.5" customHeight="1" x14ac:dyDescent="0.25">
      <c r="A101" s="232"/>
      <c r="X101" s="233"/>
      <c r="Y101" s="244" t="s">
        <v>1276</v>
      </c>
      <c r="Z101" s="233"/>
      <c r="AA101" s="233"/>
      <c r="AB101" s="233"/>
      <c r="AC101" s="233"/>
      <c r="AD101" s="180" t="s">
        <v>1080</v>
      </c>
      <c r="AE101" s="233"/>
      <c r="AF101" s="244" t="s">
        <v>1187</v>
      </c>
      <c r="AG101" s="233"/>
      <c r="AH101" s="233"/>
      <c r="AI101" s="233"/>
      <c r="AJ101" s="233"/>
      <c r="AK101" s="233"/>
      <c r="AL101" s="233"/>
      <c r="AM101" s="233" t="s">
        <v>1390</v>
      </c>
      <c r="AN101" s="233"/>
      <c r="AO101" s="233"/>
      <c r="AP101" s="233"/>
      <c r="AQ101" s="233"/>
      <c r="AR101" s="233"/>
      <c r="AS101" s="233"/>
      <c r="AT101" s="233"/>
      <c r="AU101" s="233"/>
      <c r="AV101" s="233"/>
      <c r="AW101" s="233"/>
      <c r="AX101" s="233"/>
      <c r="AY101" s="234"/>
      <c r="AZ101" s="234"/>
      <c r="BA101" s="234"/>
      <c r="BB101" s="234"/>
      <c r="BC101" s="234"/>
      <c r="BD101" s="234"/>
      <c r="BE101" s="234"/>
      <c r="BF101" s="234"/>
      <c r="BG101" s="234"/>
      <c r="BH101" s="234"/>
      <c r="BI101" s="234"/>
      <c r="BJ101" s="234"/>
      <c r="BK101" s="234"/>
      <c r="BL101" s="234"/>
      <c r="BM101" s="234"/>
      <c r="BN101" s="31"/>
      <c r="BO101" s="234"/>
      <c r="BP101" s="234"/>
      <c r="BQ101" s="234"/>
      <c r="BR101" s="234"/>
      <c r="BS101" s="234"/>
      <c r="BT101" s="234"/>
      <c r="BU101" s="234"/>
      <c r="BV101" s="234"/>
      <c r="BW101" s="234"/>
      <c r="BX101" s="234"/>
      <c r="BY101" s="234"/>
      <c r="BZ101" s="234"/>
      <c r="CA101" s="234"/>
      <c r="CB101" s="234"/>
      <c r="CC101" s="234"/>
      <c r="CD101" s="234"/>
      <c r="CE101" s="234"/>
      <c r="CF101" s="234"/>
      <c r="CG101" s="234"/>
      <c r="CH101" s="234"/>
      <c r="CI101" s="234"/>
      <c r="CJ101" s="234"/>
      <c r="CK101" s="234"/>
      <c r="CL101" s="234"/>
      <c r="CM101" s="234"/>
      <c r="CN101" s="234"/>
      <c r="CO101" s="234"/>
      <c r="CP101" s="234"/>
      <c r="CQ101" s="234"/>
      <c r="CR101" s="234"/>
      <c r="CS101" s="234"/>
      <c r="CT101" s="234"/>
      <c r="CU101" s="234"/>
      <c r="CV101" s="234"/>
      <c r="CW101" s="234"/>
      <c r="CX101" s="234"/>
      <c r="CY101" s="31"/>
      <c r="CZ101" s="234"/>
      <c r="DA101" s="234"/>
      <c r="DB101" s="234"/>
      <c r="DC101" s="234"/>
      <c r="DD101" s="234"/>
      <c r="DE101" s="234"/>
      <c r="DF101" s="234"/>
      <c r="DG101" s="234"/>
      <c r="DH101" s="234"/>
      <c r="DI101" s="234"/>
      <c r="DJ101" s="234"/>
      <c r="DK101" s="234"/>
      <c r="DL101" s="234"/>
      <c r="DM101" s="234"/>
      <c r="DN101" s="234"/>
      <c r="DO101" s="234"/>
      <c r="DP101" s="234"/>
      <c r="DQ101" s="234"/>
      <c r="DR101" s="234"/>
      <c r="DS101" s="234"/>
      <c r="DT101" s="234"/>
    </row>
    <row r="102" spans="1:124" s="231" customFormat="1" ht="16.5" customHeight="1" x14ac:dyDescent="0.25">
      <c r="A102" s="232"/>
      <c r="B102" s="232"/>
      <c r="C102" s="232"/>
      <c r="D102" s="232"/>
      <c r="E102" s="232"/>
      <c r="F102" s="505" t="s">
        <v>1138</v>
      </c>
      <c r="G102" s="505"/>
      <c r="H102" s="232"/>
      <c r="I102" s="238" t="s">
        <v>1047</v>
      </c>
      <c r="J102" s="232"/>
      <c r="K102" s="232"/>
      <c r="L102" s="238" t="s">
        <v>1048</v>
      </c>
      <c r="M102" s="232"/>
      <c r="N102" s="232"/>
      <c r="O102" s="238" t="s">
        <v>1049</v>
      </c>
      <c r="P102" s="232"/>
      <c r="Q102" s="232"/>
      <c r="R102" s="232"/>
      <c r="S102" s="232"/>
      <c r="T102" s="232"/>
      <c r="U102" s="232"/>
      <c r="V102" s="232"/>
      <c r="W102" s="232"/>
      <c r="X102" s="245" t="s">
        <v>1093</v>
      </c>
      <c r="Y102" s="56" t="str">
        <f>IF($J$104=$Y$103,J103,"")</f>
        <v>El</v>
      </c>
      <c r="Z102" s="56" t="str">
        <f>IF($M$104=$Y$103,M103,"")</f>
        <v>El</v>
      </c>
      <c r="AA102" s="56" t="str">
        <f>IF($P$104=$Y$103,P103,"")</f>
        <v/>
      </c>
      <c r="AB102" s="245"/>
      <c r="AC102" s="233"/>
      <c r="AD102" s="273" t="s">
        <v>1301</v>
      </c>
      <c r="AE102" s="245" t="s">
        <v>1093</v>
      </c>
      <c r="AF102" s="56" t="str">
        <f>Y102</f>
        <v>El</v>
      </c>
      <c r="AG102" s="56" t="str">
        <f>Z102</f>
        <v>El</v>
      </c>
      <c r="AH102" s="56" t="str">
        <f>AA102</f>
        <v/>
      </c>
      <c r="AI102" s="245"/>
      <c r="AJ102" s="233"/>
      <c r="AK102" s="233"/>
      <c r="AL102" s="233"/>
      <c r="AM102" s="179"/>
      <c r="AN102" s="233"/>
      <c r="AO102" s="233"/>
      <c r="AP102" s="233"/>
      <c r="AQ102" s="233"/>
      <c r="AR102" s="233"/>
      <c r="AS102" s="233"/>
      <c r="AT102" s="233"/>
      <c r="AU102" s="233"/>
      <c r="AV102" s="233"/>
      <c r="AW102" s="233"/>
      <c r="AX102" s="233"/>
      <c r="AY102" s="234"/>
      <c r="AZ102" s="234"/>
      <c r="BA102" s="234"/>
      <c r="BB102" s="290" t="s">
        <v>1392</v>
      </c>
      <c r="BC102" s="234"/>
      <c r="BD102" s="234"/>
      <c r="BE102" s="234"/>
      <c r="BF102" s="234"/>
      <c r="BG102" s="234"/>
      <c r="BH102" s="234"/>
      <c r="BI102" s="234"/>
      <c r="BJ102" s="234"/>
      <c r="BK102" s="234"/>
      <c r="BL102" s="290" t="s">
        <v>1393</v>
      </c>
      <c r="BM102" s="234"/>
      <c r="BN102" s="234"/>
      <c r="BO102" s="234"/>
      <c r="BP102" s="234"/>
      <c r="BQ102" s="234"/>
      <c r="BR102" s="234"/>
      <c r="BS102" s="234"/>
      <c r="BT102" s="234"/>
      <c r="BU102" s="234"/>
      <c r="BV102" s="234"/>
      <c r="BW102" s="234"/>
      <c r="BX102" s="234"/>
      <c r="BY102" s="234"/>
      <c r="BZ102" s="234"/>
      <c r="CA102" s="234"/>
      <c r="CB102" s="234"/>
      <c r="CC102" s="234"/>
      <c r="CD102" s="234"/>
      <c r="CE102" s="234"/>
      <c r="CF102" s="234"/>
      <c r="CG102" s="234"/>
      <c r="CH102" s="234"/>
      <c r="CI102" s="234"/>
      <c r="CJ102" s="234"/>
      <c r="CK102" s="234"/>
      <c r="CL102" s="234"/>
      <c r="CM102" s="234"/>
      <c r="CN102" s="234"/>
      <c r="CO102" s="234"/>
      <c r="CP102" s="234"/>
      <c r="CQ102" s="234"/>
      <c r="CR102" s="234"/>
      <c r="CS102" s="234"/>
      <c r="CT102" s="234"/>
      <c r="CU102" s="234"/>
      <c r="CV102" s="234"/>
      <c r="CW102" s="234"/>
      <c r="CX102" s="234"/>
      <c r="CY102" s="31"/>
      <c r="CZ102" s="234"/>
      <c r="DA102" s="234"/>
      <c r="DB102" s="234"/>
      <c r="DC102" s="234"/>
      <c r="DD102" s="234"/>
      <c r="DE102" s="234"/>
      <c r="DF102" s="234"/>
      <c r="DG102" s="234"/>
      <c r="DH102" s="234"/>
      <c r="DI102" s="234"/>
      <c r="DJ102" s="234"/>
      <c r="DK102" s="234"/>
      <c r="DL102" s="234"/>
      <c r="DM102" s="234"/>
      <c r="DN102" s="234"/>
      <c r="DO102" s="234"/>
      <c r="DP102" s="234"/>
      <c r="DQ102" s="234"/>
      <c r="DR102" s="234"/>
      <c r="DS102" s="234"/>
      <c r="DT102" s="234"/>
    </row>
    <row r="103" spans="1:124" s="231" customFormat="1" ht="16.5" customHeight="1" x14ac:dyDescent="0.25">
      <c r="A103" s="232"/>
      <c r="B103" s="232"/>
      <c r="C103" s="53" t="s">
        <v>1050</v>
      </c>
      <c r="D103" s="368">
        <v>1</v>
      </c>
      <c r="E103" s="232"/>
      <c r="F103" s="54" t="s">
        <v>9</v>
      </c>
      <c r="G103" s="375">
        <f>$G$14</f>
        <v>2017</v>
      </c>
      <c r="H103" s="37"/>
      <c r="I103" s="55" t="s">
        <v>1209</v>
      </c>
      <c r="J103" s="368" t="s">
        <v>1085</v>
      </c>
      <c r="K103" s="37"/>
      <c r="L103" s="55" t="s">
        <v>1209</v>
      </c>
      <c r="M103" s="368" t="s">
        <v>1085</v>
      </c>
      <c r="N103" s="37"/>
      <c r="O103" s="55" t="s">
        <v>1209</v>
      </c>
      <c r="P103" s="368" t="s">
        <v>1085</v>
      </c>
      <c r="Q103" s="37"/>
      <c r="R103" s="37"/>
      <c r="S103" s="37"/>
      <c r="T103" s="37"/>
      <c r="U103" s="37"/>
      <c r="V103" s="37"/>
      <c r="W103" s="232"/>
      <c r="X103" s="245"/>
      <c r="Y103" s="267" t="s">
        <v>1091</v>
      </c>
      <c r="Z103" s="267"/>
      <c r="AA103" s="267"/>
      <c r="AB103" s="267"/>
      <c r="AC103" s="233"/>
      <c r="AD103" s="273" t="s">
        <v>1391</v>
      </c>
      <c r="AE103" s="245"/>
      <c r="AF103" s="267" t="s">
        <v>1091</v>
      </c>
      <c r="AG103" s="267"/>
      <c r="AH103" s="267"/>
      <c r="AI103" s="267"/>
      <c r="AJ103" s="233"/>
      <c r="AK103" s="233"/>
      <c r="AL103" s="233"/>
      <c r="AM103" s="233"/>
      <c r="AN103" s="233"/>
      <c r="AO103" s="253" t="s">
        <v>1080</v>
      </c>
      <c r="AP103" s="233"/>
      <c r="AQ103" s="233"/>
      <c r="AR103" s="233"/>
      <c r="AS103" s="233"/>
      <c r="AT103" s="233"/>
      <c r="AU103" s="233"/>
      <c r="AV103" s="233"/>
      <c r="AW103" s="233"/>
      <c r="AX103" s="233"/>
      <c r="AY103" s="234"/>
      <c r="AZ103" s="234"/>
      <c r="BA103" s="234"/>
      <c r="BB103" s="38" t="s">
        <v>1158</v>
      </c>
      <c r="BC103" s="234"/>
      <c r="BD103" s="234"/>
      <c r="BE103" s="234"/>
      <c r="BF103" s="234"/>
      <c r="BG103" s="234"/>
      <c r="BH103" s="234"/>
      <c r="BI103" s="234"/>
      <c r="BJ103" s="234"/>
      <c r="BK103" s="234"/>
      <c r="BL103" s="38" t="s">
        <v>1158</v>
      </c>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31"/>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row>
    <row r="104" spans="1:124" s="231" customFormat="1" ht="16.5" customHeight="1" x14ac:dyDescent="0.25">
      <c r="A104" s="232"/>
      <c r="B104" s="232"/>
      <c r="E104" s="232"/>
      <c r="F104" s="54" t="s">
        <v>19</v>
      </c>
      <c r="G104" s="375" t="str">
        <f>$G$15</f>
        <v>jan</v>
      </c>
      <c r="H104" s="37"/>
      <c r="I104" s="55" t="s">
        <v>1139</v>
      </c>
      <c r="J104" s="368" t="s">
        <v>1091</v>
      </c>
      <c r="K104" s="37"/>
      <c r="L104" s="55" t="s">
        <v>1139</v>
      </c>
      <c r="M104" s="368" t="s">
        <v>1091</v>
      </c>
      <c r="N104" s="37"/>
      <c r="O104" s="55" t="s">
        <v>1139</v>
      </c>
      <c r="P104" s="368" t="s">
        <v>1080</v>
      </c>
      <c r="Q104" s="37"/>
      <c r="R104" s="37"/>
      <c r="S104" s="37"/>
      <c r="T104" s="37"/>
      <c r="U104" s="37"/>
      <c r="V104" s="37"/>
      <c r="W104" s="232"/>
      <c r="X104" s="245" t="s">
        <v>1093</v>
      </c>
      <c r="Y104" s="56" t="str">
        <f>Y102</f>
        <v>El</v>
      </c>
      <c r="Z104" s="56" t="str">
        <f>IF($Z$102&lt;&gt;$Y$102,Z102,"")</f>
        <v/>
      </c>
      <c r="AA104" s="56" t="str">
        <f>IF(AND($AA$102&lt;&gt;$Z$102,$AA$102&lt;&gt;$Y$102),AA102,"")</f>
        <v/>
      </c>
      <c r="AB104" s="56" t="s">
        <v>1094</v>
      </c>
      <c r="AC104" s="233"/>
      <c r="AD104" s="56" t="s">
        <v>1075</v>
      </c>
      <c r="AE104" s="245" t="s">
        <v>1093</v>
      </c>
      <c r="AF104" s="56" t="str">
        <f>Y104</f>
        <v>El</v>
      </c>
      <c r="AG104" s="56" t="str">
        <f>Z104</f>
        <v/>
      </c>
      <c r="AH104" s="56" t="str">
        <f>AA104</f>
        <v/>
      </c>
      <c r="AI104" s="56" t="s">
        <v>1278</v>
      </c>
      <c r="AJ104" s="56" t="s">
        <v>1094</v>
      </c>
      <c r="AK104" s="244" t="s">
        <v>1370</v>
      </c>
      <c r="AL104" s="233"/>
      <c r="AM104" s="56" t="s">
        <v>1179</v>
      </c>
      <c r="AN104" s="56" t="s">
        <v>1108</v>
      </c>
      <c r="AO104" s="56" t="s">
        <v>1075</v>
      </c>
      <c r="AP104" s="233"/>
      <c r="AQ104" s="233"/>
      <c r="AR104" s="233"/>
      <c r="AS104" s="233"/>
      <c r="AT104" s="233"/>
      <c r="AU104" s="233"/>
      <c r="AV104" s="233"/>
      <c r="AW104" s="233"/>
      <c r="AX104" s="233"/>
      <c r="AY104" s="234"/>
      <c r="AZ104" s="234"/>
      <c r="BA104" s="57" t="s">
        <v>1093</v>
      </c>
      <c r="BB104" s="52" t="str">
        <f>AF104</f>
        <v>El</v>
      </c>
      <c r="BC104" s="52" t="str">
        <f>AG104</f>
        <v/>
      </c>
      <c r="BD104" s="52" t="str">
        <f>AH104</f>
        <v/>
      </c>
      <c r="BE104" s="234"/>
      <c r="BF104" s="234"/>
      <c r="BG104" s="234"/>
      <c r="BH104" s="234"/>
      <c r="BI104" s="234"/>
      <c r="BJ104" s="234"/>
      <c r="BK104" s="57" t="s">
        <v>1093</v>
      </c>
      <c r="BL104" s="52" t="str">
        <f>AF104</f>
        <v>El</v>
      </c>
      <c r="BM104" s="52" t="str">
        <f>AG104</f>
        <v/>
      </c>
      <c r="BN104" s="52" t="str">
        <f>AH104</f>
        <v/>
      </c>
      <c r="BO104" s="234"/>
      <c r="BP104" s="234"/>
      <c r="BQ104" s="234"/>
      <c r="BR104" s="234"/>
      <c r="BS104" s="234"/>
      <c r="BT104" s="234"/>
      <c r="BU104" s="234"/>
      <c r="BV104" s="234"/>
      <c r="BW104" s="234"/>
      <c r="BX104" s="234"/>
      <c r="BY104" s="234"/>
      <c r="BZ104" s="234"/>
      <c r="CA104" s="234"/>
      <c r="CB104" s="234"/>
      <c r="CC104" s="234"/>
      <c r="CD104" s="234"/>
      <c r="CE104" s="234"/>
      <c r="CF104" s="234"/>
      <c r="CG104" s="234"/>
      <c r="CH104" s="234"/>
      <c r="CI104" s="234"/>
      <c r="CJ104" s="234"/>
      <c r="CK104" s="234"/>
      <c r="CL104" s="234"/>
      <c r="CM104" s="234"/>
      <c r="CN104" s="234"/>
      <c r="CO104" s="234"/>
      <c r="CP104" s="234"/>
      <c r="CQ104" s="234"/>
      <c r="CR104" s="234"/>
      <c r="CS104" s="234"/>
      <c r="CT104" s="234"/>
      <c r="CU104" s="234"/>
      <c r="CV104" s="234"/>
      <c r="CW104" s="234"/>
      <c r="CX104" s="234"/>
      <c r="CY104" s="31"/>
      <c r="CZ104" s="234"/>
      <c r="DA104" s="234"/>
      <c r="DB104" s="234"/>
      <c r="DC104" s="234"/>
      <c r="DD104" s="234"/>
      <c r="DE104" s="234"/>
      <c r="DF104" s="234"/>
      <c r="DG104" s="234"/>
      <c r="DH104" s="234"/>
      <c r="DI104" s="234"/>
      <c r="DJ104" s="234"/>
      <c r="DK104" s="234"/>
      <c r="DL104" s="234"/>
      <c r="DM104" s="234"/>
      <c r="DN104" s="234"/>
      <c r="DO104" s="234"/>
      <c r="DP104" s="234"/>
      <c r="DQ104" s="234"/>
      <c r="DR104" s="234"/>
      <c r="DS104" s="234"/>
      <c r="DT104" s="234"/>
    </row>
    <row r="105" spans="1:124" s="231" customFormat="1" ht="16.5" customHeight="1" x14ac:dyDescent="0.25">
      <c r="A105" s="232"/>
      <c r="B105" s="232"/>
      <c r="C105" s="268" t="s">
        <v>1263</v>
      </c>
      <c r="D105" s="368" t="s">
        <v>1252</v>
      </c>
      <c r="E105" s="232"/>
      <c r="F105" s="93"/>
      <c r="G105" s="93"/>
      <c r="H105" s="37"/>
      <c r="W105" s="232"/>
      <c r="X105" s="233"/>
      <c r="Y105" s="252">
        <f>IF(AND(J$104=$Y$103, $J$103=$Y$104),I108,0)+IF(AND($M$104=$Y$103, $M$103=$Y$104),L108,0)+IF(AND($P$104=$Y$103, $P$103=$Y$104),O108,0)</f>
        <v>0</v>
      </c>
      <c r="Z105" s="252">
        <f t="shared" ref="Z105:Z116" si="183">IF(AND(J$104=$Y$103, $J$103=$Z$104),I108,0)+IF(AND($M$104=$Y$103, $M$103=$Z$104),L108,0)+IF(AND($P$104=$Y$103, $P$103=$Z$104),O108,0)</f>
        <v>0</v>
      </c>
      <c r="AA105" s="252">
        <f>IF(AND(J$104=$Y$103, $J$103=$AA$104),I108,0)+IF(AND($M$104=$Y$103, $M$103=$AA$104),L108,0)+IF(AND($P$104=$Y$103, $P$103=$AA$104),O108,0)</f>
        <v>0</v>
      </c>
      <c r="AB105" s="252">
        <f>Y105+Z105+AA105</f>
        <v>0</v>
      </c>
      <c r="AC105" s="233"/>
      <c r="AD105" s="252">
        <f>IF(AND('Indata byggnad och BBR krav'!$C$17&gt;0,$D$107="Mäts separat"),(IF($J$104=$AD$101,I108,0)+IF($M$104=$AD$101,L108,0)+IF($P$104=$AD$101,O108,0)),0)</f>
        <v>0</v>
      </c>
      <c r="AE105" s="233"/>
      <c r="AF105" s="252" t="e">
        <f ca="1">IF(AND($AF$104="El",$D$107="Ingår i mätdata fastighetsel"),Y105-AO105,Y105)</f>
        <v>#DIV/0!</v>
      </c>
      <c r="AG105" s="252">
        <f t="shared" ref="AG105:AG116" si="184">IF(AND($AG$104="El",$D$107="Ingår i mätdata fastighetsel"),Z105-AO105,Z105)</f>
        <v>0</v>
      </c>
      <c r="AH105" s="252">
        <f t="shared" ref="AH105:AH116" si="185">IF(AND($AH$104="El",$D$107="Ingår i mätdata fastighetsel"),AA105-AO105,AA105)</f>
        <v>0</v>
      </c>
      <c r="AI105" s="259" t="e">
        <f ca="1">IF($AF$104="El",AF105-AA130,IF($AG$104="El",AG105-AA130,IF($AH$104="El",AH105-AA130)))</f>
        <v>#DIV/0!</v>
      </c>
      <c r="AJ105" s="307" t="e">
        <f ca="1">IF($AF$104="El",(AI105+AG105+AH105),IF($AG$104="El",(AF105+AH105+AI105),IF($AH$104="El",AF105+AG105+AI105)))</f>
        <v>#DIV/0!</v>
      </c>
      <c r="AK105" s="366" t="e">
        <f ca="1">IF((AF105)&lt;0,"Fel i indata","")</f>
        <v>#DIV/0!</v>
      </c>
      <c r="AL105" s="362" t="e">
        <f ca="1">IF(AND(AK105="",AI105&lt;0),"Fel i indata","")</f>
        <v>#DIV/0!</v>
      </c>
      <c r="AM105" s="56" t="str">
        <f t="shared" ref="AM105:AM116" ca="1" si="186">G108</f>
        <v>jan</v>
      </c>
      <c r="AN105" s="279">
        <f ca="1">VLOOKUP(AM105,$EW$2:$EY$13,3,FALSE)</f>
        <v>0.12906000000000001</v>
      </c>
      <c r="AO105" s="193" t="e">
        <f t="shared" ref="AO105:AO116" ca="1" si="187">IF($D$105="Finns",IF($D$107="Mäts separat",AD105,($D$110*AN105)),0)</f>
        <v>#DIV/0!</v>
      </c>
      <c r="AP105" s="233"/>
      <c r="AQ105" s="233"/>
      <c r="AR105" s="233"/>
      <c r="AS105" s="233"/>
      <c r="AT105" s="233"/>
      <c r="AU105" s="233"/>
      <c r="AV105" s="233"/>
      <c r="AW105" s="233"/>
      <c r="AX105" s="233"/>
      <c r="AY105" s="234"/>
      <c r="AZ105" s="234"/>
      <c r="BA105" s="57" t="s">
        <v>1286</v>
      </c>
      <c r="BB105" s="182">
        <f>IF(OR(BB104="Fjärrvärme",BB104="Biobränsle",BB104="Gas",BB104="Olja"),1,IF(BB104="El",1.6,""))</f>
        <v>1.6</v>
      </c>
      <c r="BC105" s="182" t="str">
        <f>IF(OR(BC104="Fjärrvärme",BC104="Biobränsle",BC104="Gas",BC104="Olja"),1,IF(BC104="El",1.6,""))</f>
        <v/>
      </c>
      <c r="BD105" s="182" t="str">
        <f>IF(OR(BD104="Fjärrvärme",BD104="Biobränsle",BD104="Gas",BD104="Olja"),1,IF(BD104="El",1.6,""))</f>
        <v/>
      </c>
      <c r="BE105" s="234"/>
      <c r="BF105" s="234"/>
      <c r="BG105" s="234"/>
      <c r="BH105" s="234"/>
      <c r="BI105" s="234"/>
      <c r="BJ105" s="234"/>
      <c r="BK105" s="57" t="s">
        <v>1286</v>
      </c>
      <c r="BL105" s="182">
        <f>IF(OR(BB104="Fjärrvärme",BB104="Biobränsle",BB104="Gas",BB104="Olja"),1,IF(BB104="El",1.6,""))</f>
        <v>1.6</v>
      </c>
      <c r="BM105" s="182" t="str">
        <f>IF(OR(BM104="Fjärrvärme",BM104="Biobränsle",BM104="Gas",BM104="Olja"),1,IF(BM104="El",1.6,""))</f>
        <v/>
      </c>
      <c r="BN105" s="182" t="str">
        <f>IF(OR(BN104="Fjärrvärme",BN104="Biobränsle",BN104="Gas",BN104="Olja"),1,IF(BN104="El",1.6,""))</f>
        <v/>
      </c>
      <c r="BO105" s="234"/>
      <c r="BP105" s="234"/>
      <c r="BQ105" s="234"/>
      <c r="BR105" s="234"/>
      <c r="BS105" s="234"/>
      <c r="BT105" s="58"/>
      <c r="BU105" s="58"/>
      <c r="BV105" s="58"/>
      <c r="BW105" s="58"/>
      <c r="BX105" s="58"/>
      <c r="BY105" s="58"/>
      <c r="BZ105" s="234"/>
      <c r="CA105" s="234"/>
      <c r="CB105" s="234"/>
      <c r="CC105" s="234"/>
      <c r="CD105" s="234"/>
      <c r="CE105" s="234"/>
      <c r="CF105" s="234"/>
      <c r="CG105" s="234"/>
      <c r="CH105" s="234"/>
      <c r="CI105" s="234"/>
      <c r="CJ105" s="234"/>
      <c r="CK105" s="234"/>
      <c r="CL105" s="234"/>
      <c r="CM105" s="234"/>
      <c r="CN105" s="234"/>
      <c r="CO105" s="234"/>
      <c r="CP105" s="234"/>
      <c r="CQ105" s="234"/>
      <c r="CR105" s="234"/>
      <c r="CS105" s="234"/>
      <c r="CT105" s="234"/>
      <c r="CU105" s="234"/>
      <c r="CV105" s="234"/>
      <c r="CW105" s="234"/>
      <c r="CX105" s="234"/>
      <c r="CY105" s="31"/>
      <c r="CZ105" s="234"/>
      <c r="DA105" s="234"/>
      <c r="DB105" s="234"/>
      <c r="DC105" s="234"/>
      <c r="DD105" s="234"/>
      <c r="DE105" s="234"/>
      <c r="DF105" s="234"/>
      <c r="DG105" s="234"/>
      <c r="DH105" s="234"/>
      <c r="DI105" s="234"/>
      <c r="DJ105" s="234"/>
      <c r="DK105" s="234"/>
      <c r="DL105" s="234"/>
      <c r="DM105" s="234"/>
      <c r="DN105" s="234"/>
      <c r="DO105" s="234"/>
      <c r="DP105" s="234"/>
      <c r="DQ105" s="234"/>
      <c r="DR105" s="234"/>
      <c r="DS105" s="234"/>
      <c r="DT105" s="234"/>
    </row>
    <row r="106" spans="1:124" s="231" customFormat="1" ht="16.5" customHeight="1" x14ac:dyDescent="0.25">
      <c r="A106" s="232"/>
      <c r="B106" s="232"/>
      <c r="E106" s="232"/>
      <c r="F106" s="289"/>
      <c r="G106" s="37"/>
      <c r="H106" s="37"/>
      <c r="I106" s="97"/>
      <c r="J106" s="66" t="s">
        <v>1132</v>
      </c>
      <c r="K106" s="66"/>
      <c r="L106" s="97"/>
      <c r="M106" s="66" t="s">
        <v>1132</v>
      </c>
      <c r="N106" s="66"/>
      <c r="O106" s="97"/>
      <c r="P106" s="66" t="s">
        <v>1132</v>
      </c>
      <c r="Q106" s="66"/>
      <c r="R106" s="66"/>
      <c r="S106" s="66"/>
      <c r="T106" s="66"/>
      <c r="U106" s="66"/>
      <c r="V106" s="66"/>
      <c r="W106" s="232"/>
      <c r="X106" s="233"/>
      <c r="Y106" s="252">
        <f t="shared" ref="Y106:Y116" si="188">IF(AND(J$104=$Y$103, $J$103=$Y$104),I109,0)+IF(AND($M$104=$Y$103, $M$103=$Y$104),L109,0)+IF(AND($P$104=$Y$103, $P$103=$Y$104),O109,0)</f>
        <v>0</v>
      </c>
      <c r="Z106" s="252">
        <f t="shared" si="183"/>
        <v>0</v>
      </c>
      <c r="AA106" s="252">
        <f t="shared" ref="AA106:AA116" si="189">IF(AND(J$104=$Y$103, $J$103=$AA$104),I109,0)+IF(AND($M$104=$Y$103, $M$103=$AA$104),L109,0)+IF(AND($P$104=$Y$103, $P$103=$AA$104),O109,0)</f>
        <v>0</v>
      </c>
      <c r="AB106" s="252">
        <f t="shared" ref="AB106:AB116" si="190">Y106+Z106+AA106</f>
        <v>0</v>
      </c>
      <c r="AC106" s="233"/>
      <c r="AD106" s="252">
        <f>IF(AND('Indata byggnad och BBR krav'!$C$17&gt;0,$D$107="Mäts separat"),(IF($J$104=$AD$101,I109,0)+IF($M$104=$AD$101,L109,0)+IF($P$104=$AD$101,O109,0)),0)</f>
        <v>0</v>
      </c>
      <c r="AE106" s="233"/>
      <c r="AF106" s="252" t="e">
        <f t="shared" ref="AF106:AF116" ca="1" si="191">IF(AND($AF$104="El",$D$107="Ingår i mätdata fastighetsel"),Y106-AO106,Y106)</f>
        <v>#DIV/0!</v>
      </c>
      <c r="AG106" s="252">
        <f t="shared" si="184"/>
        <v>0</v>
      </c>
      <c r="AH106" s="252">
        <f t="shared" si="185"/>
        <v>0</v>
      </c>
      <c r="AI106" s="259" t="e">
        <f t="shared" ref="AI106:AI116" ca="1" si="192">IF($AF$104="El",AF106-AA131,IF($AG$104="El",AG106-AA131,IF($AH$104="El",AH106-AA131)))</f>
        <v>#DIV/0!</v>
      </c>
      <c r="AJ106" s="307" t="e">
        <f t="shared" ref="AJ106:AJ116" ca="1" si="193">IF($AF$104="El",(AI106+AG106+AH106),IF($AG$104="El",(AF106+AH106+AI106),IF($AH$104="El",AF106+AG106+AI106)))</f>
        <v>#DIV/0!</v>
      </c>
      <c r="AK106" s="366" t="e">
        <f t="shared" ref="AK106:AK116" ca="1" si="194">IF((AF106)&lt;0,"Fel i indata","")</f>
        <v>#DIV/0!</v>
      </c>
      <c r="AL106" s="362" t="e">
        <f t="shared" ref="AL106:AL116" ca="1" si="195">IF(AND(AK106="",AI106&lt;0),"Fel i indata","")</f>
        <v>#DIV/0!</v>
      </c>
      <c r="AM106" s="56" t="str">
        <f t="shared" ca="1" si="186"/>
        <v>feb</v>
      </c>
      <c r="AN106" s="279">
        <f t="shared" ref="AN106:AN116" ca="1" si="196">VLOOKUP(AM106,$EW$2:$EY$13,3,FALSE)</f>
        <v>0.11473999999999999</v>
      </c>
      <c r="AO106" s="193" t="e">
        <f t="shared" ca="1" si="187"/>
        <v>#DIV/0!</v>
      </c>
      <c r="AP106" s="233"/>
      <c r="AQ106" s="233"/>
      <c r="AR106" s="233"/>
      <c r="AS106" s="233"/>
      <c r="AT106" s="233"/>
      <c r="AU106" s="233"/>
      <c r="AV106" s="233"/>
      <c r="AW106" s="233"/>
      <c r="AX106" s="233"/>
      <c r="AY106" s="234"/>
      <c r="AZ106" s="234"/>
      <c r="BA106" s="57" t="s">
        <v>1287</v>
      </c>
      <c r="BB106" s="52">
        <f>IF(OR(BB104="El",BB104="Gas",BB104="Olja"),1.8,IF(BB104="Fjärrvärme",0.7,IF(BB104="Biobränsle",0.6,"")))</f>
        <v>1.8</v>
      </c>
      <c r="BC106" s="52" t="str">
        <f>IF(OR(BC104="El",BC104="Gas",BC104="Olja"),1.8,IF(BC104="Fjärrvärme",0.7,IF(BC104="Biobränsle",0.6,"")))</f>
        <v/>
      </c>
      <c r="BD106" s="52" t="str">
        <f>IF(OR(BD104="El",BD104="Gas",BD104="Olja"),1.8,IF(BD104="Fjärrvärme",0.7,IF(BD104="Biobränsle",0.6,"")))</f>
        <v/>
      </c>
      <c r="BE106" s="178"/>
      <c r="BF106" s="234"/>
      <c r="BG106" s="234"/>
      <c r="BH106" s="234"/>
      <c r="BI106" s="234"/>
      <c r="BJ106" s="234"/>
      <c r="BK106" s="57" t="s">
        <v>1287</v>
      </c>
      <c r="BL106" s="52">
        <f>IF(OR(BB104="El",BB104="Gas",BB104="Olja"),1.8,IF(BB104="Fjärrvärme",0.7,IF(BB104="Biobränsle",0.6,"")))</f>
        <v>1.8</v>
      </c>
      <c r="BM106" s="52" t="str">
        <f>IF(OR(BM104="El",BM104="Gas",BM104="Olja"),1.8,IF(BM104="Fjärrvärme",0.7,IF(BM104="Biobränsle",0.6,"")))</f>
        <v/>
      </c>
      <c r="BN106" s="52" t="str">
        <f>IF(OR(BN104="El",BN104="Gas",BN104="Olja"),1.8,IF(BN104="Fjärrvärme",0.7,IF(BN104="Biobränsle",0.6,"")))</f>
        <v/>
      </c>
      <c r="BO106" s="178"/>
      <c r="BP106" s="234"/>
      <c r="BQ106" s="234"/>
      <c r="BR106" s="234"/>
      <c r="BS106" s="234"/>
      <c r="BT106" s="67"/>
      <c r="BU106" s="67"/>
      <c r="BV106" s="67"/>
      <c r="BW106" s="67"/>
      <c r="BX106" s="67"/>
      <c r="BY106" s="67"/>
      <c r="BZ106" s="234"/>
      <c r="CA106" s="234"/>
      <c r="CB106" s="234"/>
      <c r="CC106" s="234"/>
      <c r="CD106" s="234"/>
      <c r="CE106" s="234"/>
      <c r="CF106" s="234"/>
      <c r="CG106" s="234"/>
      <c r="CH106" s="234"/>
      <c r="CI106" s="234"/>
      <c r="CJ106" s="234"/>
      <c r="CK106" s="234"/>
      <c r="CL106" s="234"/>
      <c r="CM106" s="234"/>
      <c r="CN106" s="234"/>
      <c r="CO106" s="234"/>
      <c r="CP106" s="234"/>
      <c r="CQ106" s="234"/>
      <c r="CR106" s="234"/>
      <c r="CS106" s="234"/>
      <c r="CT106" s="234"/>
      <c r="CU106" s="234"/>
      <c r="CV106" s="234"/>
      <c r="CW106" s="234"/>
      <c r="CX106" s="234"/>
      <c r="CY106" s="31"/>
      <c r="CZ106" s="234"/>
      <c r="DA106" s="234"/>
      <c r="DB106" s="234"/>
      <c r="DC106" s="234"/>
      <c r="DD106" s="234"/>
      <c r="DE106" s="234"/>
      <c r="DF106" s="234"/>
      <c r="DG106" s="234"/>
      <c r="DH106" s="234"/>
      <c r="DI106" s="234"/>
      <c r="DJ106" s="234"/>
      <c r="DK106" s="234"/>
      <c r="DL106" s="234"/>
      <c r="DM106" s="234"/>
      <c r="DN106" s="234"/>
      <c r="DO106" s="234"/>
      <c r="DP106" s="234"/>
      <c r="DQ106" s="234"/>
      <c r="DR106" s="234"/>
      <c r="DS106" s="234"/>
      <c r="DT106" s="234"/>
    </row>
    <row r="107" spans="1:124" s="231" customFormat="1" ht="16.5" customHeight="1" x14ac:dyDescent="0.25">
      <c r="A107" s="232"/>
      <c r="B107" s="232"/>
      <c r="C107" s="268" t="s">
        <v>1264</v>
      </c>
      <c r="D107" s="368" t="s">
        <v>1274</v>
      </c>
      <c r="E107" s="232"/>
      <c r="F107" s="391" t="s">
        <v>1044</v>
      </c>
      <c r="G107" s="391" t="s">
        <v>1045</v>
      </c>
      <c r="H107" s="70"/>
      <c r="I107" s="106" t="s">
        <v>1075</v>
      </c>
      <c r="J107" s="442" t="s">
        <v>1075</v>
      </c>
      <c r="K107" s="70"/>
      <c r="L107" s="106" t="s">
        <v>1075</v>
      </c>
      <c r="M107" s="442" t="s">
        <v>1075</v>
      </c>
      <c r="N107" s="70"/>
      <c r="O107" s="106" t="s">
        <v>1075</v>
      </c>
      <c r="P107" s="442" t="s">
        <v>1075</v>
      </c>
      <c r="Q107" s="70"/>
      <c r="R107" s="70"/>
      <c r="S107" s="70"/>
      <c r="T107" s="70"/>
      <c r="U107" s="70"/>
      <c r="V107" s="70"/>
      <c r="W107" s="232"/>
      <c r="X107" s="233"/>
      <c r="Y107" s="252">
        <f t="shared" si="188"/>
        <v>0</v>
      </c>
      <c r="Z107" s="252">
        <f t="shared" si="183"/>
        <v>0</v>
      </c>
      <c r="AA107" s="252">
        <f t="shared" si="189"/>
        <v>0</v>
      </c>
      <c r="AB107" s="252">
        <f t="shared" si="190"/>
        <v>0</v>
      </c>
      <c r="AC107" s="233"/>
      <c r="AD107" s="252">
        <f>IF(AND('Indata byggnad och BBR krav'!$C$17&gt;0,$D$107="Mäts separat"),(IF($J$104=$AD$101,I110,0)+IF($M$104=$AD$101,L110,0)+IF($P$104=$AD$101,O110,0)),0)</f>
        <v>0</v>
      </c>
      <c r="AE107" s="233"/>
      <c r="AF107" s="252" t="e">
        <f t="shared" ca="1" si="191"/>
        <v>#DIV/0!</v>
      </c>
      <c r="AG107" s="252">
        <f t="shared" si="184"/>
        <v>0</v>
      </c>
      <c r="AH107" s="252">
        <f t="shared" si="185"/>
        <v>0</v>
      </c>
      <c r="AI107" s="259" t="e">
        <f t="shared" ca="1" si="192"/>
        <v>#DIV/0!</v>
      </c>
      <c r="AJ107" s="307" t="e">
        <f t="shared" ca="1" si="193"/>
        <v>#DIV/0!</v>
      </c>
      <c r="AK107" s="366" t="e">
        <f t="shared" ca="1" si="194"/>
        <v>#DIV/0!</v>
      </c>
      <c r="AL107" s="362" t="e">
        <f t="shared" ca="1" si="195"/>
        <v>#DIV/0!</v>
      </c>
      <c r="AM107" s="56" t="str">
        <f t="shared" ca="1" si="186"/>
        <v>mars</v>
      </c>
      <c r="AN107" s="279">
        <f t="shared" ca="1" si="196"/>
        <v>0.11559</v>
      </c>
      <c r="AO107" s="193" t="e">
        <f t="shared" ca="1" si="187"/>
        <v>#DIV/0!</v>
      </c>
      <c r="AP107" s="233"/>
      <c r="AQ107" s="233"/>
      <c r="AR107" s="233"/>
      <c r="AS107" s="233"/>
      <c r="AT107" s="233"/>
      <c r="AU107" s="233"/>
      <c r="AV107" s="233"/>
      <c r="AW107" s="233"/>
      <c r="AX107" s="233"/>
      <c r="AY107" s="234"/>
      <c r="AZ107" s="234"/>
      <c r="BA107" s="234"/>
      <c r="BB107" s="178" t="s">
        <v>1091</v>
      </c>
      <c r="BC107" s="234"/>
      <c r="BD107" s="234"/>
      <c r="BE107" s="234"/>
      <c r="BF107" s="234"/>
      <c r="BG107" s="234"/>
      <c r="BH107" s="234"/>
      <c r="BI107" s="234"/>
      <c r="BJ107" s="234"/>
      <c r="BK107" s="234"/>
      <c r="BL107" s="178" t="s">
        <v>1091</v>
      </c>
      <c r="BM107" s="234"/>
      <c r="BN107" s="234"/>
      <c r="BO107" s="234"/>
      <c r="BP107" s="234"/>
      <c r="BQ107" s="234"/>
      <c r="BR107" s="234"/>
      <c r="BS107" s="234"/>
      <c r="BT107" s="67"/>
      <c r="BU107" s="67"/>
      <c r="BV107" s="67"/>
      <c r="BW107" s="67"/>
      <c r="BX107" s="67"/>
      <c r="BY107" s="67"/>
      <c r="BZ107" s="234"/>
      <c r="CA107" s="234"/>
      <c r="CB107" s="234"/>
      <c r="CC107" s="234"/>
      <c r="CD107" s="234"/>
      <c r="CE107" s="234"/>
      <c r="CF107" s="234"/>
      <c r="CG107" s="234"/>
      <c r="CH107" s="234"/>
      <c r="CI107" s="234"/>
      <c r="CJ107" s="234"/>
      <c r="CK107" s="234"/>
      <c r="CL107" s="234"/>
      <c r="CM107" s="234"/>
      <c r="CN107" s="234"/>
      <c r="CO107" s="234"/>
      <c r="CP107" s="234"/>
      <c r="CQ107" s="234"/>
      <c r="CR107" s="234"/>
      <c r="CS107" s="234"/>
      <c r="CT107" s="234"/>
      <c r="CU107" s="234"/>
      <c r="CV107" s="234"/>
      <c r="CW107" s="234"/>
      <c r="CX107" s="234"/>
      <c r="CY107" s="31"/>
      <c r="CZ107" s="234"/>
      <c r="DA107" s="234"/>
      <c r="DB107" s="234"/>
      <c r="DC107" s="234"/>
      <c r="DD107" s="234"/>
      <c r="DE107" s="234"/>
      <c r="DF107" s="234"/>
      <c r="DG107" s="234"/>
      <c r="DH107" s="234"/>
      <c r="DI107" s="234"/>
      <c r="DJ107" s="234"/>
      <c r="DK107" s="234"/>
      <c r="DL107" s="234"/>
      <c r="DM107" s="234"/>
      <c r="DN107" s="234"/>
      <c r="DO107" s="234"/>
      <c r="DP107" s="234"/>
      <c r="DQ107" s="234"/>
      <c r="DR107" s="234"/>
      <c r="DS107" s="234"/>
      <c r="DT107" s="234"/>
    </row>
    <row r="108" spans="1:124" s="231" customFormat="1" ht="16.5" customHeight="1" x14ac:dyDescent="0.25">
      <c r="A108" s="232"/>
      <c r="B108" s="250"/>
      <c r="E108" s="251"/>
      <c r="F108" s="387">
        <f>G103</f>
        <v>2017</v>
      </c>
      <c r="G108" s="387" t="str">
        <f t="shared" ref="G108:G119" ca="1" si="197">OFFSET($EI$2,$EI$43+ROW(F108)-ROW($F$108),0)</f>
        <v>jan</v>
      </c>
      <c r="H108" s="70"/>
      <c r="I108" s="109">
        <f t="shared" ref="I108:I119" si="198">IF($D$103&gt;0,J108,0)</f>
        <v>0</v>
      </c>
      <c r="J108" s="388"/>
      <c r="K108" s="73"/>
      <c r="L108" s="108">
        <f t="shared" ref="L108:L119" si="199">IF($D$103&gt;1,M108,0)</f>
        <v>0</v>
      </c>
      <c r="M108" s="388"/>
      <c r="N108" s="73"/>
      <c r="O108" s="108">
        <f t="shared" ref="O108:O119" si="200">IF($D$103&gt;2,P108,0)</f>
        <v>0</v>
      </c>
      <c r="P108" s="388"/>
      <c r="Q108" s="73"/>
      <c r="R108" s="73"/>
      <c r="S108" s="73"/>
      <c r="T108" s="73"/>
      <c r="U108" s="73"/>
      <c r="V108" s="73"/>
      <c r="W108" s="232"/>
      <c r="X108" s="233"/>
      <c r="Y108" s="252">
        <f t="shared" si="188"/>
        <v>0</v>
      </c>
      <c r="Z108" s="252">
        <f t="shared" si="183"/>
        <v>0</v>
      </c>
      <c r="AA108" s="252">
        <f t="shared" si="189"/>
        <v>0</v>
      </c>
      <c r="AB108" s="252">
        <f t="shared" si="190"/>
        <v>0</v>
      </c>
      <c r="AC108" s="233"/>
      <c r="AD108" s="252">
        <f>IF(AND('Indata byggnad och BBR krav'!$C$17&gt;0,$D$107="Mäts separat"),(IF($J$104=$AD$101,I111,0)+IF($M$104=$AD$101,L111,0)+IF($P$104=$AD$101,O111,0)),0)</f>
        <v>0</v>
      </c>
      <c r="AE108" s="233"/>
      <c r="AF108" s="252" t="e">
        <f t="shared" ca="1" si="191"/>
        <v>#DIV/0!</v>
      </c>
      <c r="AG108" s="252">
        <f t="shared" si="184"/>
        <v>0</v>
      </c>
      <c r="AH108" s="252">
        <f t="shared" si="185"/>
        <v>0</v>
      </c>
      <c r="AI108" s="259" t="e">
        <f t="shared" ca="1" si="192"/>
        <v>#DIV/0!</v>
      </c>
      <c r="AJ108" s="307" t="e">
        <f t="shared" ca="1" si="193"/>
        <v>#DIV/0!</v>
      </c>
      <c r="AK108" s="366" t="e">
        <f t="shared" ca="1" si="194"/>
        <v>#DIV/0!</v>
      </c>
      <c r="AL108" s="362" t="e">
        <f t="shared" ca="1" si="195"/>
        <v>#DIV/0!</v>
      </c>
      <c r="AM108" s="56" t="str">
        <f t="shared" ca="1" si="186"/>
        <v>apr</v>
      </c>
      <c r="AN108" s="279">
        <f t="shared" ca="1" si="196"/>
        <v>9.8080000000000001E-2</v>
      </c>
      <c r="AO108" s="193" t="e">
        <f t="shared" ca="1" si="187"/>
        <v>#DIV/0!</v>
      </c>
      <c r="AP108" s="233"/>
      <c r="AQ108" s="233"/>
      <c r="AR108" s="233"/>
      <c r="AS108" s="233"/>
      <c r="AT108" s="233"/>
      <c r="AU108" s="233"/>
      <c r="AV108" s="233"/>
      <c r="AW108" s="233"/>
      <c r="AX108" s="233"/>
      <c r="AY108" s="234"/>
      <c r="AZ108" s="234"/>
      <c r="BA108" s="234"/>
      <c r="BB108" s="52" t="str">
        <f>BB104</f>
        <v>El</v>
      </c>
      <c r="BC108" s="52" t="str">
        <f>BC104</f>
        <v/>
      </c>
      <c r="BD108" s="52" t="str">
        <f>BD104</f>
        <v/>
      </c>
      <c r="BE108" s="52" t="s">
        <v>1094</v>
      </c>
      <c r="BF108" s="234"/>
      <c r="BG108" s="234"/>
      <c r="BH108" s="234"/>
      <c r="BI108" s="234"/>
      <c r="BJ108" s="234"/>
      <c r="BK108" s="234"/>
      <c r="BL108" s="52" t="str">
        <f>BL104</f>
        <v>El</v>
      </c>
      <c r="BM108" s="52" t="str">
        <f t="shared" ref="BM108:BN108" si="201">BM104</f>
        <v/>
      </c>
      <c r="BN108" s="52" t="str">
        <f t="shared" si="201"/>
        <v/>
      </c>
      <c r="BO108" s="52" t="s">
        <v>1094</v>
      </c>
      <c r="BP108" s="234"/>
      <c r="BQ108" s="234"/>
      <c r="BR108" s="234"/>
      <c r="BS108" s="234"/>
      <c r="BT108" s="67"/>
      <c r="BU108" s="67"/>
      <c r="BV108" s="67"/>
      <c r="BW108" s="67"/>
      <c r="BX108" s="67"/>
      <c r="BY108" s="67"/>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31"/>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row>
    <row r="109" spans="1:124" s="231" customFormat="1" ht="16.5" customHeight="1" x14ac:dyDescent="0.25">
      <c r="A109" s="232"/>
      <c r="B109" s="250"/>
      <c r="C109" s="55" t="s">
        <v>1266</v>
      </c>
      <c r="D109" s="368"/>
      <c r="E109" s="232"/>
      <c r="F109" s="387">
        <f ca="1">IF(G109="jan",F108+1,F108)</f>
        <v>2017</v>
      </c>
      <c r="G109" s="387" t="str">
        <f t="shared" ca="1" si="197"/>
        <v>feb</v>
      </c>
      <c r="H109" s="70"/>
      <c r="I109" s="109">
        <f t="shared" si="198"/>
        <v>0</v>
      </c>
      <c r="J109" s="388"/>
      <c r="K109" s="73"/>
      <c r="L109" s="108">
        <f t="shared" si="199"/>
        <v>0</v>
      </c>
      <c r="M109" s="388"/>
      <c r="N109" s="73"/>
      <c r="O109" s="108">
        <f t="shared" si="200"/>
        <v>0</v>
      </c>
      <c r="P109" s="388"/>
      <c r="Q109" s="73"/>
      <c r="R109" s="73"/>
      <c r="S109" s="73"/>
      <c r="T109" s="73"/>
      <c r="U109" s="73"/>
      <c r="V109" s="73"/>
      <c r="W109" s="232"/>
      <c r="X109" s="233"/>
      <c r="Y109" s="252">
        <f t="shared" si="188"/>
        <v>0</v>
      </c>
      <c r="Z109" s="252">
        <f t="shared" si="183"/>
        <v>0</v>
      </c>
      <c r="AA109" s="252">
        <f t="shared" si="189"/>
        <v>0</v>
      </c>
      <c r="AB109" s="252">
        <f t="shared" si="190"/>
        <v>0</v>
      </c>
      <c r="AC109" s="233"/>
      <c r="AD109" s="252">
        <f>IF(AND('Indata byggnad och BBR krav'!$C$17&gt;0,$D$107="Mäts separat"),(IF($J$104=$AD$101,I112,0)+IF($M$104=$AD$101,L112,0)+IF($P$104=$AD$101,O112,0)),0)</f>
        <v>0</v>
      </c>
      <c r="AE109" s="233"/>
      <c r="AF109" s="252" t="e">
        <f t="shared" ca="1" si="191"/>
        <v>#DIV/0!</v>
      </c>
      <c r="AG109" s="252">
        <f t="shared" si="184"/>
        <v>0</v>
      </c>
      <c r="AH109" s="252">
        <f t="shared" si="185"/>
        <v>0</v>
      </c>
      <c r="AI109" s="259" t="e">
        <f t="shared" ca="1" si="192"/>
        <v>#DIV/0!</v>
      </c>
      <c r="AJ109" s="307" t="e">
        <f t="shared" ca="1" si="193"/>
        <v>#DIV/0!</v>
      </c>
      <c r="AK109" s="366" t="e">
        <f t="shared" ca="1" si="194"/>
        <v>#DIV/0!</v>
      </c>
      <c r="AL109" s="362" t="e">
        <f t="shared" ca="1" si="195"/>
        <v>#DIV/0!</v>
      </c>
      <c r="AM109" s="56" t="str">
        <f t="shared" ca="1" si="186"/>
        <v>maj</v>
      </c>
      <c r="AN109" s="279">
        <f t="shared" ca="1" si="196"/>
        <v>6.8420000000000009E-2</v>
      </c>
      <c r="AO109" s="193" t="e">
        <f t="shared" ca="1" si="187"/>
        <v>#DIV/0!</v>
      </c>
      <c r="AP109" s="233"/>
      <c r="AQ109" s="233"/>
      <c r="AR109" s="233"/>
      <c r="AS109" s="233"/>
      <c r="AT109" s="233"/>
      <c r="AU109" s="233"/>
      <c r="AV109" s="233"/>
      <c r="AW109" s="233"/>
      <c r="AX109" s="233"/>
      <c r="AY109" s="234"/>
      <c r="AZ109" s="234"/>
      <c r="BA109" s="234"/>
      <c r="BB109" s="47" t="e">
        <f t="shared" ref="BB109:BB120" ca="1" si="202">AF105</f>
        <v>#DIV/0!</v>
      </c>
      <c r="BC109" s="47">
        <f t="shared" ref="BC109:BC120" si="203">AG105</f>
        <v>0</v>
      </c>
      <c r="BD109" s="47">
        <f t="shared" ref="BD109:BD120" si="204">AH105</f>
        <v>0</v>
      </c>
      <c r="BE109" s="47" t="e">
        <f ca="1">BB109+BC109+BD109</f>
        <v>#DIV/0!</v>
      </c>
      <c r="BF109" s="234"/>
      <c r="BG109" s="234"/>
      <c r="BH109" s="234"/>
      <c r="BI109" s="234"/>
      <c r="BJ109" s="234"/>
      <c r="BK109" s="234"/>
      <c r="BL109" s="47" t="e">
        <f t="shared" ref="BL109:BL120" ca="1" si="205">AF105</f>
        <v>#DIV/0!</v>
      </c>
      <c r="BM109" s="47">
        <f t="shared" ref="BM109:BM120" si="206">AG105</f>
        <v>0</v>
      </c>
      <c r="BN109" s="47">
        <f t="shared" ref="BN109:BN120" si="207">AH105</f>
        <v>0</v>
      </c>
      <c r="BO109" s="47" t="e">
        <f ca="1">BL109+BM109+BN109</f>
        <v>#DIV/0!</v>
      </c>
      <c r="BP109" s="234"/>
      <c r="BQ109" s="234"/>
      <c r="BR109" s="234"/>
      <c r="BS109" s="234"/>
      <c r="BT109" s="67"/>
      <c r="BU109" s="67"/>
      <c r="BV109" s="67"/>
      <c r="BW109" s="67"/>
      <c r="BX109" s="67"/>
      <c r="BY109" s="67"/>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31"/>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row>
    <row r="110" spans="1:124" s="231" customFormat="1" ht="16.5" customHeight="1" x14ac:dyDescent="0.25">
      <c r="A110" s="232"/>
      <c r="B110" s="250"/>
      <c r="C110" s="55" t="s">
        <v>1275</v>
      </c>
      <c r="D110" s="393" t="e">
        <f>D109*1000/'Indata byggnad och BBR krav'!$C$16*'Indata byggnad och BBR krav'!$C$17/100</f>
        <v>#DIV/0!</v>
      </c>
      <c r="E110" s="232"/>
      <c r="F110" s="387">
        <f t="shared" ref="F110:F119" ca="1" si="208">IF(G110="jan",F109+1,F109)</f>
        <v>2017</v>
      </c>
      <c r="G110" s="387" t="str">
        <f t="shared" ca="1" si="197"/>
        <v>mars</v>
      </c>
      <c r="H110" s="70"/>
      <c r="I110" s="109">
        <f t="shared" si="198"/>
        <v>0</v>
      </c>
      <c r="J110" s="388"/>
      <c r="K110" s="73"/>
      <c r="L110" s="108">
        <f t="shared" si="199"/>
        <v>0</v>
      </c>
      <c r="M110" s="388"/>
      <c r="N110" s="73"/>
      <c r="O110" s="108">
        <f t="shared" si="200"/>
        <v>0</v>
      </c>
      <c r="P110" s="388"/>
      <c r="Q110" s="73"/>
      <c r="R110" s="73"/>
      <c r="S110" s="73"/>
      <c r="T110" s="73"/>
      <c r="U110" s="73"/>
      <c r="V110" s="73"/>
      <c r="W110" s="232"/>
      <c r="X110" s="233"/>
      <c r="Y110" s="252">
        <f t="shared" si="188"/>
        <v>0</v>
      </c>
      <c r="Z110" s="252">
        <f t="shared" si="183"/>
        <v>0</v>
      </c>
      <c r="AA110" s="252">
        <f t="shared" si="189"/>
        <v>0</v>
      </c>
      <c r="AB110" s="252">
        <f t="shared" si="190"/>
        <v>0</v>
      </c>
      <c r="AC110" s="233"/>
      <c r="AD110" s="252">
        <f>IF(AND('Indata byggnad och BBR krav'!$C$17&gt;0,$D$107="Mäts separat"),(IF($J$104=$AD$101,I113,0)+IF($M$104=$AD$101,L113,0)+IF($P$104=$AD$101,O113,0)),0)</f>
        <v>0</v>
      </c>
      <c r="AE110" s="233"/>
      <c r="AF110" s="252" t="e">
        <f t="shared" ca="1" si="191"/>
        <v>#DIV/0!</v>
      </c>
      <c r="AG110" s="252">
        <f t="shared" si="184"/>
        <v>0</v>
      </c>
      <c r="AH110" s="252">
        <f t="shared" si="185"/>
        <v>0</v>
      </c>
      <c r="AI110" s="259" t="e">
        <f t="shared" ca="1" si="192"/>
        <v>#DIV/0!</v>
      </c>
      <c r="AJ110" s="307" t="e">
        <f t="shared" ca="1" si="193"/>
        <v>#DIV/0!</v>
      </c>
      <c r="AK110" s="366" t="e">
        <f t="shared" ca="1" si="194"/>
        <v>#DIV/0!</v>
      </c>
      <c r="AL110" s="362" t="e">
        <f t="shared" ca="1" si="195"/>
        <v>#DIV/0!</v>
      </c>
      <c r="AM110" s="56" t="str">
        <f t="shared" ca="1" si="186"/>
        <v xml:space="preserve">jun </v>
      </c>
      <c r="AN110" s="279">
        <f t="shared" ca="1" si="196"/>
        <v>4.113E-2</v>
      </c>
      <c r="AO110" s="193" t="e">
        <f t="shared" ca="1" si="187"/>
        <v>#DIV/0!</v>
      </c>
      <c r="AP110" s="233"/>
      <c r="AQ110" s="233"/>
      <c r="AR110" s="233"/>
      <c r="AS110" s="233"/>
      <c r="AT110" s="233"/>
      <c r="AU110" s="233"/>
      <c r="AV110" s="233"/>
      <c r="AW110" s="233"/>
      <c r="AX110" s="233"/>
      <c r="AY110" s="234"/>
      <c r="AZ110" s="234"/>
      <c r="BA110" s="234"/>
      <c r="BB110" s="85" t="e">
        <f t="shared" ca="1" si="202"/>
        <v>#DIV/0!</v>
      </c>
      <c r="BC110" s="85">
        <f t="shared" si="203"/>
        <v>0</v>
      </c>
      <c r="BD110" s="85">
        <f t="shared" si="204"/>
        <v>0</v>
      </c>
      <c r="BE110" s="47" t="e">
        <f t="shared" ref="BE110:BE120" ca="1" si="209">BB110+BC110+BD110</f>
        <v>#DIV/0!</v>
      </c>
      <c r="BF110" s="234"/>
      <c r="BG110" s="234"/>
      <c r="BH110" s="234"/>
      <c r="BI110" s="234"/>
      <c r="BJ110" s="234"/>
      <c r="BK110" s="234"/>
      <c r="BL110" s="47" t="e">
        <f t="shared" ca="1" si="205"/>
        <v>#DIV/0!</v>
      </c>
      <c r="BM110" s="47">
        <f t="shared" si="206"/>
        <v>0</v>
      </c>
      <c r="BN110" s="47">
        <f t="shared" si="207"/>
        <v>0</v>
      </c>
      <c r="BO110" s="47" t="e">
        <f t="shared" ref="BO110:BO120" ca="1" si="210">BL110+BM110+BN110</f>
        <v>#DIV/0!</v>
      </c>
      <c r="BP110" s="234"/>
      <c r="BQ110" s="234"/>
      <c r="BR110" s="234"/>
      <c r="BS110" s="234"/>
      <c r="BT110" s="67"/>
      <c r="BU110" s="67"/>
      <c r="BV110" s="67"/>
      <c r="BW110" s="67"/>
      <c r="BX110" s="67"/>
      <c r="BY110" s="67"/>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31"/>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c r="DT110" s="234"/>
    </row>
    <row r="111" spans="1:124" s="231" customFormat="1" ht="16.5" customHeight="1" x14ac:dyDescent="0.25">
      <c r="A111" s="232"/>
      <c r="B111" s="250"/>
      <c r="C111" s="217" t="s">
        <v>1356</v>
      </c>
      <c r="D111" s="250"/>
      <c r="E111" s="232"/>
      <c r="F111" s="387">
        <f t="shared" ca="1" si="208"/>
        <v>2017</v>
      </c>
      <c r="G111" s="387" t="str">
        <f t="shared" ca="1" si="197"/>
        <v>apr</v>
      </c>
      <c r="H111" s="70"/>
      <c r="I111" s="109">
        <f t="shared" si="198"/>
        <v>0</v>
      </c>
      <c r="J111" s="388"/>
      <c r="K111" s="73"/>
      <c r="L111" s="108">
        <f t="shared" si="199"/>
        <v>0</v>
      </c>
      <c r="M111" s="388"/>
      <c r="N111" s="73"/>
      <c r="O111" s="108">
        <f t="shared" si="200"/>
        <v>0</v>
      </c>
      <c r="P111" s="388"/>
      <c r="Q111" s="73"/>
      <c r="R111" s="73"/>
      <c r="S111" s="73"/>
      <c r="T111" s="73"/>
      <c r="U111" s="73"/>
      <c r="V111" s="73"/>
      <c r="W111" s="232"/>
      <c r="X111" s="233"/>
      <c r="Y111" s="252">
        <f t="shared" si="188"/>
        <v>0</v>
      </c>
      <c r="Z111" s="252">
        <f t="shared" si="183"/>
        <v>0</v>
      </c>
      <c r="AA111" s="252">
        <f t="shared" si="189"/>
        <v>0</v>
      </c>
      <c r="AB111" s="252">
        <f t="shared" si="190"/>
        <v>0</v>
      </c>
      <c r="AC111" s="233"/>
      <c r="AD111" s="252">
        <f>IF(AND('Indata byggnad och BBR krav'!$C$17&gt;0,$D$107="Mäts separat"),(IF($J$104=$AD$101,I114,0)+IF($M$104=$AD$101,L114,0)+IF($P$104=$AD$101,O114,0)),0)</f>
        <v>0</v>
      </c>
      <c r="AE111" s="233"/>
      <c r="AF111" s="252" t="e">
        <f t="shared" ca="1" si="191"/>
        <v>#DIV/0!</v>
      </c>
      <c r="AG111" s="252">
        <f t="shared" si="184"/>
        <v>0</v>
      </c>
      <c r="AH111" s="252">
        <f t="shared" si="185"/>
        <v>0</v>
      </c>
      <c r="AI111" s="259" t="e">
        <f t="shared" ca="1" si="192"/>
        <v>#DIV/0!</v>
      </c>
      <c r="AJ111" s="307" t="e">
        <f t="shared" ca="1" si="193"/>
        <v>#DIV/0!</v>
      </c>
      <c r="AK111" s="366" t="e">
        <f t="shared" ca="1" si="194"/>
        <v>#DIV/0!</v>
      </c>
      <c r="AL111" s="362" t="e">
        <f t="shared" ca="1" si="195"/>
        <v>#DIV/0!</v>
      </c>
      <c r="AM111" s="56" t="str">
        <f t="shared" ca="1" si="186"/>
        <v>jul</v>
      </c>
      <c r="AN111" s="279">
        <f t="shared" ca="1" si="196"/>
        <v>3.0960000000000001E-2</v>
      </c>
      <c r="AO111" s="193" t="e">
        <f t="shared" ca="1" si="187"/>
        <v>#DIV/0!</v>
      </c>
      <c r="AP111" s="233"/>
      <c r="AQ111" s="233"/>
      <c r="AR111" s="233"/>
      <c r="AS111" s="233"/>
      <c r="AT111" s="233"/>
      <c r="AU111" s="233"/>
      <c r="AV111" s="233"/>
      <c r="AW111" s="233"/>
      <c r="AX111" s="233"/>
      <c r="AY111" s="234"/>
      <c r="AZ111" s="234"/>
      <c r="BA111" s="234"/>
      <c r="BB111" s="85" t="e">
        <f t="shared" ca="1" si="202"/>
        <v>#DIV/0!</v>
      </c>
      <c r="BC111" s="85">
        <f t="shared" si="203"/>
        <v>0</v>
      </c>
      <c r="BD111" s="85">
        <f t="shared" si="204"/>
        <v>0</v>
      </c>
      <c r="BE111" s="47" t="e">
        <f t="shared" ca="1" si="209"/>
        <v>#DIV/0!</v>
      </c>
      <c r="BF111" s="234"/>
      <c r="BG111" s="234"/>
      <c r="BH111" s="234"/>
      <c r="BI111" s="234"/>
      <c r="BJ111" s="234"/>
      <c r="BK111" s="234"/>
      <c r="BL111" s="47" t="e">
        <f t="shared" ca="1" si="205"/>
        <v>#DIV/0!</v>
      </c>
      <c r="BM111" s="47">
        <f t="shared" si="206"/>
        <v>0</v>
      </c>
      <c r="BN111" s="47">
        <f t="shared" si="207"/>
        <v>0</v>
      </c>
      <c r="BO111" s="47" t="e">
        <f t="shared" ca="1" si="210"/>
        <v>#DIV/0!</v>
      </c>
      <c r="BP111" s="234"/>
      <c r="BQ111" s="234"/>
      <c r="BR111" s="234"/>
      <c r="BS111" s="234"/>
      <c r="BT111" s="67"/>
      <c r="BU111" s="67"/>
      <c r="BV111" s="67"/>
      <c r="BW111" s="67"/>
      <c r="BX111" s="67"/>
      <c r="BY111" s="67"/>
      <c r="BZ111" s="234"/>
      <c r="CA111" s="234"/>
      <c r="CB111" s="234"/>
      <c r="CC111" s="234"/>
      <c r="CD111" s="234"/>
      <c r="CE111" s="234"/>
      <c r="CF111" s="234"/>
      <c r="CG111" s="234"/>
      <c r="CH111" s="234"/>
      <c r="CI111" s="234"/>
      <c r="CJ111" s="234"/>
      <c r="CK111" s="234"/>
      <c r="CL111" s="234"/>
      <c r="CM111" s="234"/>
      <c r="CN111" s="234"/>
      <c r="CO111" s="234"/>
      <c r="CP111" s="234"/>
      <c r="CQ111" s="234"/>
      <c r="CR111" s="234"/>
      <c r="CS111" s="234"/>
      <c r="CT111" s="234"/>
      <c r="CU111" s="234"/>
      <c r="CV111" s="234"/>
      <c r="CW111" s="234"/>
      <c r="CX111" s="234"/>
      <c r="CY111" s="31"/>
      <c r="CZ111" s="234"/>
      <c r="DA111" s="234"/>
      <c r="DB111" s="234"/>
      <c r="DC111" s="234"/>
      <c r="DD111" s="234"/>
      <c r="DE111" s="234"/>
      <c r="DF111" s="234"/>
      <c r="DG111" s="234"/>
      <c r="DH111" s="234"/>
      <c r="DI111" s="234"/>
      <c r="DJ111" s="234"/>
      <c r="DK111" s="234"/>
      <c r="DL111" s="234"/>
      <c r="DM111" s="234"/>
      <c r="DN111" s="234"/>
      <c r="DO111" s="234"/>
      <c r="DP111" s="234"/>
      <c r="DQ111" s="234"/>
      <c r="DR111" s="234"/>
      <c r="DS111" s="234"/>
      <c r="DT111" s="234"/>
    </row>
    <row r="112" spans="1:124" s="231" customFormat="1" ht="16.5" customHeight="1" x14ac:dyDescent="0.25">
      <c r="A112" s="232"/>
      <c r="B112" s="250"/>
      <c r="C112" s="512"/>
      <c r="D112" s="513"/>
      <c r="E112" s="232"/>
      <c r="F112" s="387">
        <f t="shared" ca="1" si="208"/>
        <v>2017</v>
      </c>
      <c r="G112" s="387" t="str">
        <f t="shared" ca="1" si="197"/>
        <v>maj</v>
      </c>
      <c r="H112" s="70"/>
      <c r="I112" s="109">
        <f t="shared" si="198"/>
        <v>0</v>
      </c>
      <c r="J112" s="388"/>
      <c r="K112" s="73"/>
      <c r="L112" s="108">
        <f t="shared" si="199"/>
        <v>0</v>
      </c>
      <c r="M112" s="388"/>
      <c r="N112" s="73"/>
      <c r="O112" s="108">
        <f t="shared" si="200"/>
        <v>0</v>
      </c>
      <c r="P112" s="388"/>
      <c r="Q112" s="73"/>
      <c r="R112" s="73"/>
      <c r="S112" s="73"/>
      <c r="T112" s="73"/>
      <c r="U112" s="73"/>
      <c r="V112" s="73"/>
      <c r="W112" s="232"/>
      <c r="X112" s="233"/>
      <c r="Y112" s="252">
        <f t="shared" si="188"/>
        <v>0</v>
      </c>
      <c r="Z112" s="252">
        <f t="shared" si="183"/>
        <v>0</v>
      </c>
      <c r="AA112" s="252">
        <f t="shared" si="189"/>
        <v>0</v>
      </c>
      <c r="AB112" s="252">
        <f t="shared" si="190"/>
        <v>0</v>
      </c>
      <c r="AC112" s="233"/>
      <c r="AD112" s="252">
        <f>IF(AND('Indata byggnad och BBR krav'!$C$17&gt;0,$D$107="Mäts separat"),(IF($J$104=$AD$101,I115,0)+IF($M$104=$AD$101,L115,0)+IF($P$104=$AD$101,O115,0)),0)</f>
        <v>0</v>
      </c>
      <c r="AE112" s="233"/>
      <c r="AF112" s="252" t="e">
        <f t="shared" ca="1" si="191"/>
        <v>#DIV/0!</v>
      </c>
      <c r="AG112" s="252">
        <f t="shared" si="184"/>
        <v>0</v>
      </c>
      <c r="AH112" s="252">
        <f t="shared" si="185"/>
        <v>0</v>
      </c>
      <c r="AI112" s="259" t="e">
        <f t="shared" ca="1" si="192"/>
        <v>#DIV/0!</v>
      </c>
      <c r="AJ112" s="307" t="e">
        <f t="shared" ca="1" si="193"/>
        <v>#DIV/0!</v>
      </c>
      <c r="AK112" s="366" t="e">
        <f t="shared" ca="1" si="194"/>
        <v>#DIV/0!</v>
      </c>
      <c r="AL112" s="362" t="e">
        <f t="shared" ca="1" si="195"/>
        <v>#DIV/0!</v>
      </c>
      <c r="AM112" s="56" t="str">
        <f t="shared" ca="1" si="186"/>
        <v>aug</v>
      </c>
      <c r="AN112" s="279">
        <f t="shared" ca="1" si="196"/>
        <v>3.347E-2</v>
      </c>
      <c r="AO112" s="193" t="e">
        <f t="shared" ca="1" si="187"/>
        <v>#DIV/0!</v>
      </c>
      <c r="AP112" s="233"/>
      <c r="AQ112" s="233"/>
      <c r="AR112" s="233"/>
      <c r="AS112" s="233"/>
      <c r="AT112" s="233"/>
      <c r="AU112" s="233"/>
      <c r="AV112" s="233"/>
      <c r="AW112" s="233"/>
      <c r="AX112" s="233"/>
      <c r="AY112" s="234"/>
      <c r="AZ112" s="234"/>
      <c r="BA112" s="234"/>
      <c r="BB112" s="85" t="e">
        <f t="shared" ca="1" si="202"/>
        <v>#DIV/0!</v>
      </c>
      <c r="BC112" s="85">
        <f t="shared" si="203"/>
        <v>0</v>
      </c>
      <c r="BD112" s="85">
        <f t="shared" si="204"/>
        <v>0</v>
      </c>
      <c r="BE112" s="47" t="e">
        <f t="shared" ca="1" si="209"/>
        <v>#DIV/0!</v>
      </c>
      <c r="BF112" s="234"/>
      <c r="BG112" s="234"/>
      <c r="BH112" s="234"/>
      <c r="BI112" s="234"/>
      <c r="BJ112" s="234"/>
      <c r="BK112" s="234"/>
      <c r="BL112" s="47" t="e">
        <f t="shared" ca="1" si="205"/>
        <v>#DIV/0!</v>
      </c>
      <c r="BM112" s="47">
        <f t="shared" si="206"/>
        <v>0</v>
      </c>
      <c r="BN112" s="47">
        <f t="shared" si="207"/>
        <v>0</v>
      </c>
      <c r="BO112" s="47" t="e">
        <f t="shared" ca="1" si="210"/>
        <v>#DIV/0!</v>
      </c>
      <c r="BP112" s="234"/>
      <c r="BQ112" s="234"/>
      <c r="BR112" s="234"/>
      <c r="BS112" s="234"/>
      <c r="BT112" s="67"/>
      <c r="BU112" s="67"/>
      <c r="BV112" s="67"/>
      <c r="BW112" s="67"/>
      <c r="BX112" s="67"/>
      <c r="BY112" s="67"/>
      <c r="BZ112" s="234"/>
      <c r="CA112" s="234"/>
      <c r="CB112" s="234"/>
      <c r="CC112" s="234"/>
      <c r="CD112" s="234"/>
      <c r="CE112" s="234"/>
      <c r="CF112" s="234"/>
      <c r="CG112" s="234"/>
      <c r="CH112" s="234"/>
      <c r="CI112" s="234"/>
      <c r="CJ112" s="234"/>
      <c r="CK112" s="234"/>
      <c r="CL112" s="234"/>
      <c r="CM112" s="234"/>
      <c r="CN112" s="234"/>
      <c r="CO112" s="234"/>
      <c r="CP112" s="234"/>
      <c r="CQ112" s="234"/>
      <c r="CR112" s="234"/>
      <c r="CS112" s="234"/>
      <c r="CT112" s="234"/>
      <c r="CU112" s="234"/>
      <c r="CV112" s="234"/>
      <c r="CW112" s="234"/>
      <c r="CX112" s="234"/>
      <c r="CY112" s="31"/>
      <c r="CZ112" s="234"/>
      <c r="DA112" s="234"/>
      <c r="DB112" s="234"/>
      <c r="DC112" s="234"/>
      <c r="DD112" s="234"/>
      <c r="DE112" s="234"/>
      <c r="DF112" s="234"/>
      <c r="DG112" s="234"/>
      <c r="DH112" s="234"/>
      <c r="DI112" s="234"/>
      <c r="DJ112" s="234"/>
      <c r="DK112" s="234"/>
      <c r="DL112" s="234"/>
      <c r="DM112" s="234"/>
      <c r="DN112" s="234"/>
      <c r="DO112" s="234"/>
      <c r="DP112" s="234"/>
      <c r="DQ112" s="234"/>
      <c r="DR112" s="234"/>
      <c r="DS112" s="234"/>
      <c r="DT112" s="234"/>
    </row>
    <row r="113" spans="1:124" s="231" customFormat="1" ht="16.5" customHeight="1" x14ac:dyDescent="0.25">
      <c r="A113" s="232"/>
      <c r="B113" s="250"/>
      <c r="C113" s="514"/>
      <c r="D113" s="515"/>
      <c r="E113" s="232"/>
      <c r="F113" s="387">
        <f t="shared" ca="1" si="208"/>
        <v>2017</v>
      </c>
      <c r="G113" s="387" t="str">
        <f t="shared" ca="1" si="197"/>
        <v xml:space="preserve">jun </v>
      </c>
      <c r="H113" s="70"/>
      <c r="I113" s="109">
        <f t="shared" si="198"/>
        <v>0</v>
      </c>
      <c r="J113" s="388"/>
      <c r="K113" s="73"/>
      <c r="L113" s="108">
        <f t="shared" si="199"/>
        <v>0</v>
      </c>
      <c r="M113" s="388"/>
      <c r="N113" s="73"/>
      <c r="O113" s="108">
        <f t="shared" si="200"/>
        <v>0</v>
      </c>
      <c r="P113" s="388"/>
      <c r="Q113" s="73"/>
      <c r="R113" s="73"/>
      <c r="S113" s="73"/>
      <c r="T113" s="73"/>
      <c r="U113" s="73"/>
      <c r="V113" s="73"/>
      <c r="W113" s="232"/>
      <c r="X113" s="233"/>
      <c r="Y113" s="252">
        <f t="shared" si="188"/>
        <v>0</v>
      </c>
      <c r="Z113" s="252">
        <f t="shared" si="183"/>
        <v>0</v>
      </c>
      <c r="AA113" s="252">
        <f t="shared" si="189"/>
        <v>0</v>
      </c>
      <c r="AB113" s="252">
        <f t="shared" si="190"/>
        <v>0</v>
      </c>
      <c r="AC113" s="233"/>
      <c r="AD113" s="252">
        <f>IF(AND('Indata byggnad och BBR krav'!$C$17&gt;0,$D$107="Mäts separat"),(IF($J$104=$AD$101,I116,0)+IF($M$104=$AD$101,L116,0)+IF($P$104=$AD$101,O116,0)),0)</f>
        <v>0</v>
      </c>
      <c r="AE113" s="233"/>
      <c r="AF113" s="252" t="e">
        <f t="shared" ca="1" si="191"/>
        <v>#DIV/0!</v>
      </c>
      <c r="AG113" s="252">
        <f t="shared" si="184"/>
        <v>0</v>
      </c>
      <c r="AH113" s="252">
        <f t="shared" si="185"/>
        <v>0</v>
      </c>
      <c r="AI113" s="259" t="e">
        <f t="shared" ca="1" si="192"/>
        <v>#DIV/0!</v>
      </c>
      <c r="AJ113" s="307" t="e">
        <f t="shared" ca="1" si="193"/>
        <v>#DIV/0!</v>
      </c>
      <c r="AK113" s="366" t="e">
        <f t="shared" ca="1" si="194"/>
        <v>#DIV/0!</v>
      </c>
      <c r="AL113" s="362" t="e">
        <f t="shared" ca="1" si="195"/>
        <v>#DIV/0!</v>
      </c>
      <c r="AM113" s="56" t="str">
        <f t="shared" ca="1" si="186"/>
        <v>sept</v>
      </c>
      <c r="AN113" s="279">
        <f t="shared" ca="1" si="196"/>
        <v>5.4630000000000005E-2</v>
      </c>
      <c r="AO113" s="193" t="e">
        <f t="shared" ca="1" si="187"/>
        <v>#DIV/0!</v>
      </c>
      <c r="AP113" s="233"/>
      <c r="AQ113" s="233"/>
      <c r="AR113" s="233"/>
      <c r="AS113" s="233"/>
      <c r="AT113" s="233"/>
      <c r="AU113" s="233"/>
      <c r="AV113" s="233"/>
      <c r="AW113" s="233"/>
      <c r="AX113" s="233"/>
      <c r="AY113" s="234"/>
      <c r="AZ113" s="234"/>
      <c r="BA113" s="234"/>
      <c r="BB113" s="85" t="e">
        <f t="shared" ca="1" si="202"/>
        <v>#DIV/0!</v>
      </c>
      <c r="BC113" s="85">
        <f t="shared" si="203"/>
        <v>0</v>
      </c>
      <c r="BD113" s="85">
        <f t="shared" si="204"/>
        <v>0</v>
      </c>
      <c r="BE113" s="47" t="e">
        <f t="shared" ca="1" si="209"/>
        <v>#DIV/0!</v>
      </c>
      <c r="BF113" s="234"/>
      <c r="BG113" s="234"/>
      <c r="BH113" s="234"/>
      <c r="BI113" s="234"/>
      <c r="BJ113" s="234"/>
      <c r="BK113" s="234"/>
      <c r="BL113" s="47" t="e">
        <f t="shared" ca="1" si="205"/>
        <v>#DIV/0!</v>
      </c>
      <c r="BM113" s="47">
        <f t="shared" si="206"/>
        <v>0</v>
      </c>
      <c r="BN113" s="47">
        <f t="shared" si="207"/>
        <v>0</v>
      </c>
      <c r="BO113" s="47" t="e">
        <f t="shared" ca="1" si="210"/>
        <v>#DIV/0!</v>
      </c>
      <c r="BP113" s="234"/>
      <c r="BQ113" s="234"/>
      <c r="BR113" s="234"/>
      <c r="BS113" s="234"/>
      <c r="BT113" s="67"/>
      <c r="BU113" s="67"/>
      <c r="BV113" s="67"/>
      <c r="BW113" s="67"/>
      <c r="BX113" s="67"/>
      <c r="BY113" s="67"/>
      <c r="BZ113" s="234"/>
      <c r="CA113" s="234"/>
      <c r="CB113" s="234"/>
      <c r="CC113" s="234"/>
      <c r="CD113" s="234"/>
      <c r="CE113" s="234"/>
      <c r="CF113" s="234"/>
      <c r="CG113" s="234"/>
      <c r="CH113" s="234"/>
      <c r="CI113" s="234"/>
      <c r="CJ113" s="234"/>
      <c r="CK113" s="234"/>
      <c r="CL113" s="234"/>
      <c r="CM113" s="234"/>
      <c r="CN113" s="234"/>
      <c r="CO113" s="234"/>
      <c r="CP113" s="234"/>
      <c r="CQ113" s="234"/>
      <c r="CR113" s="234"/>
      <c r="CS113" s="234"/>
      <c r="CT113" s="234"/>
      <c r="CU113" s="234"/>
      <c r="CV113" s="234"/>
      <c r="CW113" s="234"/>
      <c r="CX113" s="234"/>
      <c r="CY113" s="31"/>
      <c r="CZ113" s="234"/>
      <c r="DA113" s="234"/>
      <c r="DB113" s="234"/>
      <c r="DC113" s="234"/>
      <c r="DD113" s="234"/>
      <c r="DE113" s="234"/>
      <c r="DF113" s="234"/>
      <c r="DG113" s="234"/>
      <c r="DH113" s="234"/>
      <c r="DI113" s="234"/>
      <c r="DJ113" s="234"/>
      <c r="DK113" s="234"/>
      <c r="DL113" s="234"/>
      <c r="DM113" s="234"/>
      <c r="DN113" s="234"/>
      <c r="DO113" s="234"/>
      <c r="DP113" s="234"/>
      <c r="DQ113" s="234"/>
      <c r="DR113" s="234"/>
      <c r="DS113" s="234"/>
      <c r="DT113" s="234"/>
    </row>
    <row r="114" spans="1:124" s="231" customFormat="1" ht="16.5" customHeight="1" x14ac:dyDescent="0.25">
      <c r="A114" s="232"/>
      <c r="B114" s="250"/>
      <c r="C114" s="516"/>
      <c r="D114" s="517"/>
      <c r="E114" s="232"/>
      <c r="F114" s="387">
        <f t="shared" ca="1" si="208"/>
        <v>2017</v>
      </c>
      <c r="G114" s="387" t="str">
        <f t="shared" ca="1" si="197"/>
        <v>jul</v>
      </c>
      <c r="H114" s="70"/>
      <c r="I114" s="109">
        <f t="shared" si="198"/>
        <v>0</v>
      </c>
      <c r="J114" s="388"/>
      <c r="K114" s="73"/>
      <c r="L114" s="108">
        <f t="shared" si="199"/>
        <v>0</v>
      </c>
      <c r="M114" s="388"/>
      <c r="N114" s="73"/>
      <c r="O114" s="108">
        <f t="shared" si="200"/>
        <v>0</v>
      </c>
      <c r="P114" s="388"/>
      <c r="Q114" s="73"/>
      <c r="R114" s="73"/>
      <c r="S114" s="73"/>
      <c r="T114" s="73"/>
      <c r="U114" s="73"/>
      <c r="V114" s="73"/>
      <c r="W114" s="232"/>
      <c r="X114" s="233"/>
      <c r="Y114" s="252">
        <f t="shared" si="188"/>
        <v>0</v>
      </c>
      <c r="Z114" s="252">
        <f t="shared" si="183"/>
        <v>0</v>
      </c>
      <c r="AA114" s="252">
        <f t="shared" si="189"/>
        <v>0</v>
      </c>
      <c r="AB114" s="252">
        <f t="shared" si="190"/>
        <v>0</v>
      </c>
      <c r="AC114" s="233"/>
      <c r="AD114" s="252">
        <f>IF(AND('Indata byggnad och BBR krav'!$C$17&gt;0,$D$107="Mäts separat"),(IF($J$104=$AD$101,I117,0)+IF($M$104=$AD$101,L117,0)+IF($P$104=$AD$101,O117,0)),0)</f>
        <v>0</v>
      </c>
      <c r="AE114" s="233"/>
      <c r="AF114" s="252" t="e">
        <f t="shared" ca="1" si="191"/>
        <v>#DIV/0!</v>
      </c>
      <c r="AG114" s="252">
        <f t="shared" si="184"/>
        <v>0</v>
      </c>
      <c r="AH114" s="252">
        <f t="shared" si="185"/>
        <v>0</v>
      </c>
      <c r="AI114" s="259" t="e">
        <f t="shared" ca="1" si="192"/>
        <v>#DIV/0!</v>
      </c>
      <c r="AJ114" s="307" t="e">
        <f t="shared" ca="1" si="193"/>
        <v>#DIV/0!</v>
      </c>
      <c r="AK114" s="366" t="e">
        <f t="shared" ca="1" si="194"/>
        <v>#DIV/0!</v>
      </c>
      <c r="AL114" s="362" t="e">
        <f t="shared" ca="1" si="195"/>
        <v>#DIV/0!</v>
      </c>
      <c r="AM114" s="56" t="str">
        <f t="shared" ca="1" si="186"/>
        <v>okt</v>
      </c>
      <c r="AN114" s="279">
        <f t="shared" ca="1" si="196"/>
        <v>9.0889999999999999E-2</v>
      </c>
      <c r="AO114" s="193" t="e">
        <f t="shared" ca="1" si="187"/>
        <v>#DIV/0!</v>
      </c>
      <c r="AP114" s="233"/>
      <c r="AQ114" s="233"/>
      <c r="AR114" s="233"/>
      <c r="AS114" s="233"/>
      <c r="AT114" s="233"/>
      <c r="AU114" s="233"/>
      <c r="AV114" s="233"/>
      <c r="AW114" s="233"/>
      <c r="AX114" s="233"/>
      <c r="AY114" s="234"/>
      <c r="AZ114" s="234"/>
      <c r="BA114" s="234"/>
      <c r="BB114" s="85" t="e">
        <f t="shared" ca="1" si="202"/>
        <v>#DIV/0!</v>
      </c>
      <c r="BC114" s="85">
        <f t="shared" si="203"/>
        <v>0</v>
      </c>
      <c r="BD114" s="85">
        <f t="shared" si="204"/>
        <v>0</v>
      </c>
      <c r="BE114" s="47" t="e">
        <f t="shared" ca="1" si="209"/>
        <v>#DIV/0!</v>
      </c>
      <c r="BF114" s="234"/>
      <c r="BG114" s="234"/>
      <c r="BH114" s="234"/>
      <c r="BI114" s="234"/>
      <c r="BJ114" s="234"/>
      <c r="BK114" s="234"/>
      <c r="BL114" s="47" t="e">
        <f t="shared" ca="1" si="205"/>
        <v>#DIV/0!</v>
      </c>
      <c r="BM114" s="47">
        <f t="shared" si="206"/>
        <v>0</v>
      </c>
      <c r="BN114" s="47">
        <f t="shared" si="207"/>
        <v>0</v>
      </c>
      <c r="BO114" s="47" t="e">
        <f t="shared" ca="1" si="210"/>
        <v>#DIV/0!</v>
      </c>
      <c r="BP114" s="234"/>
      <c r="BQ114" s="234"/>
      <c r="BR114" s="234"/>
      <c r="BS114" s="234"/>
      <c r="BT114" s="67"/>
      <c r="BU114" s="67"/>
      <c r="BV114" s="67"/>
      <c r="BW114" s="67"/>
      <c r="BX114" s="67"/>
      <c r="BY114" s="67"/>
      <c r="BZ114" s="234"/>
      <c r="CA114" s="234"/>
      <c r="CB114" s="234"/>
      <c r="CC114" s="234"/>
      <c r="CD114" s="234"/>
      <c r="CE114" s="234"/>
      <c r="CF114" s="234"/>
      <c r="CG114" s="234"/>
      <c r="CH114" s="234"/>
      <c r="CI114" s="234"/>
      <c r="CJ114" s="234"/>
      <c r="CK114" s="234"/>
      <c r="CL114" s="234"/>
      <c r="CM114" s="234"/>
      <c r="CN114" s="234"/>
      <c r="CO114" s="234"/>
      <c r="CP114" s="234"/>
      <c r="CQ114" s="234"/>
      <c r="CR114" s="234"/>
      <c r="CS114" s="234"/>
      <c r="CT114" s="234"/>
      <c r="CU114" s="234"/>
      <c r="CV114" s="234"/>
      <c r="CW114" s="234"/>
      <c r="CX114" s="234"/>
      <c r="CY114" s="31"/>
      <c r="CZ114" s="234"/>
      <c r="DA114" s="234"/>
      <c r="DB114" s="234"/>
      <c r="DC114" s="234"/>
      <c r="DD114" s="234"/>
      <c r="DE114" s="234"/>
      <c r="DF114" s="234"/>
      <c r="DG114" s="234"/>
      <c r="DH114" s="234"/>
      <c r="DI114" s="234"/>
      <c r="DJ114" s="234"/>
      <c r="DK114" s="234"/>
      <c r="DL114" s="234"/>
      <c r="DM114" s="234"/>
      <c r="DN114" s="234"/>
      <c r="DO114" s="234"/>
      <c r="DP114" s="234"/>
      <c r="DQ114" s="234"/>
      <c r="DR114" s="234"/>
      <c r="DS114" s="234"/>
      <c r="DT114" s="234"/>
    </row>
    <row r="115" spans="1:124" s="231" customFormat="1" ht="16.5" customHeight="1" x14ac:dyDescent="0.25">
      <c r="A115" s="232"/>
      <c r="B115" s="250"/>
      <c r="C115" s="250"/>
      <c r="D115" s="250"/>
      <c r="E115" s="232"/>
      <c r="F115" s="387">
        <f t="shared" ca="1" si="208"/>
        <v>2017</v>
      </c>
      <c r="G115" s="387" t="str">
        <f t="shared" ca="1" si="197"/>
        <v>aug</v>
      </c>
      <c r="H115" s="70"/>
      <c r="I115" s="109">
        <f t="shared" si="198"/>
        <v>0</v>
      </c>
      <c r="J115" s="388"/>
      <c r="K115" s="73"/>
      <c r="L115" s="108">
        <f t="shared" si="199"/>
        <v>0</v>
      </c>
      <c r="M115" s="388"/>
      <c r="N115" s="73"/>
      <c r="O115" s="108">
        <f t="shared" si="200"/>
        <v>0</v>
      </c>
      <c r="P115" s="388"/>
      <c r="Q115" s="73"/>
      <c r="R115" s="73"/>
      <c r="S115" s="73"/>
      <c r="T115" s="73"/>
      <c r="U115" s="73"/>
      <c r="V115" s="73"/>
      <c r="W115" s="232"/>
      <c r="X115" s="233"/>
      <c r="Y115" s="252">
        <f t="shared" si="188"/>
        <v>0</v>
      </c>
      <c r="Z115" s="252">
        <f t="shared" si="183"/>
        <v>0</v>
      </c>
      <c r="AA115" s="252">
        <f t="shared" si="189"/>
        <v>0</v>
      </c>
      <c r="AB115" s="252">
        <f t="shared" si="190"/>
        <v>0</v>
      </c>
      <c r="AC115" s="233"/>
      <c r="AD115" s="252">
        <f>IF(AND('Indata byggnad och BBR krav'!$C$17&gt;0,$D$107="Mäts separat"),(IF($J$104=$AD$101,I118,0)+IF($M$104=$AD$101,L118,0)+IF($P$104=$AD$101,O118,0)),0)</f>
        <v>0</v>
      </c>
      <c r="AE115" s="233"/>
      <c r="AF115" s="252" t="e">
        <f t="shared" ca="1" si="191"/>
        <v>#DIV/0!</v>
      </c>
      <c r="AG115" s="252">
        <f t="shared" si="184"/>
        <v>0</v>
      </c>
      <c r="AH115" s="252">
        <f t="shared" si="185"/>
        <v>0</v>
      </c>
      <c r="AI115" s="259" t="e">
        <f t="shared" ca="1" si="192"/>
        <v>#DIV/0!</v>
      </c>
      <c r="AJ115" s="307" t="e">
        <f t="shared" ca="1" si="193"/>
        <v>#DIV/0!</v>
      </c>
      <c r="AK115" s="366" t="e">
        <f t="shared" ca="1" si="194"/>
        <v>#DIV/0!</v>
      </c>
      <c r="AL115" s="362" t="e">
        <f t="shared" ca="1" si="195"/>
        <v>#DIV/0!</v>
      </c>
      <c r="AM115" s="56" t="str">
        <f t="shared" ca="1" si="186"/>
        <v>nov</v>
      </c>
      <c r="AN115" s="279">
        <f t="shared" ca="1" si="196"/>
        <v>0.10604000000000001</v>
      </c>
      <c r="AO115" s="193" t="e">
        <f t="shared" ca="1" si="187"/>
        <v>#DIV/0!</v>
      </c>
      <c r="AP115" s="233"/>
      <c r="AQ115" s="233"/>
      <c r="AR115" s="233"/>
      <c r="AS115" s="233"/>
      <c r="AT115" s="233"/>
      <c r="AU115" s="233"/>
      <c r="AV115" s="233"/>
      <c r="AW115" s="233"/>
      <c r="AX115" s="233"/>
      <c r="AY115" s="234"/>
      <c r="AZ115" s="234"/>
      <c r="BA115" s="234"/>
      <c r="BB115" s="85" t="e">
        <f t="shared" ca="1" si="202"/>
        <v>#DIV/0!</v>
      </c>
      <c r="BC115" s="85">
        <f t="shared" si="203"/>
        <v>0</v>
      </c>
      <c r="BD115" s="85">
        <f t="shared" si="204"/>
        <v>0</v>
      </c>
      <c r="BE115" s="47" t="e">
        <f t="shared" ca="1" si="209"/>
        <v>#DIV/0!</v>
      </c>
      <c r="BF115" s="234"/>
      <c r="BG115" s="234"/>
      <c r="BH115" s="234"/>
      <c r="BI115" s="234"/>
      <c r="BJ115" s="234"/>
      <c r="BK115" s="234"/>
      <c r="BL115" s="47" t="e">
        <f t="shared" ca="1" si="205"/>
        <v>#DIV/0!</v>
      </c>
      <c r="BM115" s="47">
        <f t="shared" si="206"/>
        <v>0</v>
      </c>
      <c r="BN115" s="47">
        <f t="shared" si="207"/>
        <v>0</v>
      </c>
      <c r="BO115" s="47" t="e">
        <f t="shared" ca="1" si="210"/>
        <v>#DIV/0!</v>
      </c>
      <c r="BP115" s="234"/>
      <c r="BQ115" s="234"/>
      <c r="BR115" s="234"/>
      <c r="BS115" s="234"/>
      <c r="BT115" s="67"/>
      <c r="BU115" s="67"/>
      <c r="BV115" s="67"/>
      <c r="BW115" s="67"/>
      <c r="BX115" s="67"/>
      <c r="BY115" s="67"/>
      <c r="BZ115" s="234"/>
      <c r="CA115" s="234"/>
      <c r="CB115" s="234"/>
      <c r="CC115" s="234"/>
      <c r="CD115" s="234"/>
      <c r="CE115" s="234"/>
      <c r="CF115" s="234"/>
      <c r="CG115" s="234"/>
      <c r="CH115" s="234"/>
      <c r="CI115" s="234"/>
      <c r="CJ115" s="234"/>
      <c r="CK115" s="234"/>
      <c r="CL115" s="234"/>
      <c r="CM115" s="234"/>
      <c r="CN115" s="234"/>
      <c r="CO115" s="234"/>
      <c r="CP115" s="234"/>
      <c r="CQ115" s="234"/>
      <c r="CR115" s="234"/>
      <c r="CS115" s="234"/>
      <c r="CT115" s="234"/>
      <c r="CU115" s="234"/>
      <c r="CV115" s="234"/>
      <c r="CW115" s="234"/>
      <c r="CX115" s="234"/>
      <c r="CY115" s="31"/>
      <c r="CZ115" s="234"/>
      <c r="DA115" s="234"/>
      <c r="DB115" s="234"/>
      <c r="DC115" s="234"/>
      <c r="DD115" s="234"/>
      <c r="DE115" s="234"/>
      <c r="DF115" s="234"/>
      <c r="DG115" s="234"/>
      <c r="DH115" s="234"/>
      <c r="DI115" s="234"/>
      <c r="DJ115" s="234"/>
      <c r="DK115" s="234"/>
      <c r="DL115" s="234"/>
      <c r="DM115" s="234"/>
      <c r="DN115" s="234"/>
      <c r="DO115" s="234"/>
      <c r="DP115" s="234"/>
      <c r="DQ115" s="234"/>
      <c r="DR115" s="234"/>
      <c r="DS115" s="234"/>
      <c r="DT115" s="234"/>
    </row>
    <row r="116" spans="1:124" s="231" customFormat="1" ht="16.5" customHeight="1" thickBot="1" x14ac:dyDescent="0.3">
      <c r="A116" s="232"/>
      <c r="B116" s="250"/>
      <c r="C116" s="250"/>
      <c r="D116" s="250"/>
      <c r="E116" s="232"/>
      <c r="F116" s="387">
        <f t="shared" ca="1" si="208"/>
        <v>2017</v>
      </c>
      <c r="G116" s="387" t="str">
        <f t="shared" ca="1" si="197"/>
        <v>sept</v>
      </c>
      <c r="H116" s="70"/>
      <c r="I116" s="109">
        <f t="shared" si="198"/>
        <v>0</v>
      </c>
      <c r="J116" s="388"/>
      <c r="K116" s="73"/>
      <c r="L116" s="108">
        <f t="shared" si="199"/>
        <v>0</v>
      </c>
      <c r="M116" s="388"/>
      <c r="N116" s="73"/>
      <c r="O116" s="108">
        <f t="shared" si="200"/>
        <v>0</v>
      </c>
      <c r="P116" s="388"/>
      <c r="Q116" s="73"/>
      <c r="R116" s="73"/>
      <c r="S116" s="73"/>
      <c r="T116" s="73"/>
      <c r="U116" s="73"/>
      <c r="V116" s="73"/>
      <c r="W116" s="232"/>
      <c r="X116" s="233"/>
      <c r="Y116" s="254">
        <f t="shared" si="188"/>
        <v>0</v>
      </c>
      <c r="Z116" s="254">
        <f t="shared" si="183"/>
        <v>0</v>
      </c>
      <c r="AA116" s="254">
        <f t="shared" si="189"/>
        <v>0</v>
      </c>
      <c r="AB116" s="254">
        <f t="shared" si="190"/>
        <v>0</v>
      </c>
      <c r="AC116" s="233"/>
      <c r="AD116" s="254">
        <f>IF(AND('Indata byggnad och BBR krav'!$C$17&gt;0,$D$107="Mäts separat"),(IF($J$104=$AD$101,I119,0)+IF($M$104=$AD$101,L119,0)+IF($P$104=$AD$101,O119,0)),0)</f>
        <v>0</v>
      </c>
      <c r="AE116" s="233"/>
      <c r="AF116" s="254" t="e">
        <f t="shared" ca="1" si="191"/>
        <v>#DIV/0!</v>
      </c>
      <c r="AG116" s="254">
        <f t="shared" si="184"/>
        <v>0</v>
      </c>
      <c r="AH116" s="254">
        <f t="shared" si="185"/>
        <v>0</v>
      </c>
      <c r="AI116" s="274" t="e">
        <f t="shared" ca="1" si="192"/>
        <v>#DIV/0!</v>
      </c>
      <c r="AJ116" s="308" t="e">
        <f t="shared" ca="1" si="193"/>
        <v>#DIV/0!</v>
      </c>
      <c r="AK116" s="366" t="e">
        <f t="shared" ca="1" si="194"/>
        <v>#DIV/0!</v>
      </c>
      <c r="AL116" s="362" t="e">
        <f t="shared" ca="1" si="195"/>
        <v>#DIV/0!</v>
      </c>
      <c r="AM116" s="114" t="str">
        <f t="shared" ca="1" si="186"/>
        <v>dec</v>
      </c>
      <c r="AN116" s="280">
        <f t="shared" ca="1" si="196"/>
        <v>0.11701</v>
      </c>
      <c r="AO116" s="304" t="e">
        <f t="shared" ca="1" si="187"/>
        <v>#DIV/0!</v>
      </c>
      <c r="AP116" s="233"/>
      <c r="AQ116" s="233"/>
      <c r="AR116" s="233"/>
      <c r="AS116" s="233"/>
      <c r="AT116" s="233"/>
      <c r="AU116" s="233"/>
      <c r="AV116" s="233"/>
      <c r="AW116" s="233"/>
      <c r="AX116" s="233"/>
      <c r="AY116" s="234"/>
      <c r="AZ116" s="234"/>
      <c r="BA116" s="234"/>
      <c r="BB116" s="85" t="e">
        <f t="shared" ca="1" si="202"/>
        <v>#DIV/0!</v>
      </c>
      <c r="BC116" s="85">
        <f t="shared" si="203"/>
        <v>0</v>
      </c>
      <c r="BD116" s="85">
        <f t="shared" si="204"/>
        <v>0</v>
      </c>
      <c r="BE116" s="47" t="e">
        <f t="shared" ca="1" si="209"/>
        <v>#DIV/0!</v>
      </c>
      <c r="BF116" s="234"/>
      <c r="BG116" s="234"/>
      <c r="BH116" s="234"/>
      <c r="BI116" s="234"/>
      <c r="BJ116" s="234"/>
      <c r="BK116" s="234"/>
      <c r="BL116" s="47" t="e">
        <f t="shared" ca="1" si="205"/>
        <v>#DIV/0!</v>
      </c>
      <c r="BM116" s="47">
        <f t="shared" si="206"/>
        <v>0</v>
      </c>
      <c r="BN116" s="47">
        <f t="shared" si="207"/>
        <v>0</v>
      </c>
      <c r="BO116" s="47" t="e">
        <f t="shared" ca="1" si="210"/>
        <v>#DIV/0!</v>
      </c>
      <c r="BP116" s="234"/>
      <c r="BQ116" s="234"/>
      <c r="BR116" s="234"/>
      <c r="BS116" s="234"/>
      <c r="BT116" s="67"/>
      <c r="BU116" s="67"/>
      <c r="BV116" s="67"/>
      <c r="BW116" s="67"/>
      <c r="BX116" s="67"/>
      <c r="BY116" s="67"/>
      <c r="BZ116" s="234"/>
      <c r="CA116" s="234"/>
      <c r="CB116" s="234"/>
      <c r="CC116" s="234"/>
      <c r="CD116" s="234"/>
      <c r="CE116" s="234"/>
      <c r="CF116" s="234"/>
      <c r="CG116" s="234"/>
      <c r="CH116" s="234"/>
      <c r="CI116" s="234"/>
      <c r="CJ116" s="234"/>
      <c r="CK116" s="234"/>
      <c r="CL116" s="234"/>
      <c r="CM116" s="234"/>
      <c r="CN116" s="234"/>
      <c r="CO116" s="234"/>
      <c r="CP116" s="234"/>
      <c r="CQ116" s="234"/>
      <c r="CR116" s="234"/>
      <c r="CS116" s="234"/>
      <c r="CT116" s="234"/>
      <c r="CU116" s="234"/>
      <c r="CV116" s="234"/>
      <c r="CW116" s="234"/>
      <c r="CX116" s="234"/>
      <c r="CY116" s="31"/>
      <c r="CZ116" s="234"/>
      <c r="DA116" s="234"/>
      <c r="DB116" s="234"/>
      <c r="DC116" s="234"/>
      <c r="DD116" s="234"/>
      <c r="DE116" s="234"/>
      <c r="DF116" s="234"/>
      <c r="DG116" s="234"/>
      <c r="DH116" s="234"/>
      <c r="DI116" s="234"/>
      <c r="DJ116" s="234"/>
      <c r="DK116" s="234"/>
      <c r="DL116" s="234"/>
      <c r="DM116" s="234"/>
      <c r="DN116" s="234"/>
      <c r="DO116" s="234"/>
      <c r="DP116" s="234"/>
      <c r="DQ116" s="234"/>
      <c r="DR116" s="234"/>
      <c r="DS116" s="234"/>
      <c r="DT116" s="234"/>
    </row>
    <row r="117" spans="1:124" s="231" customFormat="1" ht="16.5" customHeight="1" thickTop="1" thickBot="1" x14ac:dyDescent="0.3">
      <c r="A117" s="232"/>
      <c r="B117" s="250"/>
      <c r="C117" s="250"/>
      <c r="D117" s="250"/>
      <c r="E117" s="232"/>
      <c r="F117" s="387">
        <f t="shared" ca="1" si="208"/>
        <v>2017</v>
      </c>
      <c r="G117" s="387" t="str">
        <f t="shared" ca="1" si="197"/>
        <v>okt</v>
      </c>
      <c r="H117" s="70"/>
      <c r="I117" s="109">
        <f t="shared" si="198"/>
        <v>0</v>
      </c>
      <c r="J117" s="388"/>
      <c r="K117" s="73"/>
      <c r="L117" s="108">
        <f t="shared" si="199"/>
        <v>0</v>
      </c>
      <c r="M117" s="388"/>
      <c r="N117" s="73"/>
      <c r="O117" s="108">
        <f t="shared" si="200"/>
        <v>0</v>
      </c>
      <c r="P117" s="388"/>
      <c r="Q117" s="73"/>
      <c r="R117" s="73"/>
      <c r="S117" s="73"/>
      <c r="T117" s="73"/>
      <c r="U117" s="73"/>
      <c r="V117" s="73"/>
      <c r="W117" s="232"/>
      <c r="X117" s="236" t="s">
        <v>1296</v>
      </c>
      <c r="Y117" s="256">
        <f>SUM(Y105:Y116)</f>
        <v>0</v>
      </c>
      <c r="Z117" s="256">
        <f>SUM(Z105:Z116)</f>
        <v>0</v>
      </c>
      <c r="AA117" s="257">
        <f>SUM(AA105:AA116)</f>
        <v>0</v>
      </c>
      <c r="AB117" s="119">
        <f>Y117+Z117+AA117</f>
        <v>0</v>
      </c>
      <c r="AC117" s="233"/>
      <c r="AD117" s="256">
        <f>SUM(AD105:AD116)</f>
        <v>0</v>
      </c>
      <c r="AE117" s="236" t="s">
        <v>1194</v>
      </c>
      <c r="AF117" s="256" t="e">
        <f ca="1">SUM(AF105:AF116)</f>
        <v>#DIV/0!</v>
      </c>
      <c r="AG117" s="256">
        <f>SUM(AG105:AG116)</f>
        <v>0</v>
      </c>
      <c r="AH117" s="118">
        <f>SUM(AH105:AH116)</f>
        <v>0</v>
      </c>
      <c r="AI117" s="257" t="e">
        <f ca="1">SUM(AI105:AI116)</f>
        <v>#DIV/0!</v>
      </c>
      <c r="AJ117" s="177" t="e">
        <f ca="1">SUM(AJ105:AJ116)</f>
        <v>#DIV/0!</v>
      </c>
      <c r="AK117" s="233"/>
      <c r="AL117" s="233"/>
      <c r="AM117" s="116"/>
      <c r="AN117" s="305">
        <v>1.0000199999999999</v>
      </c>
      <c r="AO117" s="260" t="e">
        <f ca="1">SUM(AO105:AO116)</f>
        <v>#DIV/0!</v>
      </c>
      <c r="AP117" s="266"/>
      <c r="AQ117" s="266"/>
      <c r="AR117" s="266"/>
      <c r="AS117" s="266"/>
      <c r="AT117" s="266"/>
      <c r="AU117" s="266"/>
      <c r="AV117" s="266"/>
      <c r="AW117" s="266"/>
      <c r="AX117" s="266"/>
      <c r="AY117" s="234"/>
      <c r="AZ117" s="234"/>
      <c r="BA117" s="234"/>
      <c r="BB117" s="85" t="e">
        <f t="shared" ca="1" si="202"/>
        <v>#DIV/0!</v>
      </c>
      <c r="BC117" s="85">
        <f t="shared" si="203"/>
        <v>0</v>
      </c>
      <c r="BD117" s="85">
        <f t="shared" si="204"/>
        <v>0</v>
      </c>
      <c r="BE117" s="47" t="e">
        <f t="shared" ca="1" si="209"/>
        <v>#DIV/0!</v>
      </c>
      <c r="BF117" s="234"/>
      <c r="BG117" s="234"/>
      <c r="BH117" s="234"/>
      <c r="BI117" s="234"/>
      <c r="BJ117" s="234"/>
      <c r="BK117" s="234"/>
      <c r="BL117" s="47" t="e">
        <f t="shared" ca="1" si="205"/>
        <v>#DIV/0!</v>
      </c>
      <c r="BM117" s="47">
        <f t="shared" si="206"/>
        <v>0</v>
      </c>
      <c r="BN117" s="47">
        <f t="shared" si="207"/>
        <v>0</v>
      </c>
      <c r="BO117" s="47" t="e">
        <f t="shared" ca="1" si="210"/>
        <v>#DIV/0!</v>
      </c>
      <c r="BP117" s="234"/>
      <c r="BQ117" s="234"/>
      <c r="BR117" s="234"/>
      <c r="BS117" s="234"/>
      <c r="BT117" s="67"/>
      <c r="BU117" s="67"/>
      <c r="BV117" s="67"/>
      <c r="BW117" s="67"/>
      <c r="BX117" s="67"/>
      <c r="BY117" s="67"/>
      <c r="BZ117" s="234"/>
      <c r="CA117" s="234"/>
      <c r="CB117" s="234"/>
      <c r="CC117" s="234"/>
      <c r="CD117" s="234"/>
      <c r="CE117" s="234"/>
      <c r="CF117" s="234"/>
      <c r="CG117" s="234"/>
      <c r="CH117" s="234"/>
      <c r="CI117" s="234"/>
      <c r="CJ117" s="234"/>
      <c r="CK117" s="234"/>
      <c r="CL117" s="234"/>
      <c r="CM117" s="234"/>
      <c r="CN117" s="234"/>
      <c r="CO117" s="234"/>
      <c r="CP117" s="234"/>
      <c r="CQ117" s="234"/>
      <c r="CR117" s="234"/>
      <c r="CS117" s="234"/>
      <c r="CT117" s="234"/>
      <c r="CU117" s="234"/>
      <c r="CV117" s="234"/>
      <c r="CW117" s="234"/>
      <c r="CX117" s="234"/>
      <c r="CY117" s="31"/>
      <c r="CZ117" s="234"/>
      <c r="DA117" s="234"/>
      <c r="DB117" s="234"/>
      <c r="DC117" s="234"/>
      <c r="DD117" s="234"/>
      <c r="DE117" s="234"/>
      <c r="DF117" s="234"/>
      <c r="DG117" s="234"/>
      <c r="DH117" s="234"/>
      <c r="DI117" s="234"/>
      <c r="DJ117" s="234"/>
      <c r="DK117" s="234"/>
      <c r="DL117" s="234"/>
      <c r="DM117" s="234"/>
      <c r="DN117" s="234"/>
      <c r="DO117" s="234"/>
      <c r="DP117" s="234"/>
      <c r="DQ117" s="234"/>
      <c r="DR117" s="234"/>
      <c r="DS117" s="234"/>
      <c r="DT117" s="234"/>
    </row>
    <row r="118" spans="1:124" s="231" customFormat="1" ht="16.5" customHeight="1" x14ac:dyDescent="0.25">
      <c r="A118" s="232"/>
      <c r="B118" s="250"/>
      <c r="C118" s="250"/>
      <c r="D118" s="250"/>
      <c r="E118" s="232"/>
      <c r="F118" s="387">
        <f t="shared" ca="1" si="208"/>
        <v>2017</v>
      </c>
      <c r="G118" s="387" t="str">
        <f t="shared" ca="1" si="197"/>
        <v>nov</v>
      </c>
      <c r="H118" s="70"/>
      <c r="I118" s="109">
        <f t="shared" si="198"/>
        <v>0</v>
      </c>
      <c r="J118" s="388"/>
      <c r="K118" s="73"/>
      <c r="L118" s="108">
        <f t="shared" si="199"/>
        <v>0</v>
      </c>
      <c r="M118" s="388"/>
      <c r="N118" s="73"/>
      <c r="O118" s="108">
        <f t="shared" si="200"/>
        <v>0</v>
      </c>
      <c r="P118" s="388"/>
      <c r="Q118" s="73"/>
      <c r="R118" s="73"/>
      <c r="S118" s="73"/>
      <c r="T118" s="73"/>
      <c r="U118" s="73"/>
      <c r="V118" s="73"/>
      <c r="W118" s="232"/>
      <c r="X118" s="236" t="s">
        <v>1381</v>
      </c>
      <c r="Y118" s="248">
        <f>IF(Y104="El",Y117-$AA$142,Y117)</f>
        <v>0</v>
      </c>
      <c r="Z118" s="248">
        <f>IF(Z104="El",Z117-$AA$142,Z117)</f>
        <v>0</v>
      </c>
      <c r="AA118" s="263">
        <f>IF(AA104="El",AA117-$AA$142,AA117)</f>
        <v>0</v>
      </c>
      <c r="AB118" s="248">
        <f>Y118+Z118+AA118</f>
        <v>0</v>
      </c>
      <c r="AC118" s="233"/>
      <c r="AD118" s="233"/>
      <c r="AE118" s="233"/>
      <c r="AF118" s="266"/>
      <c r="AG118" s="266"/>
      <c r="AH118" s="266"/>
      <c r="AI118" s="266"/>
      <c r="AJ118" s="271"/>
      <c r="AK118" s="233"/>
      <c r="AL118" s="266"/>
      <c r="AM118" s="266"/>
      <c r="AN118" s="266"/>
      <c r="AO118" s="266"/>
      <c r="AP118" s="266"/>
      <c r="AQ118" s="266"/>
      <c r="AR118" s="266"/>
      <c r="AS118" s="266"/>
      <c r="AT118" s="266"/>
      <c r="AU118" s="266"/>
      <c r="AV118" s="266"/>
      <c r="AW118" s="266"/>
      <c r="AX118" s="266"/>
      <c r="AY118" s="234"/>
      <c r="AZ118" s="234"/>
      <c r="BA118" s="234"/>
      <c r="BB118" s="85" t="e">
        <f t="shared" ca="1" si="202"/>
        <v>#DIV/0!</v>
      </c>
      <c r="BC118" s="85">
        <f t="shared" si="203"/>
        <v>0</v>
      </c>
      <c r="BD118" s="85">
        <f t="shared" si="204"/>
        <v>0</v>
      </c>
      <c r="BE118" s="47" t="e">
        <f t="shared" ca="1" si="209"/>
        <v>#DIV/0!</v>
      </c>
      <c r="BF118" s="234"/>
      <c r="BG118" s="234"/>
      <c r="BH118" s="234"/>
      <c r="BI118" s="234"/>
      <c r="BJ118" s="234"/>
      <c r="BK118" s="234"/>
      <c r="BL118" s="47" t="e">
        <f t="shared" ca="1" si="205"/>
        <v>#DIV/0!</v>
      </c>
      <c r="BM118" s="47">
        <f t="shared" si="206"/>
        <v>0</v>
      </c>
      <c r="BN118" s="47">
        <f t="shared" si="207"/>
        <v>0</v>
      </c>
      <c r="BO118" s="47" t="e">
        <f t="shared" ca="1" si="210"/>
        <v>#DIV/0!</v>
      </c>
      <c r="BP118" s="234"/>
      <c r="BQ118" s="234"/>
      <c r="BR118" s="234"/>
      <c r="BS118" s="234"/>
      <c r="BT118" s="67"/>
      <c r="BU118" s="67"/>
      <c r="BV118" s="67"/>
      <c r="BW118" s="67"/>
      <c r="BX118" s="67"/>
      <c r="BY118" s="67"/>
      <c r="BZ118" s="234"/>
      <c r="CA118" s="234"/>
      <c r="CB118" s="234"/>
      <c r="CC118" s="234"/>
      <c r="CD118" s="234"/>
      <c r="CE118" s="234"/>
      <c r="CF118" s="234"/>
      <c r="CG118" s="234"/>
      <c r="CH118" s="234"/>
      <c r="CI118" s="234"/>
      <c r="CJ118" s="234"/>
      <c r="CK118" s="234"/>
      <c r="CL118" s="234"/>
      <c r="CM118" s="234"/>
      <c r="CN118" s="234"/>
      <c r="CO118" s="234"/>
      <c r="CP118" s="234"/>
      <c r="CQ118" s="234"/>
      <c r="CR118" s="234"/>
      <c r="CS118" s="234"/>
      <c r="CT118" s="234"/>
      <c r="CU118" s="234"/>
      <c r="CV118" s="234"/>
      <c r="CW118" s="234"/>
      <c r="CX118" s="234"/>
      <c r="CY118" s="31"/>
      <c r="CZ118" s="234"/>
      <c r="DA118" s="234"/>
      <c r="DB118" s="234"/>
      <c r="DC118" s="234"/>
      <c r="DD118" s="234"/>
      <c r="DE118" s="234"/>
      <c r="DF118" s="234"/>
      <c r="DG118" s="234"/>
      <c r="DH118" s="234"/>
      <c r="DI118" s="234"/>
      <c r="DJ118" s="234"/>
      <c r="DK118" s="234"/>
      <c r="DL118" s="234"/>
      <c r="DM118" s="234"/>
      <c r="DN118" s="234"/>
      <c r="DO118" s="234"/>
      <c r="DP118" s="234"/>
      <c r="DQ118" s="234"/>
      <c r="DR118" s="234"/>
      <c r="DS118" s="234"/>
      <c r="DT118" s="234"/>
    </row>
    <row r="119" spans="1:124" s="231" customFormat="1" ht="16.5" customHeight="1" x14ac:dyDescent="0.25">
      <c r="A119" s="232"/>
      <c r="B119" s="250"/>
      <c r="C119" s="250"/>
      <c r="D119" s="250"/>
      <c r="E119" s="232"/>
      <c r="F119" s="387">
        <f t="shared" ca="1" si="208"/>
        <v>2017</v>
      </c>
      <c r="G119" s="387" t="str">
        <f t="shared" ca="1" si="197"/>
        <v>dec</v>
      </c>
      <c r="H119" s="70"/>
      <c r="I119" s="109">
        <f t="shared" si="198"/>
        <v>0</v>
      </c>
      <c r="J119" s="388"/>
      <c r="K119" s="73"/>
      <c r="L119" s="108">
        <f t="shared" si="199"/>
        <v>0</v>
      </c>
      <c r="M119" s="388"/>
      <c r="N119" s="73"/>
      <c r="O119" s="108">
        <f t="shared" si="200"/>
        <v>0</v>
      </c>
      <c r="P119" s="388"/>
      <c r="Q119" s="73"/>
      <c r="R119" s="73"/>
      <c r="S119" s="73"/>
      <c r="T119" s="73"/>
      <c r="U119" s="73"/>
      <c r="V119" s="73"/>
      <c r="W119" s="232"/>
      <c r="X119" s="266"/>
      <c r="Y119" s="266"/>
      <c r="Z119" s="266"/>
      <c r="AA119" s="266"/>
      <c r="AB119" s="266"/>
      <c r="AC119" s="233"/>
      <c r="AD119" s="233"/>
      <c r="AE119" s="247"/>
      <c r="AF119" s="233"/>
      <c r="AG119" s="233"/>
      <c r="AH119" s="233"/>
      <c r="AI119" s="233"/>
      <c r="AJ119" s="233"/>
      <c r="AK119" s="233"/>
      <c r="AL119" s="233"/>
      <c r="AM119" s="233"/>
      <c r="AN119" s="233"/>
      <c r="AO119" s="233"/>
      <c r="AP119" s="233"/>
      <c r="AQ119" s="233"/>
      <c r="AR119" s="233"/>
      <c r="AS119" s="233"/>
      <c r="AT119" s="233"/>
      <c r="AU119" s="233"/>
      <c r="AV119" s="233"/>
      <c r="AW119" s="233"/>
      <c r="AX119" s="233"/>
      <c r="AY119" s="31"/>
      <c r="AZ119" s="234"/>
      <c r="BA119" s="234"/>
      <c r="BB119" s="85" t="e">
        <f t="shared" ca="1" si="202"/>
        <v>#DIV/0!</v>
      </c>
      <c r="BC119" s="85">
        <f t="shared" si="203"/>
        <v>0</v>
      </c>
      <c r="BD119" s="85">
        <f t="shared" si="204"/>
        <v>0</v>
      </c>
      <c r="BE119" s="47" t="e">
        <f t="shared" ca="1" si="209"/>
        <v>#DIV/0!</v>
      </c>
      <c r="BF119" s="234"/>
      <c r="BG119" s="31"/>
      <c r="BH119" s="31"/>
      <c r="BI119" s="31"/>
      <c r="BJ119" s="31"/>
      <c r="BK119" s="234"/>
      <c r="BL119" s="47" t="e">
        <f t="shared" ca="1" si="205"/>
        <v>#DIV/0!</v>
      </c>
      <c r="BM119" s="47">
        <f t="shared" si="206"/>
        <v>0</v>
      </c>
      <c r="BN119" s="47">
        <f t="shared" si="207"/>
        <v>0</v>
      </c>
      <c r="BO119" s="47" t="e">
        <f t="shared" ca="1" si="210"/>
        <v>#DIV/0!</v>
      </c>
      <c r="BP119" s="234"/>
      <c r="BQ119" s="234"/>
      <c r="BR119" s="234"/>
      <c r="BS119" s="234"/>
      <c r="BT119" s="31"/>
      <c r="BU119" s="31"/>
      <c r="BV119" s="31"/>
      <c r="BW119" s="31"/>
      <c r="BX119" s="31"/>
      <c r="BY119" s="31"/>
      <c r="BZ119" s="31"/>
      <c r="CA119" s="234"/>
      <c r="CB119" s="234"/>
      <c r="CC119" s="234"/>
      <c r="CD119" s="234"/>
      <c r="CE119" s="234"/>
      <c r="CF119" s="234"/>
      <c r="CG119" s="234"/>
      <c r="CH119" s="234"/>
      <c r="CI119" s="234"/>
      <c r="CJ119" s="234"/>
      <c r="CK119" s="234"/>
      <c r="CL119" s="234"/>
      <c r="CM119" s="234"/>
      <c r="CN119" s="234"/>
      <c r="CO119" s="234"/>
      <c r="CP119" s="234"/>
      <c r="CQ119" s="234"/>
      <c r="CR119" s="234"/>
      <c r="CS119" s="234"/>
      <c r="CT119" s="234"/>
      <c r="CU119" s="234"/>
      <c r="CV119" s="234"/>
      <c r="CW119" s="234"/>
      <c r="CX119" s="234"/>
      <c r="CY119" s="31"/>
      <c r="CZ119" s="234"/>
      <c r="DA119" s="234"/>
      <c r="DB119" s="234"/>
      <c r="DC119" s="234"/>
      <c r="DD119" s="234"/>
      <c r="DE119" s="234"/>
      <c r="DF119" s="234"/>
      <c r="DG119" s="234"/>
      <c r="DH119" s="234"/>
      <c r="DI119" s="234"/>
      <c r="DJ119" s="234"/>
      <c r="DK119" s="234"/>
      <c r="DL119" s="234"/>
      <c r="DM119" s="234"/>
      <c r="DN119" s="234"/>
      <c r="DO119" s="234"/>
      <c r="DP119" s="234"/>
      <c r="DQ119" s="234"/>
      <c r="DR119" s="234"/>
      <c r="DS119" s="234"/>
      <c r="DT119" s="234"/>
    </row>
    <row r="120" spans="1:124" s="231" customFormat="1" ht="16.5" customHeight="1" thickBot="1" x14ac:dyDescent="0.3">
      <c r="A120" s="232"/>
      <c r="B120" s="250"/>
      <c r="C120" s="232"/>
      <c r="D120" s="232"/>
      <c r="E120" s="251"/>
      <c r="F120" s="250"/>
      <c r="G120" s="250"/>
      <c r="H120" s="250"/>
      <c r="I120" s="115">
        <f>SUM(I108:I119)</f>
        <v>0</v>
      </c>
      <c r="J120" s="115">
        <f>SUM(J108:J119)</f>
        <v>0</v>
      </c>
      <c r="K120" s="229"/>
      <c r="L120" s="115">
        <f>SUM(L108:L119)</f>
        <v>0</v>
      </c>
      <c r="M120" s="115">
        <f>SUM(M108:M119)</f>
        <v>0</v>
      </c>
      <c r="N120" s="229"/>
      <c r="O120" s="115">
        <f>SUM(O108:O119)</f>
        <v>0</v>
      </c>
      <c r="P120" s="115">
        <f>SUM(P108:P119)</f>
        <v>0</v>
      </c>
      <c r="Q120" s="250"/>
      <c r="R120" s="250"/>
      <c r="S120" s="250"/>
      <c r="T120" s="250"/>
      <c r="U120" s="250"/>
      <c r="V120" s="250"/>
      <c r="W120" s="232"/>
      <c r="X120" s="266"/>
      <c r="Y120" s="266"/>
      <c r="Z120" s="266"/>
      <c r="AA120" s="266"/>
      <c r="AB120" s="266"/>
      <c r="AC120" s="233"/>
      <c r="AD120" s="233"/>
      <c r="AE120" s="247"/>
      <c r="AF120" s="233"/>
      <c r="AG120" s="233"/>
      <c r="AH120" s="233"/>
      <c r="AI120" s="233"/>
      <c r="AJ120" s="233"/>
      <c r="AK120" s="233"/>
      <c r="AL120" s="233"/>
      <c r="AM120" s="233"/>
      <c r="AN120" s="233"/>
      <c r="AO120" s="233"/>
      <c r="AP120" s="233"/>
      <c r="AQ120" s="233"/>
      <c r="AR120" s="233"/>
      <c r="AS120" s="233"/>
      <c r="AT120" s="233"/>
      <c r="AU120" s="233"/>
      <c r="AV120" s="233"/>
      <c r="AW120" s="233"/>
      <c r="AX120" s="233"/>
      <c r="AY120" s="31"/>
      <c r="AZ120" s="234"/>
      <c r="BA120" s="234"/>
      <c r="BB120" s="183" t="e">
        <f t="shared" ca="1" si="202"/>
        <v>#DIV/0!</v>
      </c>
      <c r="BC120" s="183">
        <f t="shared" si="203"/>
        <v>0</v>
      </c>
      <c r="BD120" s="183">
        <f t="shared" si="204"/>
        <v>0</v>
      </c>
      <c r="BE120" s="83" t="e">
        <f t="shared" ca="1" si="209"/>
        <v>#DIV/0!</v>
      </c>
      <c r="BF120" s="234"/>
      <c r="BG120" s="31"/>
      <c r="BH120" s="31"/>
      <c r="BI120" s="31"/>
      <c r="BJ120" s="31"/>
      <c r="BK120" s="234"/>
      <c r="BL120" s="83" t="e">
        <f t="shared" ca="1" si="205"/>
        <v>#DIV/0!</v>
      </c>
      <c r="BM120" s="83">
        <f t="shared" si="206"/>
        <v>0</v>
      </c>
      <c r="BN120" s="83">
        <f t="shared" si="207"/>
        <v>0</v>
      </c>
      <c r="BO120" s="83" t="e">
        <f t="shared" ca="1" si="210"/>
        <v>#DIV/0!</v>
      </c>
      <c r="BP120" s="234"/>
      <c r="BQ120" s="234"/>
      <c r="BR120" s="234"/>
      <c r="BS120" s="234"/>
      <c r="BT120" s="67"/>
      <c r="BU120" s="67"/>
      <c r="BV120" s="67"/>
      <c r="BW120" s="67"/>
      <c r="BX120" s="67"/>
      <c r="BY120" s="67"/>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234"/>
      <c r="DF120" s="234"/>
      <c r="DG120" s="234"/>
      <c r="DH120" s="234"/>
      <c r="DI120" s="234"/>
      <c r="DJ120" s="234"/>
      <c r="DK120" s="234"/>
      <c r="DL120" s="31"/>
      <c r="DM120" s="31"/>
      <c r="DN120" s="234"/>
      <c r="DO120" s="234"/>
      <c r="DP120" s="234"/>
      <c r="DQ120" s="234"/>
      <c r="DR120" s="234"/>
      <c r="DS120" s="234"/>
      <c r="DT120" s="234"/>
    </row>
    <row r="121" spans="1:124" s="231" customFormat="1" ht="16.5" customHeight="1" thickTop="1" thickBot="1" x14ac:dyDescent="0.3">
      <c r="A121" s="232"/>
      <c r="B121" s="250"/>
      <c r="C121" s="232"/>
      <c r="D121" s="232"/>
      <c r="E121" s="251"/>
      <c r="F121" s="250"/>
      <c r="G121" s="367" t="e">
        <f ca="1">IF(OR(AK105="Fel i indata",AK106="Fel i indata",AK107="Fel i indata",AK108="Fel i indata",AK109="Fel i indata",AK110="Fel i indata",AK111="Fel i indata",AK112="Fel i indata",AK113="Fel i indata",AK114="Fel i indata",AK115="Fel i indata",AK116="Fel i indata"),"Fel i indata","")</f>
        <v>#DIV/0!</v>
      </c>
      <c r="H121" s="221"/>
      <c r="I121" s="221" t="e">
        <f ca="1">IF(G121="Fel i indata","OBS! Se över din indata, energi för fastighetsenergi blir negativ efter avdrag för elgolvvärme om mätvärdena ingår i uppmätt fastighetsenergi!","")</f>
        <v>#DIV/0!</v>
      </c>
      <c r="J121" s="250"/>
      <c r="K121" s="250"/>
      <c r="L121" s="250"/>
      <c r="M121" s="250"/>
      <c r="N121" s="250"/>
      <c r="O121" s="120"/>
      <c r="P121" s="250"/>
      <c r="Q121" s="250"/>
      <c r="R121" s="250"/>
      <c r="S121" s="250"/>
      <c r="T121" s="250"/>
      <c r="U121" s="250"/>
      <c r="V121" s="250"/>
      <c r="W121" s="232"/>
      <c r="X121" s="236"/>
      <c r="Y121" s="247"/>
      <c r="Z121" s="247"/>
      <c r="AA121" s="247"/>
      <c r="AB121" s="233"/>
      <c r="AC121" s="247"/>
      <c r="AD121" s="247"/>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31"/>
      <c r="AZ121" s="234"/>
      <c r="BA121" s="41" t="s">
        <v>1194</v>
      </c>
      <c r="BB121" s="85" t="e">
        <f ca="1">SUM(BB109:BB120)</f>
        <v>#DIV/0!</v>
      </c>
      <c r="BC121" s="113">
        <f>SUM(BC109:BC120)</f>
        <v>0</v>
      </c>
      <c r="BD121" s="113">
        <f>SUM(BD109:BD120)</f>
        <v>0</v>
      </c>
      <c r="BE121" s="89" t="e">
        <f ca="1">SUM(BE109:BE120)</f>
        <v>#DIV/0!</v>
      </c>
      <c r="BF121" s="234"/>
      <c r="BG121" s="31"/>
      <c r="BH121" s="31"/>
      <c r="BI121" s="31"/>
      <c r="BJ121" s="31"/>
      <c r="BK121" s="41" t="s">
        <v>1194</v>
      </c>
      <c r="BL121" s="85" t="e">
        <f ca="1">SUM(BL109:BL120)</f>
        <v>#DIV/0!</v>
      </c>
      <c r="BM121" s="85">
        <f t="shared" ref="BM121:BN121" si="211">SUM(BM109:BM120)</f>
        <v>0</v>
      </c>
      <c r="BN121" s="85">
        <f t="shared" si="211"/>
        <v>0</v>
      </c>
      <c r="BO121" s="89" t="e">
        <f ca="1">SUM(BO109:BO120)</f>
        <v>#DIV/0!</v>
      </c>
      <c r="BP121" s="234"/>
      <c r="BQ121" s="234"/>
      <c r="BR121" s="234"/>
      <c r="BS121" s="234"/>
      <c r="BT121" s="67"/>
      <c r="BU121" s="67"/>
      <c r="BV121" s="67"/>
      <c r="BW121" s="67"/>
      <c r="BX121" s="67"/>
      <c r="BY121" s="67"/>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234"/>
      <c r="DF121" s="234"/>
      <c r="DG121" s="234"/>
      <c r="DH121" s="234"/>
      <c r="DI121" s="234"/>
      <c r="DJ121" s="234"/>
      <c r="DK121" s="234"/>
      <c r="DL121" s="31"/>
      <c r="DM121" s="31"/>
      <c r="DN121" s="234"/>
      <c r="DO121" s="234"/>
      <c r="DP121" s="234"/>
      <c r="DQ121" s="234"/>
      <c r="DR121" s="234"/>
      <c r="DS121" s="234"/>
      <c r="DT121" s="234"/>
    </row>
    <row r="122" spans="1:124" s="231" customFormat="1" ht="16.5" customHeight="1" thickBot="1" x14ac:dyDescent="0.3">
      <c r="A122" s="232"/>
      <c r="B122" s="250"/>
      <c r="C122" s="232"/>
      <c r="D122" s="232"/>
      <c r="E122" s="251"/>
      <c r="F122" s="250"/>
      <c r="G122" s="250"/>
      <c r="H122" s="250"/>
      <c r="I122" s="250"/>
      <c r="J122" s="250"/>
      <c r="K122" s="250"/>
      <c r="L122" s="250"/>
      <c r="M122" s="250"/>
      <c r="N122" s="250"/>
      <c r="O122" s="120"/>
      <c r="P122" s="250"/>
      <c r="Q122" s="250"/>
      <c r="R122" s="250"/>
      <c r="S122" s="250"/>
      <c r="T122" s="250"/>
      <c r="U122" s="250"/>
      <c r="V122" s="250"/>
      <c r="W122" s="232"/>
      <c r="X122" s="236"/>
      <c r="Y122" s="247"/>
      <c r="Z122" s="247"/>
      <c r="AA122" s="247"/>
      <c r="AB122" s="233"/>
      <c r="AC122" s="247"/>
      <c r="AD122" s="247"/>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34"/>
      <c r="AZ122" s="234"/>
      <c r="BA122" s="41" t="s">
        <v>1196</v>
      </c>
      <c r="BB122" s="47" t="e">
        <f ca="1">IF(BB108="El",BB121-$AA$142,BB121)</f>
        <v>#DIV/0!</v>
      </c>
      <c r="BC122" s="47">
        <f>IF(BC108="El",BC121-$AA$142,BC121)</f>
        <v>0</v>
      </c>
      <c r="BD122" s="47">
        <f>IF(BD108="El",BD121-$AA$142,BD121)</f>
        <v>0</v>
      </c>
      <c r="BE122" s="260" t="e">
        <f ca="1">BB122+BC122+BD122</f>
        <v>#DIV/0!</v>
      </c>
      <c r="BF122" s="67" t="e">
        <f ca="1">BE122*1000/'Indata byggnad och BBR krav'!$C$16</f>
        <v>#DIV/0!</v>
      </c>
      <c r="BG122" s="234"/>
      <c r="BH122" s="234"/>
      <c r="BI122" s="234"/>
      <c r="BJ122" s="234"/>
      <c r="BK122" s="291" t="s">
        <v>1395</v>
      </c>
      <c r="BL122" s="47" t="e">
        <f ca="1">IF(BL108="El",BL121,BL121)</f>
        <v>#DIV/0!</v>
      </c>
      <c r="BM122" s="47">
        <f>IF(BM108="El",BM121,BM121)</f>
        <v>0</v>
      </c>
      <c r="BN122" s="47">
        <f>IF(BN108="El",BN121,BN121)</f>
        <v>0</v>
      </c>
      <c r="BO122" s="260" t="e">
        <f ca="1">BL122+BM122+BN122</f>
        <v>#DIV/0!</v>
      </c>
      <c r="BP122" s="67" t="e">
        <f ca="1">BO122*1000/'Indata byggnad och BBR krav'!$C$16</f>
        <v>#DIV/0!</v>
      </c>
      <c r="BQ122" s="234"/>
      <c r="BR122" s="234"/>
      <c r="BS122" s="234"/>
      <c r="BT122" s="67"/>
      <c r="BU122" s="67"/>
      <c r="BV122" s="67"/>
      <c r="BW122" s="67"/>
      <c r="BX122" s="67"/>
      <c r="BY122" s="67"/>
      <c r="BZ122" s="234"/>
      <c r="CA122" s="234"/>
      <c r="CB122" s="234"/>
      <c r="CC122" s="234"/>
      <c r="CD122" s="234"/>
      <c r="CE122" s="234"/>
      <c r="CF122" s="234"/>
      <c r="CG122" s="234"/>
      <c r="CH122" s="234"/>
      <c r="CI122" s="234"/>
      <c r="CJ122" s="234"/>
      <c r="CK122" s="234"/>
      <c r="CL122" s="234"/>
      <c r="CM122" s="234"/>
      <c r="CN122" s="234"/>
      <c r="CO122" s="234"/>
      <c r="CP122" s="234"/>
      <c r="CQ122" s="234"/>
      <c r="CR122" s="234"/>
      <c r="CS122" s="234"/>
      <c r="CT122" s="234"/>
      <c r="CU122" s="234"/>
      <c r="CV122" s="234"/>
      <c r="CW122" s="234"/>
      <c r="CX122" s="234"/>
      <c r="CY122" s="31"/>
      <c r="CZ122" s="234"/>
      <c r="DA122" s="234"/>
      <c r="DB122" s="234"/>
      <c r="DC122" s="234"/>
      <c r="DD122" s="234"/>
      <c r="DE122" s="234"/>
      <c r="DF122" s="234"/>
      <c r="DG122" s="234"/>
      <c r="DH122" s="234"/>
      <c r="DI122" s="234"/>
      <c r="DJ122" s="234"/>
      <c r="DK122" s="234"/>
      <c r="DL122" s="234"/>
      <c r="DM122" s="234"/>
      <c r="DN122" s="234"/>
      <c r="DO122" s="234"/>
      <c r="DP122" s="234"/>
      <c r="DQ122" s="234"/>
      <c r="DR122" s="234"/>
      <c r="DS122" s="234"/>
      <c r="DT122" s="234"/>
    </row>
    <row r="123" spans="1:124" s="231" customFormat="1" ht="16.5" customHeight="1" thickBot="1" x14ac:dyDescent="0.3">
      <c r="A123" s="232"/>
      <c r="B123" s="250"/>
      <c r="C123" s="232"/>
      <c r="D123" s="232"/>
      <c r="E123" s="251"/>
      <c r="F123" s="250"/>
      <c r="G123" s="250"/>
      <c r="H123" s="250"/>
      <c r="I123" s="250"/>
      <c r="J123" s="250"/>
      <c r="K123" s="250"/>
      <c r="L123" s="250"/>
      <c r="M123" s="250"/>
      <c r="N123" s="250"/>
      <c r="O123" s="120"/>
      <c r="P123" s="250"/>
      <c r="Q123" s="250"/>
      <c r="R123" s="250"/>
      <c r="S123" s="250"/>
      <c r="T123" s="250"/>
      <c r="U123" s="250"/>
      <c r="V123" s="250"/>
      <c r="W123" s="232"/>
      <c r="X123" s="266"/>
      <c r="Y123" s="242"/>
      <c r="Z123" s="266"/>
      <c r="AA123" s="266"/>
      <c r="AB123" s="266"/>
      <c r="AC123" s="266"/>
      <c r="AD123" s="266"/>
      <c r="AE123" s="242"/>
      <c r="AF123" s="242"/>
      <c r="AG123" s="242"/>
      <c r="AH123" s="242"/>
      <c r="AI123" s="242"/>
      <c r="AJ123" s="242"/>
      <c r="AK123" s="242"/>
      <c r="AL123" s="242"/>
      <c r="AM123" s="242"/>
      <c r="AN123" s="242"/>
      <c r="AO123" s="242"/>
      <c r="AP123" s="242"/>
      <c r="AQ123" s="242"/>
      <c r="AR123" s="242"/>
      <c r="AS123" s="242"/>
      <c r="AT123" s="242"/>
      <c r="AU123" s="242"/>
      <c r="AV123" s="242"/>
      <c r="AW123" s="242"/>
      <c r="AX123" s="242"/>
      <c r="AY123" s="234"/>
      <c r="AZ123" s="234"/>
      <c r="BA123" s="41" t="s">
        <v>1299</v>
      </c>
      <c r="BB123" s="47" t="e">
        <f ca="1">IF(BB122&gt;0,BB122*BB105,0)</f>
        <v>#DIV/0!</v>
      </c>
      <c r="BC123" s="47">
        <f>IF(BC122&gt;0,BC122*BC105,0)</f>
        <v>0</v>
      </c>
      <c r="BD123" s="47">
        <f>IF(BD122&gt;0,BD122*BD105,0)</f>
        <v>0</v>
      </c>
      <c r="BE123" s="96" t="e">
        <f ca="1">BB123+BC123+BD123</f>
        <v>#DIV/0!</v>
      </c>
      <c r="BF123" s="234"/>
      <c r="BG123" s="234"/>
      <c r="BH123" s="234"/>
      <c r="BI123" s="234"/>
      <c r="BJ123" s="234"/>
      <c r="BK123" s="41" t="s">
        <v>1299</v>
      </c>
      <c r="BL123" s="47" t="e">
        <f ca="1">IF(BL122&gt;0,BL122*BL105,0)</f>
        <v>#DIV/0!</v>
      </c>
      <c r="BM123" s="47">
        <f>IF(BM122&gt;0,BM122*BM105,0)</f>
        <v>0</v>
      </c>
      <c r="BN123" s="47">
        <f>IF(BN122&gt;0,BN122*BN105,0)</f>
        <v>0</v>
      </c>
      <c r="BO123" s="96" t="e">
        <f ca="1">BL123+BM123+BN123</f>
        <v>#DIV/0!</v>
      </c>
      <c r="BP123" s="234"/>
      <c r="BQ123" s="234"/>
      <c r="BR123" s="234"/>
      <c r="BS123" s="234"/>
      <c r="BT123" s="67"/>
      <c r="BU123" s="67"/>
      <c r="BV123" s="67"/>
      <c r="BW123" s="67"/>
      <c r="BX123" s="67"/>
      <c r="BY123" s="67"/>
      <c r="BZ123" s="234"/>
      <c r="CA123" s="234"/>
      <c r="CB123" s="234"/>
      <c r="CC123" s="234"/>
      <c r="CD123" s="234"/>
      <c r="CE123" s="234"/>
      <c r="CF123" s="234"/>
      <c r="CG123" s="234"/>
      <c r="CH123" s="234"/>
      <c r="CI123" s="234"/>
      <c r="CJ123" s="234"/>
      <c r="CK123" s="234"/>
      <c r="CL123" s="234"/>
      <c r="CM123" s="234"/>
      <c r="CN123" s="234"/>
      <c r="CO123" s="234"/>
      <c r="CP123" s="234"/>
      <c r="CQ123" s="234"/>
      <c r="CR123" s="234"/>
      <c r="CS123" s="234"/>
      <c r="CT123" s="234"/>
      <c r="CU123" s="234"/>
      <c r="CV123" s="234"/>
      <c r="CW123" s="234"/>
      <c r="CX123" s="234"/>
      <c r="CY123" s="31"/>
      <c r="CZ123" s="234"/>
      <c r="DA123" s="234"/>
      <c r="DB123" s="234"/>
      <c r="DC123" s="234"/>
      <c r="DD123" s="234"/>
      <c r="DE123" s="234"/>
      <c r="DF123" s="234"/>
      <c r="DG123" s="234"/>
      <c r="DH123" s="234"/>
      <c r="DI123" s="234"/>
      <c r="DJ123" s="234"/>
      <c r="DK123" s="234"/>
      <c r="DL123" s="234"/>
      <c r="DM123" s="234"/>
      <c r="DN123" s="234"/>
      <c r="DO123" s="234"/>
      <c r="DP123" s="234"/>
      <c r="DQ123" s="234"/>
      <c r="DR123" s="234"/>
      <c r="DS123" s="234"/>
      <c r="DT123" s="234"/>
    </row>
    <row r="124" spans="1:124" s="231" customFormat="1" ht="16.5" customHeight="1" thickBot="1" x14ac:dyDescent="0.3">
      <c r="A124" s="232"/>
      <c r="B124" s="250"/>
      <c r="C124" s="232"/>
      <c r="D124" s="232"/>
      <c r="E124" s="251"/>
      <c r="F124" s="250"/>
      <c r="G124" s="250"/>
      <c r="H124" s="250"/>
      <c r="I124" s="250"/>
      <c r="J124" s="250"/>
      <c r="K124" s="250"/>
      <c r="L124" s="250"/>
      <c r="M124" s="250"/>
      <c r="N124" s="250"/>
      <c r="O124" s="120"/>
      <c r="P124" s="250"/>
      <c r="Q124" s="250"/>
      <c r="R124" s="250"/>
      <c r="S124" s="250"/>
      <c r="T124" s="250"/>
      <c r="U124" s="250"/>
      <c r="V124" s="250"/>
      <c r="W124" s="232"/>
      <c r="X124" s="125"/>
      <c r="Y124" s="266"/>
      <c r="Z124" s="126"/>
      <c r="AA124" s="127"/>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34"/>
      <c r="AZ124" s="234"/>
      <c r="BA124" s="41" t="s">
        <v>1300</v>
      </c>
      <c r="BB124" s="47" t="e">
        <f ca="1">IF(BB122&gt;0,BB122*BB106,0)</f>
        <v>#DIV/0!</v>
      </c>
      <c r="BC124" s="47">
        <f>IF(BC122&gt;0,BC122*BC106,0)</f>
        <v>0</v>
      </c>
      <c r="BD124" s="47">
        <f>IF(BD122&gt;0,BD122*BD106,0)</f>
        <v>0</v>
      </c>
      <c r="BE124" s="96" t="e">
        <f ca="1">BB124+BC124+BD124</f>
        <v>#DIV/0!</v>
      </c>
      <c r="BF124" s="234"/>
      <c r="BG124" s="234"/>
      <c r="BH124" s="234"/>
      <c r="BI124" s="234"/>
      <c r="BJ124" s="234"/>
      <c r="BK124" s="41" t="s">
        <v>1300</v>
      </c>
      <c r="BL124" s="47" t="e">
        <f ca="1">IF(BL122&gt;0,BL122*BL106,0)</f>
        <v>#DIV/0!</v>
      </c>
      <c r="BM124" s="47">
        <f>IF(BM122&gt;0,BM122*BM106,0)</f>
        <v>0</v>
      </c>
      <c r="BN124" s="47">
        <f>IF(BN122&gt;0,BN122*BN106,0)</f>
        <v>0</v>
      </c>
      <c r="BO124" s="96" t="e">
        <f ca="1">BL124+BM124+BN124</f>
        <v>#DIV/0!</v>
      </c>
      <c r="BP124" s="234"/>
      <c r="BQ124" s="234"/>
      <c r="BR124" s="234"/>
      <c r="BS124" s="234"/>
      <c r="BT124" s="67"/>
      <c r="BU124" s="67"/>
      <c r="BV124" s="67"/>
      <c r="BW124" s="67"/>
      <c r="BX124" s="67"/>
      <c r="BY124" s="67"/>
      <c r="BZ124" s="234"/>
      <c r="CA124" s="234"/>
      <c r="CB124" s="234"/>
      <c r="CC124" s="234"/>
      <c r="CD124" s="234"/>
      <c r="CE124" s="234"/>
      <c r="CF124" s="234"/>
      <c r="CG124" s="234"/>
      <c r="CH124" s="234"/>
      <c r="CI124" s="234"/>
      <c r="CJ124" s="234"/>
      <c r="CK124" s="234"/>
      <c r="CL124" s="234"/>
      <c r="CM124" s="234"/>
      <c r="CN124" s="234"/>
      <c r="CO124" s="234"/>
      <c r="CP124" s="234"/>
      <c r="CQ124" s="234"/>
      <c r="CR124" s="234"/>
      <c r="CS124" s="234"/>
      <c r="CT124" s="234"/>
      <c r="CU124" s="234"/>
      <c r="CV124" s="234"/>
      <c r="CW124" s="234"/>
      <c r="CX124" s="234"/>
      <c r="CY124" s="31"/>
      <c r="CZ124" s="234"/>
      <c r="DA124" s="234"/>
      <c r="DB124" s="234"/>
      <c r="DC124" s="234"/>
      <c r="DD124" s="234"/>
      <c r="DE124" s="234"/>
      <c r="DF124" s="234"/>
      <c r="DG124" s="234"/>
      <c r="DH124" s="234"/>
      <c r="DI124" s="234"/>
      <c r="DJ124" s="234"/>
      <c r="DK124" s="234"/>
      <c r="DL124" s="234"/>
      <c r="DM124" s="234"/>
      <c r="DN124" s="234"/>
      <c r="DO124" s="234"/>
      <c r="DP124" s="234"/>
      <c r="DQ124" s="234"/>
      <c r="DR124" s="234"/>
      <c r="DS124" s="234"/>
      <c r="DT124" s="234"/>
    </row>
    <row r="125" spans="1:124" s="231" customFormat="1" ht="16.5" customHeight="1" x14ac:dyDescent="0.25">
      <c r="A125" s="232"/>
      <c r="B125" s="250"/>
      <c r="C125" s="232"/>
      <c r="D125" s="232"/>
      <c r="E125" s="251"/>
      <c r="F125" s="250"/>
      <c r="G125" s="250"/>
      <c r="H125" s="250"/>
      <c r="I125" s="250"/>
      <c r="J125" s="250"/>
      <c r="K125" s="250"/>
      <c r="L125" s="250"/>
      <c r="M125" s="250"/>
      <c r="N125" s="250"/>
      <c r="O125" s="250"/>
      <c r="P125" s="250"/>
      <c r="Q125" s="250"/>
      <c r="R125" s="250"/>
      <c r="S125" s="250"/>
      <c r="T125" s="250"/>
      <c r="U125" s="250"/>
      <c r="V125" s="250"/>
      <c r="W125" s="232"/>
      <c r="X125" s="125"/>
      <c r="Y125" s="242" t="s">
        <v>1082</v>
      </c>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34"/>
      <c r="AZ125" s="234"/>
      <c r="BA125" s="234"/>
      <c r="BB125" s="234"/>
      <c r="BC125" s="234"/>
      <c r="BD125" s="234"/>
      <c r="BE125" s="234"/>
      <c r="BF125" s="234"/>
      <c r="BG125" s="234"/>
      <c r="BH125" s="234"/>
      <c r="BI125" s="234"/>
      <c r="BJ125" s="234"/>
      <c r="BK125" s="234"/>
      <c r="BL125" s="234"/>
      <c r="BM125" s="234"/>
      <c r="BN125" s="234"/>
      <c r="BO125" s="234"/>
      <c r="BP125" s="234"/>
      <c r="BQ125" s="234"/>
      <c r="BR125" s="234"/>
      <c r="BS125" s="234"/>
      <c r="BT125" s="67"/>
      <c r="BU125" s="67"/>
      <c r="BV125" s="67"/>
      <c r="BW125" s="67"/>
      <c r="BX125" s="67"/>
      <c r="BY125" s="67"/>
      <c r="BZ125" s="234"/>
      <c r="CA125" s="234"/>
      <c r="CB125" s="234"/>
      <c r="CC125" s="234"/>
      <c r="CD125" s="234"/>
      <c r="CE125" s="234"/>
      <c r="CF125" s="234"/>
      <c r="CG125" s="234"/>
      <c r="CH125" s="234"/>
      <c r="CI125" s="234"/>
      <c r="CJ125" s="234"/>
      <c r="CK125" s="234"/>
      <c r="CL125" s="234"/>
      <c r="CM125" s="234"/>
      <c r="CN125" s="234"/>
      <c r="CO125" s="234"/>
      <c r="CP125" s="234"/>
      <c r="CQ125" s="234"/>
      <c r="CR125" s="234"/>
      <c r="CS125" s="234"/>
      <c r="CT125" s="234"/>
      <c r="CU125" s="234"/>
      <c r="CV125" s="234"/>
      <c r="CW125" s="234"/>
      <c r="CX125" s="234"/>
      <c r="CY125" s="31"/>
      <c r="CZ125" s="234"/>
      <c r="DA125" s="234"/>
      <c r="DB125" s="234"/>
      <c r="DC125" s="234"/>
      <c r="DD125" s="234"/>
      <c r="DE125" s="234"/>
      <c r="DF125" s="234"/>
      <c r="DG125" s="234"/>
      <c r="DH125" s="234"/>
      <c r="DI125" s="234"/>
      <c r="DJ125" s="234"/>
      <c r="DK125" s="234"/>
      <c r="DL125" s="234"/>
      <c r="DM125" s="234"/>
      <c r="DN125" s="234"/>
      <c r="DO125" s="234"/>
      <c r="DP125" s="234"/>
      <c r="DQ125" s="234"/>
      <c r="DR125" s="234"/>
      <c r="DS125" s="234"/>
      <c r="DT125" s="234"/>
    </row>
    <row r="126" spans="1:124" s="231" customFormat="1" ht="16.5" customHeight="1" thickBot="1" x14ac:dyDescent="0.3">
      <c r="A126" s="232"/>
      <c r="B126" s="398">
        <v>5</v>
      </c>
      <c r="C126" s="399" t="s">
        <v>1349</v>
      </c>
      <c r="D126" s="400"/>
      <c r="E126" s="400"/>
      <c r="F126" s="385"/>
      <c r="G126" s="385"/>
      <c r="H126" s="385"/>
      <c r="I126" s="385"/>
      <c r="J126" s="384"/>
      <c r="K126" s="384"/>
      <c r="L126" s="384"/>
      <c r="M126" s="385"/>
      <c r="N126" s="385"/>
      <c r="O126" s="385"/>
      <c r="P126" s="385"/>
      <c r="Q126" s="385"/>
      <c r="R126" s="385"/>
      <c r="S126" s="385"/>
      <c r="T126" s="385"/>
      <c r="U126" s="385"/>
      <c r="V126" s="385"/>
      <c r="W126" s="386"/>
      <c r="X126" s="233"/>
      <c r="Y126" s="233"/>
      <c r="Z126" s="233"/>
      <c r="AA126" s="233"/>
      <c r="AB126" s="233"/>
      <c r="AC126" s="233"/>
      <c r="AD126" s="266"/>
      <c r="AE126" s="266"/>
      <c r="AF126" s="266"/>
      <c r="AG126" s="266"/>
      <c r="AH126" s="266"/>
      <c r="AI126" s="266"/>
      <c r="AJ126" s="233"/>
      <c r="AK126" s="233" t="s">
        <v>1128</v>
      </c>
      <c r="AL126" s="233"/>
      <c r="AM126" s="266"/>
      <c r="AN126" s="129"/>
      <c r="AO126" s="266"/>
      <c r="AP126" s="266"/>
      <c r="AQ126" s="266"/>
      <c r="AR126" s="266"/>
      <c r="AS126" s="266"/>
      <c r="AT126" s="266"/>
      <c r="AU126" s="266"/>
      <c r="AV126" s="266"/>
      <c r="AW126" s="266"/>
      <c r="AX126" s="266"/>
      <c r="AY126" s="234"/>
      <c r="AZ126" s="234"/>
      <c r="BA126" s="122" t="s">
        <v>1401</v>
      </c>
      <c r="BB126" s="52">
        <f>IF(BB108="",0,VLOOKUP(BB108,'Indata byggnad och BBR krav'!$Y$8:$AA$14,3,TRUE))</f>
        <v>2.1999999999999999E-2</v>
      </c>
      <c r="BC126" s="52">
        <f>IF(BC108="",0,VLOOKUP(BC108,'Indata byggnad och BBR krav'!$Y$8:$AA$14,3,TRUE))</f>
        <v>0</v>
      </c>
      <c r="BD126" s="52">
        <f>IF(BD108="",0,VLOOKUP(BD108,'Indata byggnad och BBR krav'!$Y$8:$AA$14,3,TRUE))</f>
        <v>0</v>
      </c>
      <c r="BE126" s="299"/>
      <c r="BF126" s="234"/>
      <c r="BG126" s="234"/>
      <c r="BH126" s="234"/>
      <c r="BI126" s="234"/>
      <c r="BJ126" s="234"/>
      <c r="BK126" s="122" t="s">
        <v>1401</v>
      </c>
      <c r="BL126" s="52">
        <f>IF(BL108="",0,VLOOKUP(BL108,'Indata byggnad och BBR krav'!$Y$8:$AA$14,3,TRUE))</f>
        <v>2.1999999999999999E-2</v>
      </c>
      <c r="BM126" s="52">
        <f>IF(BM108="",0,VLOOKUP(BM108,'Indata byggnad och BBR krav'!$Y$8:$AA$14,3,TRUE))</f>
        <v>0</v>
      </c>
      <c r="BN126" s="52">
        <f>IF(BN108="",0,VLOOKUP(BN108,'Indata byggnad och BBR krav'!$Y$8:$AA$14,3,TRUE))</f>
        <v>0</v>
      </c>
      <c r="BO126" s="299"/>
      <c r="BP126" s="234"/>
      <c r="BQ126" s="234"/>
      <c r="BR126" s="234"/>
      <c r="BS126" s="234"/>
      <c r="BT126" s="67"/>
      <c r="BU126" s="67"/>
      <c r="BV126" s="67"/>
      <c r="BW126" s="67"/>
      <c r="BX126" s="67"/>
      <c r="BY126" s="67"/>
      <c r="BZ126" s="234"/>
      <c r="CA126" s="234"/>
      <c r="CB126" s="234"/>
      <c r="CC126" s="234"/>
      <c r="CD126" s="234"/>
      <c r="CE126" s="234"/>
      <c r="CF126" s="234"/>
      <c r="CG126" s="234"/>
      <c r="CH126" s="234"/>
      <c r="CI126" s="234"/>
      <c r="CJ126" s="234"/>
      <c r="CK126" s="234"/>
      <c r="CL126" s="234"/>
      <c r="CM126" s="234"/>
      <c r="CN126" s="234"/>
      <c r="CO126" s="234"/>
      <c r="CP126" s="234"/>
      <c r="CQ126" s="234"/>
      <c r="CR126" s="234"/>
      <c r="CS126" s="234"/>
      <c r="CT126" s="234"/>
      <c r="CU126" s="234"/>
      <c r="CV126" s="234"/>
      <c r="CW126" s="234"/>
      <c r="CX126" s="234"/>
      <c r="CY126" s="31"/>
      <c r="CZ126" s="234"/>
      <c r="DA126" s="234"/>
      <c r="DB126" s="234"/>
      <c r="DC126" s="234"/>
      <c r="DD126" s="234"/>
      <c r="DE126" s="234"/>
      <c r="DF126" s="234"/>
      <c r="DG126" s="234"/>
      <c r="DH126" s="234"/>
      <c r="DI126" s="234"/>
      <c r="DJ126" s="234"/>
      <c r="DK126" s="234"/>
      <c r="DL126" s="234"/>
      <c r="DM126" s="234"/>
      <c r="DN126" s="234"/>
      <c r="DO126" s="234"/>
      <c r="DP126" s="234"/>
      <c r="DQ126" s="234"/>
      <c r="DR126" s="234"/>
      <c r="DS126" s="234"/>
      <c r="DT126" s="234"/>
    </row>
    <row r="127" spans="1:124" s="231" customFormat="1" ht="16.5" customHeight="1" thickBot="1" x14ac:dyDescent="0.3">
      <c r="A127" s="232"/>
      <c r="X127" s="245"/>
      <c r="Y127" s="242" t="s">
        <v>1189</v>
      </c>
      <c r="Z127" s="242"/>
      <c r="AA127" s="242"/>
      <c r="AB127" s="242"/>
      <c r="AC127" s="242" t="s">
        <v>1190</v>
      </c>
      <c r="AD127" s="128"/>
      <c r="AE127" s="128" t="s">
        <v>1191</v>
      </c>
      <c r="AF127" s="128"/>
      <c r="AG127" s="128" t="s">
        <v>1083</v>
      </c>
      <c r="AH127" s="266"/>
      <c r="AI127" s="266"/>
      <c r="AJ127" s="242"/>
      <c r="AK127" s="130" t="s">
        <v>1076</v>
      </c>
      <c r="AL127" s="131" t="s">
        <v>1076</v>
      </c>
      <c r="AM127" s="117" t="s">
        <v>1083</v>
      </c>
      <c r="AN127" s="132" t="s">
        <v>1083</v>
      </c>
      <c r="AO127" s="117" t="s">
        <v>17</v>
      </c>
      <c r="AP127" s="127" t="s">
        <v>17</v>
      </c>
      <c r="AQ127" s="127" t="s">
        <v>17</v>
      </c>
      <c r="AR127" s="127" t="s">
        <v>17</v>
      </c>
      <c r="AS127" s="253" t="s">
        <v>16</v>
      </c>
      <c r="AT127" s="253" t="s">
        <v>16</v>
      </c>
      <c r="AU127" s="253" t="s">
        <v>16</v>
      </c>
      <c r="AV127" s="253"/>
      <c r="AW127" s="253"/>
      <c r="AX127" s="253"/>
      <c r="AY127" s="234"/>
      <c r="AZ127" s="437"/>
      <c r="BA127" s="438" t="s">
        <v>1411</v>
      </c>
      <c r="BB127" s="417" t="e">
        <f ca="1">BB122*1000/'Indata byggnad och BBR krav'!$C$40*'Indata byggnad och BBR krav'!$C$38*BB126</f>
        <v>#DIV/0!</v>
      </c>
      <c r="BC127" s="417" t="e">
        <f>BC122*1000/'Indata byggnad och BBR krav'!$C$40*'Indata byggnad och BBR krav'!$C$38*BC126</f>
        <v>#DIV/0!</v>
      </c>
      <c r="BD127" s="417" t="e">
        <f>BD122*1000/'Indata byggnad och BBR krav'!$C$40*'Indata byggnad och BBR krav'!$C$38*BD126</f>
        <v>#DIV/0!</v>
      </c>
      <c r="BE127" s="418" t="e">
        <f ca="1">BB127+BC127+BD127</f>
        <v>#DIV/0!</v>
      </c>
      <c r="BF127" s="234"/>
      <c r="BG127" s="234"/>
      <c r="BH127" s="234"/>
      <c r="BI127" s="234"/>
      <c r="BJ127" s="437"/>
      <c r="BK127" s="438" t="s">
        <v>1411</v>
      </c>
      <c r="BL127" s="417" t="e">
        <f ca="1">BL122*1000/'Indata byggnad och BBR krav'!$C$40*'Indata byggnad och BBR krav'!$C$38*BL126</f>
        <v>#DIV/0!</v>
      </c>
      <c r="BM127" s="417" t="e">
        <f>BM122*1000/'Indata byggnad och BBR krav'!$C$40*'Indata byggnad och BBR krav'!$C$38*BM126</f>
        <v>#DIV/0!</v>
      </c>
      <c r="BN127" s="417" t="e">
        <f>BN122*1000/'Indata byggnad och BBR krav'!$C$40*'Indata byggnad och BBR krav'!$C$38*BN126</f>
        <v>#DIV/0!</v>
      </c>
      <c r="BO127" s="418" t="e">
        <f ca="1">BL127+BM127+BN127</f>
        <v>#DIV/0!</v>
      </c>
      <c r="BP127" s="234"/>
      <c r="BQ127" s="234"/>
      <c r="BR127" s="234"/>
      <c r="BS127" s="234"/>
      <c r="BT127" s="67"/>
      <c r="BU127" s="67"/>
      <c r="BV127" s="67"/>
      <c r="BW127" s="67"/>
      <c r="BX127" s="67"/>
      <c r="BY127" s="67"/>
      <c r="BZ127" s="234"/>
      <c r="CA127" s="234"/>
      <c r="CB127" s="234"/>
      <c r="CC127" s="234"/>
      <c r="CD127" s="234"/>
      <c r="CE127" s="234"/>
      <c r="CF127" s="234"/>
      <c r="CG127" s="234"/>
      <c r="CH127" s="234"/>
      <c r="CI127" s="234"/>
      <c r="CJ127" s="234"/>
      <c r="CK127" s="234"/>
      <c r="CL127" s="234"/>
      <c r="CM127" s="234"/>
      <c r="CN127" s="234"/>
      <c r="CO127" s="234"/>
      <c r="CP127" s="234"/>
      <c r="CQ127" s="234"/>
      <c r="CR127" s="234"/>
      <c r="CS127" s="234"/>
      <c r="CT127" s="234"/>
      <c r="CU127" s="234"/>
      <c r="CV127" s="234"/>
      <c r="CW127" s="234"/>
      <c r="CX127" s="234"/>
      <c r="CY127" s="31"/>
      <c r="CZ127" s="234"/>
      <c r="DA127" s="234"/>
      <c r="DB127" s="234"/>
      <c r="DC127" s="234"/>
      <c r="DD127" s="234"/>
      <c r="DE127" s="234"/>
      <c r="DF127" s="234"/>
      <c r="DG127" s="234"/>
      <c r="DH127" s="234"/>
      <c r="DI127" s="234"/>
      <c r="DJ127" s="234"/>
      <c r="DK127" s="234"/>
      <c r="DL127" s="234"/>
      <c r="DM127" s="234"/>
      <c r="DN127" s="234"/>
      <c r="DO127" s="234"/>
      <c r="DP127" s="234"/>
      <c r="DQ127" s="234"/>
      <c r="DR127" s="234"/>
      <c r="DS127" s="234"/>
      <c r="DT127" s="234"/>
    </row>
    <row r="128" spans="1:124" s="231" customFormat="1" ht="16.5" customHeight="1" thickBot="1" x14ac:dyDescent="0.3">
      <c r="A128" s="232"/>
      <c r="B128" s="232"/>
      <c r="C128" s="232"/>
      <c r="D128" s="232"/>
      <c r="E128" s="232"/>
      <c r="F128" s="505" t="s">
        <v>1138</v>
      </c>
      <c r="G128" s="505"/>
      <c r="H128" s="232"/>
      <c r="I128" s="238" t="s">
        <v>1047</v>
      </c>
      <c r="J128" s="238"/>
      <c r="L128" s="238" t="s">
        <v>1048</v>
      </c>
      <c r="M128" s="238"/>
      <c r="O128" s="238" t="s">
        <v>1049</v>
      </c>
      <c r="P128" s="232"/>
      <c r="R128" s="238" t="s">
        <v>1192</v>
      </c>
      <c r="S128" s="232"/>
      <c r="U128" s="238" t="s">
        <v>1193</v>
      </c>
      <c r="V128" s="232"/>
      <c r="X128" s="245" t="s">
        <v>1079</v>
      </c>
      <c r="Y128" s="253" t="s">
        <v>1087</v>
      </c>
      <c r="Z128" s="253" t="s">
        <v>1088</v>
      </c>
      <c r="AA128" s="253" t="s">
        <v>1089</v>
      </c>
      <c r="AB128" s="253" t="s">
        <v>1090</v>
      </c>
      <c r="AC128" s="253" t="s">
        <v>1087</v>
      </c>
      <c r="AD128" s="253" t="s">
        <v>1088</v>
      </c>
      <c r="AE128" s="287" t="s">
        <v>1087</v>
      </c>
      <c r="AF128" s="287" t="s">
        <v>1088</v>
      </c>
      <c r="AG128" s="287" t="s">
        <v>1087</v>
      </c>
      <c r="AH128" s="287" t="s">
        <v>1088</v>
      </c>
      <c r="AI128" s="266"/>
      <c r="AJ128" s="247"/>
      <c r="AK128" s="253" t="s">
        <v>1087</v>
      </c>
      <c r="AL128" s="253" t="s">
        <v>1088</v>
      </c>
      <c r="AM128" s="253" t="s">
        <v>1087</v>
      </c>
      <c r="AN128" s="253" t="s">
        <v>1088</v>
      </c>
      <c r="AO128" s="253" t="s">
        <v>1087</v>
      </c>
      <c r="AP128" s="253" t="s">
        <v>1088</v>
      </c>
      <c r="AQ128" s="253" t="s">
        <v>1089</v>
      </c>
      <c r="AR128" s="253" t="s">
        <v>1090</v>
      </c>
      <c r="AS128" s="253" t="s">
        <v>1087</v>
      </c>
      <c r="AT128" s="253" t="s">
        <v>1088</v>
      </c>
      <c r="AU128" s="253" t="s">
        <v>1090</v>
      </c>
      <c r="AV128" s="253"/>
      <c r="AW128" s="253"/>
      <c r="AX128" s="253"/>
      <c r="AY128" s="234"/>
      <c r="AZ128" s="437"/>
      <c r="BA128" s="439" t="s">
        <v>1459</v>
      </c>
      <c r="BB128" s="417" t="e">
        <f ca="1">BB122*1000/'Indata byggnad och BBR krav'!$C$16*'Indata byggnad och BBR krav'!$C$38*BB126</f>
        <v>#DIV/0!</v>
      </c>
      <c r="BC128" s="417" t="e">
        <f>BC122*1000/'Indata byggnad och BBR krav'!$C$16*'Indata byggnad och BBR krav'!$C$38*BC126</f>
        <v>#DIV/0!</v>
      </c>
      <c r="BD128" s="417" t="e">
        <f>BD122*1000/'Indata byggnad och BBR krav'!$C$16*'Indata byggnad och BBR krav'!$C$38*BD126</f>
        <v>#DIV/0!</v>
      </c>
      <c r="BE128" s="418" t="e">
        <f t="shared" ref="BE128:BE129" ca="1" si="212">BB128+BC128+BD128</f>
        <v>#DIV/0!</v>
      </c>
      <c r="BF128" s="234"/>
      <c r="BG128" s="234"/>
      <c r="BH128" s="234"/>
      <c r="BI128" s="234"/>
      <c r="BJ128" s="437"/>
      <c r="BK128" s="439" t="s">
        <v>1459</v>
      </c>
      <c r="BL128" s="417" t="e">
        <f ca="1">BL122*1000/'Indata byggnad och BBR krav'!$C$16*'Indata byggnad och BBR krav'!$C$38*BL126</f>
        <v>#DIV/0!</v>
      </c>
      <c r="BM128" s="417" t="e">
        <f>BM122*1000/'Indata byggnad och BBR krav'!$C$16*'Indata byggnad och BBR krav'!$C$38*BM126</f>
        <v>#DIV/0!</v>
      </c>
      <c r="BN128" s="417" t="e">
        <f>BN122*1000/'Indata byggnad och BBR krav'!$C$16*'Indata byggnad och BBR krav'!$C$38*BN126</f>
        <v>#DIV/0!</v>
      </c>
      <c r="BO128" s="418" t="e">
        <f t="shared" ref="BO128:BO129" ca="1" si="213">BL128+BM128+BN128</f>
        <v>#DIV/0!</v>
      </c>
      <c r="BP128" s="234"/>
      <c r="BQ128" s="234"/>
      <c r="BR128" s="234"/>
      <c r="BS128" s="234"/>
      <c r="BT128" s="67"/>
      <c r="BU128" s="67"/>
      <c r="BV128" s="67"/>
      <c r="BW128" s="67"/>
      <c r="BX128" s="67"/>
      <c r="BY128" s="67"/>
      <c r="BZ128" s="234"/>
      <c r="CA128" s="234"/>
      <c r="CB128" s="234"/>
      <c r="CC128" s="234"/>
      <c r="CD128" s="234"/>
      <c r="CE128" s="234"/>
      <c r="CF128" s="234"/>
      <c r="CG128" s="234"/>
      <c r="CH128" s="234"/>
      <c r="CI128" s="234"/>
      <c r="CJ128" s="234"/>
      <c r="CK128" s="234"/>
      <c r="CL128" s="234"/>
      <c r="CM128" s="234"/>
      <c r="CN128" s="234"/>
      <c r="CO128" s="234"/>
      <c r="CP128" s="234"/>
      <c r="CQ128" s="234"/>
      <c r="CR128" s="234"/>
      <c r="CS128" s="234"/>
      <c r="CT128" s="234"/>
      <c r="CU128" s="234"/>
      <c r="CV128" s="234"/>
      <c r="CW128" s="234"/>
      <c r="CX128" s="234"/>
      <c r="CY128" s="31"/>
      <c r="CZ128" s="234"/>
      <c r="DA128" s="234"/>
      <c r="DB128" s="234"/>
      <c r="DC128" s="234"/>
      <c r="DD128" s="234"/>
      <c r="DE128" s="234"/>
      <c r="DF128" s="234"/>
      <c r="DG128" s="234"/>
      <c r="DH128" s="234"/>
      <c r="DI128" s="234"/>
      <c r="DJ128" s="234"/>
      <c r="DK128" s="234"/>
      <c r="DL128" s="234"/>
      <c r="DM128" s="234"/>
      <c r="DN128" s="234"/>
      <c r="DO128" s="234"/>
      <c r="DP128" s="234"/>
      <c r="DQ128" s="234"/>
      <c r="DR128" s="234"/>
      <c r="DS128" s="234"/>
      <c r="DT128" s="234"/>
    </row>
    <row r="129" spans="1:124" s="231" customFormat="1" ht="16.5" customHeight="1" thickBot="1" x14ac:dyDescent="0.3">
      <c r="A129" s="232"/>
      <c r="B129" s="232"/>
      <c r="C129" s="55" t="s">
        <v>1050</v>
      </c>
      <c r="D129" s="392">
        <v>1</v>
      </c>
      <c r="E129" s="232"/>
      <c r="F129" s="54" t="s">
        <v>9</v>
      </c>
      <c r="G129" s="375">
        <f>$G$14</f>
        <v>2017</v>
      </c>
      <c r="H129" s="37"/>
      <c r="I129" s="55" t="s">
        <v>1084</v>
      </c>
      <c r="J129" s="368" t="s">
        <v>16</v>
      </c>
      <c r="L129" s="55" t="s">
        <v>1084</v>
      </c>
      <c r="M129" s="368" t="s">
        <v>16</v>
      </c>
      <c r="O129" s="55" t="s">
        <v>1084</v>
      </c>
      <c r="P129" s="368" t="s">
        <v>1076</v>
      </c>
      <c r="R129" s="55" t="s">
        <v>1084</v>
      </c>
      <c r="S129" s="368" t="s">
        <v>17</v>
      </c>
      <c r="U129" s="55" t="s">
        <v>1084</v>
      </c>
      <c r="V129" s="368" t="s">
        <v>16</v>
      </c>
      <c r="X129" s="233"/>
      <c r="Y129" s="107" t="s">
        <v>1188</v>
      </c>
      <c r="Z129" s="107" t="s">
        <v>1188</v>
      </c>
      <c r="AA129" s="107" t="s">
        <v>1188</v>
      </c>
      <c r="AB129" s="107" t="s">
        <v>1188</v>
      </c>
      <c r="AC129" s="107" t="s">
        <v>1188</v>
      </c>
      <c r="AD129" s="107" t="s">
        <v>1188</v>
      </c>
      <c r="AE129" s="107" t="s">
        <v>1188</v>
      </c>
      <c r="AF129" s="107" t="s">
        <v>1188</v>
      </c>
      <c r="AG129" s="107" t="s">
        <v>1188</v>
      </c>
      <c r="AH129" s="107" t="s">
        <v>1188</v>
      </c>
      <c r="AI129" s="266"/>
      <c r="AJ129" s="133" t="s">
        <v>1130</v>
      </c>
      <c r="AK129" s="270" t="str">
        <f t="shared" ref="AK129:AU129" si="214">$DW$3</f>
        <v>Före andra mätare</v>
      </c>
      <c r="AL129" s="270" t="str">
        <f t="shared" si="214"/>
        <v>Före andra mätare</v>
      </c>
      <c r="AM129" s="270" t="str">
        <f t="shared" si="214"/>
        <v>Före andra mätare</v>
      </c>
      <c r="AN129" s="270" t="str">
        <f t="shared" si="214"/>
        <v>Före andra mätare</v>
      </c>
      <c r="AO129" s="270" t="str">
        <f t="shared" si="214"/>
        <v>Före andra mätare</v>
      </c>
      <c r="AP129" s="270" t="str">
        <f t="shared" si="214"/>
        <v>Före andra mätare</v>
      </c>
      <c r="AQ129" s="270" t="str">
        <f t="shared" si="214"/>
        <v>Före andra mätare</v>
      </c>
      <c r="AR129" s="270" t="str">
        <f t="shared" si="214"/>
        <v>Före andra mätare</v>
      </c>
      <c r="AS129" s="270" t="str">
        <f t="shared" si="214"/>
        <v>Före andra mätare</v>
      </c>
      <c r="AT129" s="270" t="str">
        <f t="shared" si="214"/>
        <v>Före andra mätare</v>
      </c>
      <c r="AU129" s="270" t="str">
        <f t="shared" si="214"/>
        <v>Före andra mätare</v>
      </c>
      <c r="AV129" s="270"/>
      <c r="AW129" s="270"/>
      <c r="AX129" s="127"/>
      <c r="AY129" s="234"/>
      <c r="AZ129" s="437"/>
      <c r="BA129" s="439" t="s">
        <v>1460</v>
      </c>
      <c r="BB129" s="419" t="e">
        <f ca="1">BB127/50</f>
        <v>#DIV/0!</v>
      </c>
      <c r="BC129" s="419" t="e">
        <f t="shared" ref="BC129:BD129" si="215">BC127/50</f>
        <v>#DIV/0!</v>
      </c>
      <c r="BD129" s="419" t="e">
        <f t="shared" si="215"/>
        <v>#DIV/0!</v>
      </c>
      <c r="BE129" s="420" t="e">
        <f t="shared" ca="1" si="212"/>
        <v>#DIV/0!</v>
      </c>
      <c r="BF129" s="234"/>
      <c r="BG129" s="234"/>
      <c r="BH129" s="234"/>
      <c r="BI129" s="234"/>
      <c r="BJ129" s="437"/>
      <c r="BK129" s="439" t="s">
        <v>1460</v>
      </c>
      <c r="BL129" s="419" t="e">
        <f ca="1">BL127/50</f>
        <v>#DIV/0!</v>
      </c>
      <c r="BM129" s="419" t="e">
        <f t="shared" ref="BM129:BN129" si="216">BM127/50</f>
        <v>#DIV/0!</v>
      </c>
      <c r="BN129" s="419" t="e">
        <f t="shared" si="216"/>
        <v>#DIV/0!</v>
      </c>
      <c r="BO129" s="420" t="e">
        <f t="shared" ca="1" si="213"/>
        <v>#DIV/0!</v>
      </c>
      <c r="BP129" s="234"/>
      <c r="BQ129" s="234"/>
      <c r="BR129" s="234"/>
      <c r="BS129" s="234"/>
      <c r="BT129" s="67"/>
      <c r="BU129" s="67"/>
      <c r="BV129" s="67"/>
      <c r="BW129" s="67"/>
      <c r="BX129" s="67"/>
      <c r="BY129" s="67"/>
      <c r="BZ129" s="234"/>
      <c r="CA129" s="234"/>
      <c r="CB129" s="234"/>
      <c r="CC129" s="234"/>
      <c r="CD129" s="234"/>
      <c r="CE129" s="234"/>
      <c r="CF129" s="234"/>
      <c r="CG129" s="234"/>
      <c r="CH129" s="234"/>
      <c r="CI129" s="234"/>
      <c r="CJ129" s="234"/>
      <c r="CK129" s="234"/>
      <c r="CL129" s="234"/>
      <c r="CM129" s="234"/>
      <c r="CN129" s="234"/>
      <c r="CO129" s="234"/>
      <c r="CP129" s="234"/>
      <c r="CQ129" s="234"/>
      <c r="CR129" s="234"/>
      <c r="CS129" s="234"/>
      <c r="CT129" s="234"/>
      <c r="CU129" s="234"/>
      <c r="CV129" s="234"/>
      <c r="CW129" s="234"/>
      <c r="CX129" s="234"/>
      <c r="CY129" s="31"/>
      <c r="CZ129" s="234"/>
      <c r="DA129" s="234"/>
      <c r="DB129" s="234"/>
      <c r="DC129" s="234"/>
      <c r="DD129" s="234"/>
      <c r="DE129" s="234"/>
      <c r="DF129" s="234"/>
      <c r="DG129" s="234"/>
      <c r="DH129" s="234"/>
      <c r="DI129" s="234"/>
      <c r="DJ129" s="234"/>
      <c r="DK129" s="234"/>
      <c r="DL129" s="234"/>
      <c r="DM129" s="234"/>
      <c r="DN129" s="234"/>
      <c r="DO129" s="234"/>
      <c r="DP129" s="234"/>
      <c r="DQ129" s="234"/>
      <c r="DR129" s="234"/>
      <c r="DS129" s="234"/>
      <c r="DT129" s="234"/>
    </row>
    <row r="130" spans="1:124" s="231" customFormat="1" ht="16.5" customHeight="1" x14ac:dyDescent="0.25">
      <c r="A130" s="232"/>
      <c r="B130" s="232"/>
      <c r="C130" s="217" t="s">
        <v>1356</v>
      </c>
      <c r="D130" s="250"/>
      <c r="E130" s="232"/>
      <c r="F130" s="54" t="s">
        <v>19</v>
      </c>
      <c r="G130" s="375" t="str">
        <f>$G$15</f>
        <v>jan</v>
      </c>
      <c r="H130" s="37"/>
      <c r="I130" s="55" t="s">
        <v>1079</v>
      </c>
      <c r="J130" s="368" t="s">
        <v>1088</v>
      </c>
      <c r="L130" s="55" t="s">
        <v>1079</v>
      </c>
      <c r="M130" s="368" t="s">
        <v>1087</v>
      </c>
      <c r="O130" s="55" t="s">
        <v>1079</v>
      </c>
      <c r="P130" s="368" t="s">
        <v>1087</v>
      </c>
      <c r="R130" s="55" t="s">
        <v>1079</v>
      </c>
      <c r="S130" s="368" t="s">
        <v>1089</v>
      </c>
      <c r="U130" s="55" t="s">
        <v>1079</v>
      </c>
      <c r="V130" s="368" t="s">
        <v>1090</v>
      </c>
      <c r="X130" s="233"/>
      <c r="Y130" s="252">
        <f t="shared" ref="Y130:AD141" si="217">AO130</f>
        <v>0</v>
      </c>
      <c r="Z130" s="252">
        <f t="shared" si="217"/>
        <v>0</v>
      </c>
      <c r="AA130" s="252">
        <f t="shared" si="217"/>
        <v>0</v>
      </c>
      <c r="AB130" s="252">
        <f t="shared" si="217"/>
        <v>0</v>
      </c>
      <c r="AC130" s="248">
        <f t="shared" si="217"/>
        <v>0</v>
      </c>
      <c r="AD130" s="248">
        <f t="shared" si="217"/>
        <v>0</v>
      </c>
      <c r="AE130" s="248">
        <f t="shared" ref="AE130:AH141" si="218">AK130</f>
        <v>0</v>
      </c>
      <c r="AF130" s="248">
        <f t="shared" si="218"/>
        <v>0</v>
      </c>
      <c r="AG130" s="248">
        <f t="shared" si="218"/>
        <v>0</v>
      </c>
      <c r="AH130" s="248">
        <f t="shared" si="218"/>
        <v>0</v>
      </c>
      <c r="AI130" s="266"/>
      <c r="AJ130" s="247" t="str">
        <f t="shared" ref="AJ130:AJ141" ca="1" si="219">G134</f>
        <v>jan</v>
      </c>
      <c r="AK130" s="252">
        <f t="shared" ref="AK130:AK141" si="220">IF($J$129=AK$127,IF($J$130=AK$128,IF($J$131=AK$129,$I134,0),0),0)+IF($M$129=AK$127,IF($M$130=AK$128,IF($M$131=AK$129,$L134,0),0),0)+IF($P$129=AK$127,IF($P$130=AK$128,IF($P$131=AK$129,$O134,0),0),0)+IF($S$129=AK$127,IF($S$130=AK$128,IF($S$131=AK$129,R134,0),0),0)+IF($V$129=AK$127,IF($V$130=AK$128,IF($V$131=AK$129,U134,0),0),0)</f>
        <v>0</v>
      </c>
      <c r="AL130" s="252">
        <f t="shared" ref="AL130:AU141" si="221">IF($J$129=AL$127,IF($J$130=AL$128,IF($J$131=AL$129,$I134,0),0),0)+IF($M$129=AL$127,IF($M$130=AL$128,IF($M$131=AL$129,$L134,0),0),0)+IF($P$129=AL$127,IF($P$130=AL$128,IF($P$131=AL$129,$O134,0),0),0)+IF($S$129=AL$127,IF($S$130=AL$128,IF($S$131=AL$129,$R134,0),0),0)+IF($V$129=AL$127,IF($V$130=AL$128,IF($V$131=AL$129,$U134,0),0),0)</f>
        <v>0</v>
      </c>
      <c r="AM130" s="252">
        <f t="shared" si="221"/>
        <v>0</v>
      </c>
      <c r="AN130" s="252">
        <f t="shared" si="221"/>
        <v>0</v>
      </c>
      <c r="AO130" s="252">
        <f t="shared" si="221"/>
        <v>0</v>
      </c>
      <c r="AP130" s="252">
        <f t="shared" si="221"/>
        <v>0</v>
      </c>
      <c r="AQ130" s="252">
        <f t="shared" si="221"/>
        <v>0</v>
      </c>
      <c r="AR130" s="252">
        <f t="shared" si="221"/>
        <v>0</v>
      </c>
      <c r="AS130" s="252">
        <f t="shared" si="221"/>
        <v>0</v>
      </c>
      <c r="AT130" s="252">
        <f t="shared" si="221"/>
        <v>0</v>
      </c>
      <c r="AU130" s="252">
        <f t="shared" si="221"/>
        <v>0</v>
      </c>
      <c r="AV130" s="265"/>
      <c r="AW130" s="265"/>
      <c r="AX130" s="265"/>
      <c r="AY130" s="234"/>
      <c r="AZ130" s="234"/>
      <c r="BA130" s="234"/>
      <c r="BB130" s="234"/>
      <c r="BC130" s="234"/>
      <c r="BD130" s="234"/>
      <c r="BE130" s="234"/>
      <c r="BF130" s="234"/>
      <c r="BG130" s="234"/>
      <c r="BH130" s="234"/>
      <c r="BI130" s="234"/>
      <c r="BJ130" s="234"/>
      <c r="BK130" s="234"/>
      <c r="BL130" s="234"/>
      <c r="BM130" s="234"/>
      <c r="BN130" s="234"/>
      <c r="BO130" s="234"/>
      <c r="BP130" s="234"/>
      <c r="BQ130" s="234"/>
      <c r="BR130" s="234"/>
      <c r="BS130" s="234"/>
      <c r="BT130" s="67"/>
      <c r="BU130" s="67"/>
      <c r="BV130" s="67"/>
      <c r="BW130" s="67"/>
      <c r="BX130" s="67"/>
      <c r="BY130" s="67"/>
      <c r="BZ130" s="234"/>
      <c r="CA130" s="234"/>
      <c r="CB130" s="234"/>
      <c r="CC130" s="234"/>
      <c r="CD130" s="234"/>
      <c r="CE130" s="234"/>
      <c r="CF130" s="234"/>
      <c r="CG130" s="234"/>
      <c r="CH130" s="234"/>
      <c r="CI130" s="234"/>
      <c r="CJ130" s="234"/>
      <c r="CK130" s="234"/>
      <c r="CL130" s="234"/>
      <c r="CM130" s="234"/>
      <c r="CN130" s="234"/>
      <c r="CO130" s="234"/>
      <c r="CP130" s="234"/>
      <c r="CQ130" s="234"/>
      <c r="CR130" s="234"/>
      <c r="CS130" s="234"/>
      <c r="CT130" s="234"/>
      <c r="CU130" s="234"/>
      <c r="CV130" s="234"/>
      <c r="CW130" s="234"/>
      <c r="CX130" s="234"/>
      <c r="CY130" s="31"/>
      <c r="CZ130" s="234"/>
      <c r="DA130" s="234"/>
      <c r="DB130" s="234"/>
      <c r="DC130" s="234"/>
      <c r="DD130" s="234"/>
      <c r="DE130" s="234"/>
      <c r="DF130" s="234"/>
      <c r="DG130" s="234"/>
      <c r="DH130" s="234"/>
      <c r="DI130" s="234"/>
      <c r="DJ130" s="234"/>
      <c r="DK130" s="234"/>
      <c r="DL130" s="234"/>
      <c r="DM130" s="234"/>
      <c r="DN130" s="234"/>
      <c r="DO130" s="234"/>
      <c r="DP130" s="234"/>
      <c r="DQ130" s="234"/>
      <c r="DR130" s="234"/>
      <c r="DS130" s="234"/>
      <c r="DT130" s="234"/>
    </row>
    <row r="131" spans="1:124" s="231" customFormat="1" ht="16.5" customHeight="1" x14ac:dyDescent="0.25">
      <c r="A131" s="232"/>
      <c r="B131" s="232"/>
      <c r="C131" s="527"/>
      <c r="D131" s="528"/>
      <c r="E131" s="232"/>
      <c r="F131" s="93"/>
      <c r="G131" s="93"/>
      <c r="H131" s="37"/>
      <c r="I131" s="268" t="s">
        <v>1140</v>
      </c>
      <c r="J131" s="373" t="s">
        <v>1141</v>
      </c>
      <c r="L131" s="268" t="s">
        <v>1140</v>
      </c>
      <c r="M131" s="373" t="s">
        <v>1141</v>
      </c>
      <c r="O131" s="268" t="s">
        <v>1140</v>
      </c>
      <c r="P131" s="373" t="s">
        <v>1141</v>
      </c>
      <c r="R131" s="268" t="s">
        <v>1140</v>
      </c>
      <c r="S131" s="373" t="s">
        <v>1141</v>
      </c>
      <c r="U131" s="268" t="s">
        <v>1140</v>
      </c>
      <c r="V131" s="368" t="s">
        <v>1141</v>
      </c>
      <c r="X131" s="233"/>
      <c r="Y131" s="252">
        <f t="shared" si="217"/>
        <v>0</v>
      </c>
      <c r="Z131" s="252">
        <f t="shared" si="217"/>
        <v>0</v>
      </c>
      <c r="AA131" s="252">
        <f t="shared" si="217"/>
        <v>0</v>
      </c>
      <c r="AB131" s="252">
        <f t="shared" si="217"/>
        <v>0</v>
      </c>
      <c r="AC131" s="248">
        <f t="shared" si="217"/>
        <v>0</v>
      </c>
      <c r="AD131" s="248">
        <f t="shared" si="217"/>
        <v>0</v>
      </c>
      <c r="AE131" s="248">
        <f t="shared" si="218"/>
        <v>0</v>
      </c>
      <c r="AF131" s="248">
        <f t="shared" si="218"/>
        <v>0</v>
      </c>
      <c r="AG131" s="248">
        <f t="shared" si="218"/>
        <v>0</v>
      </c>
      <c r="AH131" s="248">
        <f t="shared" si="218"/>
        <v>0</v>
      </c>
      <c r="AI131" s="266"/>
      <c r="AJ131" s="247" t="str">
        <f t="shared" ca="1" si="219"/>
        <v>feb</v>
      </c>
      <c r="AK131" s="252">
        <f t="shared" si="220"/>
        <v>0</v>
      </c>
      <c r="AL131" s="252">
        <f t="shared" si="221"/>
        <v>0</v>
      </c>
      <c r="AM131" s="252">
        <f t="shared" si="221"/>
        <v>0</v>
      </c>
      <c r="AN131" s="252">
        <f t="shared" si="221"/>
        <v>0</v>
      </c>
      <c r="AO131" s="252">
        <f t="shared" si="221"/>
        <v>0</v>
      </c>
      <c r="AP131" s="252">
        <f t="shared" si="221"/>
        <v>0</v>
      </c>
      <c r="AQ131" s="252">
        <f t="shared" si="221"/>
        <v>0</v>
      </c>
      <c r="AR131" s="252">
        <f t="shared" si="221"/>
        <v>0</v>
      </c>
      <c r="AS131" s="252">
        <f t="shared" si="221"/>
        <v>0</v>
      </c>
      <c r="AT131" s="252">
        <f t="shared" si="221"/>
        <v>0</v>
      </c>
      <c r="AU131" s="252">
        <f t="shared" si="221"/>
        <v>0</v>
      </c>
      <c r="AV131" s="265"/>
      <c r="AW131" s="265"/>
      <c r="AX131" s="265"/>
      <c r="AY131" s="234"/>
      <c r="AZ131" s="234"/>
      <c r="BA131" s="234"/>
      <c r="BB131" s="234"/>
      <c r="BC131" s="234"/>
      <c r="BD131" s="234"/>
      <c r="BE131" s="234"/>
      <c r="BF131" s="234"/>
      <c r="BG131" s="234"/>
      <c r="BH131" s="234"/>
      <c r="BI131" s="234"/>
      <c r="BJ131" s="234"/>
      <c r="BK131" s="234"/>
      <c r="BL131" s="234"/>
      <c r="BM131" s="234"/>
      <c r="BN131" s="234"/>
      <c r="BO131" s="234"/>
      <c r="BP131" s="234"/>
      <c r="BQ131" s="234"/>
      <c r="BR131" s="234"/>
      <c r="BS131" s="234"/>
      <c r="BT131" s="67"/>
      <c r="BU131" s="67"/>
      <c r="BV131" s="67"/>
      <c r="BW131" s="67"/>
      <c r="BX131" s="67"/>
      <c r="BY131" s="67"/>
      <c r="BZ131" s="234"/>
      <c r="CA131" s="234"/>
      <c r="CB131" s="234"/>
      <c r="CC131" s="234"/>
      <c r="CD131" s="234"/>
      <c r="CE131" s="234"/>
      <c r="CF131" s="234"/>
      <c r="CG131" s="234"/>
      <c r="CH131" s="234"/>
      <c r="CI131" s="234"/>
      <c r="CJ131" s="234"/>
      <c r="CK131" s="234"/>
      <c r="CL131" s="234"/>
      <c r="CM131" s="234"/>
      <c r="CN131" s="234"/>
      <c r="CO131" s="234"/>
      <c r="CP131" s="234"/>
      <c r="CQ131" s="234"/>
      <c r="CR131" s="234"/>
      <c r="CS131" s="234"/>
      <c r="CT131" s="234"/>
      <c r="CU131" s="234"/>
      <c r="CV131" s="234"/>
      <c r="CW131" s="234"/>
      <c r="CX131" s="234"/>
      <c r="CY131" s="31"/>
      <c r="CZ131" s="234"/>
      <c r="DA131" s="234"/>
      <c r="DB131" s="234"/>
      <c r="DC131" s="234"/>
      <c r="DD131" s="234"/>
      <c r="DE131" s="234"/>
      <c r="DF131" s="234"/>
      <c r="DG131" s="234"/>
      <c r="DH131" s="234"/>
      <c r="DI131" s="234"/>
      <c r="DJ131" s="234"/>
      <c r="DK131" s="234"/>
      <c r="DL131" s="234"/>
      <c r="DM131" s="234"/>
      <c r="DN131" s="234"/>
      <c r="DO131" s="234"/>
      <c r="DP131" s="234"/>
      <c r="DQ131" s="234"/>
      <c r="DR131" s="234"/>
      <c r="DS131" s="234"/>
      <c r="DT131" s="234"/>
    </row>
    <row r="132" spans="1:124" s="231" customFormat="1" ht="16.5" customHeight="1" x14ac:dyDescent="0.25">
      <c r="A132" s="232"/>
      <c r="B132" s="232"/>
      <c r="C132" s="529"/>
      <c r="D132" s="530"/>
      <c r="E132" s="232"/>
      <c r="F132" s="232"/>
      <c r="G132" s="37"/>
      <c r="H132" s="37"/>
      <c r="I132" s="97"/>
      <c r="J132" s="66" t="s">
        <v>1132</v>
      </c>
      <c r="L132" s="97"/>
      <c r="M132" s="66" t="s">
        <v>1132</v>
      </c>
      <c r="O132" s="97"/>
      <c r="P132" s="66" t="s">
        <v>1132</v>
      </c>
      <c r="R132" s="97"/>
      <c r="S132" s="66" t="s">
        <v>1132</v>
      </c>
      <c r="U132" s="97"/>
      <c r="V132" s="66" t="s">
        <v>1132</v>
      </c>
      <c r="X132" s="233"/>
      <c r="Y132" s="252">
        <f t="shared" si="217"/>
        <v>0</v>
      </c>
      <c r="Z132" s="252">
        <f t="shared" si="217"/>
        <v>0</v>
      </c>
      <c r="AA132" s="252">
        <f t="shared" si="217"/>
        <v>0</v>
      </c>
      <c r="AB132" s="252">
        <f t="shared" si="217"/>
        <v>0</v>
      </c>
      <c r="AC132" s="248">
        <f t="shared" si="217"/>
        <v>0</v>
      </c>
      <c r="AD132" s="248">
        <f t="shared" si="217"/>
        <v>0</v>
      </c>
      <c r="AE132" s="248">
        <f t="shared" si="218"/>
        <v>0</v>
      </c>
      <c r="AF132" s="248">
        <f t="shared" si="218"/>
        <v>0</v>
      </c>
      <c r="AG132" s="248">
        <f t="shared" si="218"/>
        <v>0</v>
      </c>
      <c r="AH132" s="248">
        <f t="shared" si="218"/>
        <v>0</v>
      </c>
      <c r="AI132" s="266"/>
      <c r="AJ132" s="247" t="str">
        <f t="shared" ca="1" si="219"/>
        <v>mars</v>
      </c>
      <c r="AK132" s="252">
        <f t="shared" si="220"/>
        <v>0</v>
      </c>
      <c r="AL132" s="252">
        <f t="shared" si="221"/>
        <v>0</v>
      </c>
      <c r="AM132" s="252">
        <f t="shared" si="221"/>
        <v>0</v>
      </c>
      <c r="AN132" s="252">
        <f t="shared" si="221"/>
        <v>0</v>
      </c>
      <c r="AO132" s="252">
        <f t="shared" si="221"/>
        <v>0</v>
      </c>
      <c r="AP132" s="252">
        <f t="shared" si="221"/>
        <v>0</v>
      </c>
      <c r="AQ132" s="252">
        <f t="shared" si="221"/>
        <v>0</v>
      </c>
      <c r="AR132" s="252">
        <f t="shared" si="221"/>
        <v>0</v>
      </c>
      <c r="AS132" s="252">
        <f t="shared" si="221"/>
        <v>0</v>
      </c>
      <c r="AT132" s="252">
        <f t="shared" si="221"/>
        <v>0</v>
      </c>
      <c r="AU132" s="252">
        <f t="shared" si="221"/>
        <v>0</v>
      </c>
      <c r="AV132" s="265"/>
      <c r="AW132" s="265"/>
      <c r="AX132" s="265"/>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4"/>
      <c r="BT132" s="67"/>
      <c r="BU132" s="67"/>
      <c r="BV132" s="67"/>
      <c r="BW132" s="67"/>
      <c r="BX132" s="67"/>
      <c r="BY132" s="67"/>
      <c r="BZ132" s="234"/>
      <c r="CA132" s="234"/>
      <c r="CB132" s="234"/>
      <c r="CC132" s="234"/>
      <c r="CD132" s="234"/>
      <c r="CE132" s="234"/>
      <c r="CF132" s="234"/>
      <c r="CG132" s="234"/>
      <c r="CH132" s="234"/>
      <c r="CI132" s="234"/>
      <c r="CJ132" s="234"/>
      <c r="CK132" s="234"/>
      <c r="CL132" s="234"/>
      <c r="CM132" s="234"/>
      <c r="CN132" s="234"/>
      <c r="CO132" s="234"/>
      <c r="CP132" s="234"/>
      <c r="CQ132" s="234"/>
      <c r="CR132" s="234"/>
      <c r="CS132" s="234"/>
      <c r="CT132" s="234"/>
      <c r="CU132" s="234"/>
      <c r="CV132" s="234"/>
      <c r="CW132" s="234"/>
      <c r="CX132" s="234"/>
      <c r="CY132" s="31"/>
      <c r="CZ132" s="234"/>
      <c r="DA132" s="234"/>
      <c r="DB132" s="234"/>
      <c r="DC132" s="234"/>
      <c r="DD132" s="234"/>
      <c r="DE132" s="234"/>
      <c r="DF132" s="234"/>
      <c r="DG132" s="234"/>
      <c r="DH132" s="234"/>
      <c r="DI132" s="234"/>
      <c r="DJ132" s="234"/>
      <c r="DK132" s="234"/>
      <c r="DL132" s="234"/>
      <c r="DM132" s="234"/>
      <c r="DN132" s="234"/>
      <c r="DO132" s="234"/>
      <c r="DP132" s="234"/>
      <c r="DQ132" s="234"/>
      <c r="DR132" s="234"/>
      <c r="DS132" s="234"/>
      <c r="DT132" s="234"/>
    </row>
    <row r="133" spans="1:124" s="231" customFormat="1" ht="16.5" customHeight="1" x14ac:dyDescent="0.25">
      <c r="A133" s="232"/>
      <c r="B133" s="232"/>
      <c r="C133" s="531"/>
      <c r="D133" s="532"/>
      <c r="E133" s="232"/>
      <c r="F133" s="391" t="s">
        <v>1044</v>
      </c>
      <c r="G133" s="391" t="s">
        <v>1045</v>
      </c>
      <c r="H133" s="70"/>
      <c r="I133" s="106" t="s">
        <v>1075</v>
      </c>
      <c r="J133" s="442" t="s">
        <v>1086</v>
      </c>
      <c r="L133" s="106" t="s">
        <v>1075</v>
      </c>
      <c r="M133" s="442" t="s">
        <v>1086</v>
      </c>
      <c r="O133" s="106" t="s">
        <v>1075</v>
      </c>
      <c r="P133" s="442" t="s">
        <v>1086</v>
      </c>
      <c r="R133" s="106" t="s">
        <v>1075</v>
      </c>
      <c r="S133" s="442" t="s">
        <v>1086</v>
      </c>
      <c r="U133" s="106" t="s">
        <v>1075</v>
      </c>
      <c r="V133" s="442" t="s">
        <v>1086</v>
      </c>
      <c r="X133" s="233"/>
      <c r="Y133" s="252">
        <f t="shared" si="217"/>
        <v>0</v>
      </c>
      <c r="Z133" s="252">
        <f t="shared" si="217"/>
        <v>0</v>
      </c>
      <c r="AA133" s="252">
        <f t="shared" si="217"/>
        <v>0</v>
      </c>
      <c r="AB133" s="252">
        <f t="shared" si="217"/>
        <v>0</v>
      </c>
      <c r="AC133" s="248">
        <f t="shared" si="217"/>
        <v>0</v>
      </c>
      <c r="AD133" s="248">
        <f t="shared" si="217"/>
        <v>0</v>
      </c>
      <c r="AE133" s="248">
        <f t="shared" si="218"/>
        <v>0</v>
      </c>
      <c r="AF133" s="248">
        <f t="shared" si="218"/>
        <v>0</v>
      </c>
      <c r="AG133" s="248">
        <f t="shared" si="218"/>
        <v>0</v>
      </c>
      <c r="AH133" s="248">
        <f t="shared" si="218"/>
        <v>0</v>
      </c>
      <c r="AI133" s="266"/>
      <c r="AJ133" s="247" t="str">
        <f t="shared" ca="1" si="219"/>
        <v>apr</v>
      </c>
      <c r="AK133" s="252">
        <f t="shared" si="220"/>
        <v>0</v>
      </c>
      <c r="AL133" s="252">
        <f t="shared" si="221"/>
        <v>0</v>
      </c>
      <c r="AM133" s="252">
        <f t="shared" si="221"/>
        <v>0</v>
      </c>
      <c r="AN133" s="252">
        <f t="shared" si="221"/>
        <v>0</v>
      </c>
      <c r="AO133" s="252">
        <f t="shared" si="221"/>
        <v>0</v>
      </c>
      <c r="AP133" s="252">
        <f t="shared" si="221"/>
        <v>0</v>
      </c>
      <c r="AQ133" s="252">
        <f t="shared" si="221"/>
        <v>0</v>
      </c>
      <c r="AR133" s="252">
        <f t="shared" si="221"/>
        <v>0</v>
      </c>
      <c r="AS133" s="252">
        <f t="shared" si="221"/>
        <v>0</v>
      </c>
      <c r="AT133" s="252">
        <f t="shared" si="221"/>
        <v>0</v>
      </c>
      <c r="AU133" s="252">
        <f t="shared" si="221"/>
        <v>0</v>
      </c>
      <c r="AV133" s="265"/>
      <c r="AW133" s="265"/>
      <c r="AX133" s="265"/>
      <c r="AY133" s="234"/>
      <c r="AZ133" s="234"/>
      <c r="BA133" s="234"/>
      <c r="BB133" s="234"/>
      <c r="BC133" s="234"/>
      <c r="BD133" s="234"/>
      <c r="BE133" s="234"/>
      <c r="BF133" s="234"/>
      <c r="BG133" s="234"/>
      <c r="BH133" s="234"/>
      <c r="BI133" s="234"/>
      <c r="BJ133" s="234"/>
      <c r="BK133" s="234"/>
      <c r="BL133" s="234"/>
      <c r="BM133" s="234"/>
      <c r="BN133" s="234"/>
      <c r="BO133" s="234"/>
      <c r="BP133" s="234"/>
      <c r="BQ133" s="234"/>
      <c r="BR133" s="234"/>
      <c r="BS133" s="234"/>
      <c r="BT133" s="67"/>
      <c r="BU133" s="67"/>
      <c r="BV133" s="67"/>
      <c r="BW133" s="67"/>
      <c r="BX133" s="67"/>
      <c r="BY133" s="67"/>
      <c r="BZ133" s="234"/>
      <c r="CA133" s="234"/>
      <c r="CB133" s="234"/>
      <c r="CC133" s="234"/>
      <c r="CD133" s="234"/>
      <c r="CE133" s="234"/>
      <c r="CF133" s="234"/>
      <c r="CG133" s="234"/>
      <c r="CH133" s="234"/>
      <c r="CI133" s="234"/>
      <c r="CJ133" s="234"/>
      <c r="CK133" s="234"/>
      <c r="CL133" s="234"/>
      <c r="CM133" s="234"/>
      <c r="CN133" s="234"/>
      <c r="CO133" s="234"/>
      <c r="CP133" s="234"/>
      <c r="CQ133" s="234"/>
      <c r="CR133" s="234"/>
      <c r="CS133" s="234"/>
      <c r="CT133" s="234"/>
      <c r="CU133" s="234"/>
      <c r="CV133" s="234"/>
      <c r="CW133" s="234"/>
      <c r="CX133" s="234"/>
      <c r="CY133" s="31"/>
      <c r="CZ133" s="234"/>
      <c r="DA133" s="234"/>
      <c r="DB133" s="234"/>
      <c r="DC133" s="234"/>
      <c r="DD133" s="234"/>
      <c r="DE133" s="234"/>
      <c r="DF133" s="234"/>
      <c r="DG133" s="234"/>
      <c r="DH133" s="234"/>
      <c r="DI133" s="234"/>
      <c r="DJ133" s="234"/>
      <c r="DK133" s="234"/>
      <c r="DL133" s="234"/>
      <c r="DM133" s="234"/>
      <c r="DN133" s="234"/>
      <c r="DO133" s="234"/>
      <c r="DP133" s="234"/>
      <c r="DQ133" s="234"/>
      <c r="DR133" s="234"/>
      <c r="DS133" s="234"/>
      <c r="DT133" s="234"/>
    </row>
    <row r="134" spans="1:124" s="231" customFormat="1" ht="16.5" customHeight="1" x14ac:dyDescent="0.25">
      <c r="A134" s="232"/>
      <c r="B134" s="250"/>
      <c r="C134" s="250"/>
      <c r="D134" s="250"/>
      <c r="E134" s="251"/>
      <c r="F134" s="387">
        <f>G129</f>
        <v>2017</v>
      </c>
      <c r="G134" s="387" t="str">
        <f t="shared" ref="G134:G145" ca="1" si="222">OFFSET($EI$2,$EI$46+ROW(F134)-ROW($F$134),0)</f>
        <v>jan</v>
      </c>
      <c r="H134" s="70"/>
      <c r="I134" s="109">
        <f t="shared" ref="I134:I145" si="223">IF($D$129&gt;0,J134,0)</f>
        <v>0</v>
      </c>
      <c r="J134" s="388"/>
      <c r="L134" s="109">
        <f t="shared" ref="L134:L145" si="224">IF($D$129&gt;1,M134,0)</f>
        <v>0</v>
      </c>
      <c r="M134" s="388"/>
      <c r="O134" s="109">
        <f t="shared" ref="O134:O145" si="225">IF($D$129&gt;2,P134,0)</f>
        <v>0</v>
      </c>
      <c r="P134" s="388"/>
      <c r="R134" s="109">
        <f t="shared" ref="R134:R145" si="226">IF($D$129&gt;3,S134,0)</f>
        <v>0</v>
      </c>
      <c r="S134" s="388"/>
      <c r="U134" s="109">
        <f t="shared" ref="U134:U145" si="227">IF($D$129&gt;4,V134,0)</f>
        <v>0</v>
      </c>
      <c r="V134" s="388"/>
      <c r="X134" s="233"/>
      <c r="Y134" s="252">
        <f t="shared" si="217"/>
        <v>0</v>
      </c>
      <c r="Z134" s="252">
        <f t="shared" si="217"/>
        <v>0</v>
      </c>
      <c r="AA134" s="252">
        <f t="shared" si="217"/>
        <v>0</v>
      </c>
      <c r="AB134" s="252">
        <f t="shared" si="217"/>
        <v>0</v>
      </c>
      <c r="AC134" s="248">
        <f t="shared" si="217"/>
        <v>0</v>
      </c>
      <c r="AD134" s="248">
        <f t="shared" si="217"/>
        <v>0</v>
      </c>
      <c r="AE134" s="248">
        <f t="shared" si="218"/>
        <v>0</v>
      </c>
      <c r="AF134" s="248">
        <f t="shared" si="218"/>
        <v>0</v>
      </c>
      <c r="AG134" s="248">
        <f t="shared" si="218"/>
        <v>0</v>
      </c>
      <c r="AH134" s="248">
        <f t="shared" si="218"/>
        <v>0</v>
      </c>
      <c r="AI134" s="266"/>
      <c r="AJ134" s="247" t="str">
        <f t="shared" ca="1" si="219"/>
        <v>maj</v>
      </c>
      <c r="AK134" s="252">
        <f t="shared" si="220"/>
        <v>0</v>
      </c>
      <c r="AL134" s="252">
        <f t="shared" si="221"/>
        <v>0</v>
      </c>
      <c r="AM134" s="252">
        <f t="shared" si="221"/>
        <v>0</v>
      </c>
      <c r="AN134" s="252">
        <f t="shared" si="221"/>
        <v>0</v>
      </c>
      <c r="AO134" s="252">
        <f t="shared" si="221"/>
        <v>0</v>
      </c>
      <c r="AP134" s="252">
        <f t="shared" si="221"/>
        <v>0</v>
      </c>
      <c r="AQ134" s="252">
        <f t="shared" si="221"/>
        <v>0</v>
      </c>
      <c r="AR134" s="252">
        <f t="shared" si="221"/>
        <v>0</v>
      </c>
      <c r="AS134" s="252">
        <f t="shared" si="221"/>
        <v>0</v>
      </c>
      <c r="AT134" s="252">
        <f t="shared" si="221"/>
        <v>0</v>
      </c>
      <c r="AU134" s="252">
        <f t="shared" si="221"/>
        <v>0</v>
      </c>
      <c r="AV134" s="265"/>
      <c r="AW134" s="265"/>
      <c r="AX134" s="265"/>
      <c r="AY134" s="234"/>
      <c r="AZ134" s="234"/>
      <c r="BA134" s="234"/>
      <c r="BB134" s="234"/>
      <c r="BC134" s="234"/>
      <c r="BD134" s="234"/>
      <c r="BE134" s="234"/>
      <c r="BF134" s="234"/>
      <c r="BG134" s="234"/>
      <c r="BH134" s="234"/>
      <c r="BI134" s="234"/>
      <c r="BJ134" s="234"/>
      <c r="BK134" s="234"/>
      <c r="BL134" s="234"/>
      <c r="BM134" s="234"/>
      <c r="BN134" s="234"/>
      <c r="BO134" s="234"/>
      <c r="BP134" s="234"/>
      <c r="BQ134" s="234"/>
      <c r="BR134" s="234"/>
      <c r="BS134" s="234"/>
      <c r="BT134" s="67"/>
      <c r="BU134" s="67"/>
      <c r="BV134" s="67"/>
      <c r="BW134" s="67"/>
      <c r="BX134" s="67"/>
      <c r="BY134" s="67"/>
      <c r="BZ134" s="234"/>
      <c r="CA134" s="234"/>
      <c r="CB134" s="234"/>
      <c r="CC134" s="234"/>
      <c r="CD134" s="234"/>
      <c r="CE134" s="234"/>
      <c r="CF134" s="234"/>
      <c r="CG134" s="234"/>
      <c r="CH134" s="234"/>
      <c r="CI134" s="234"/>
      <c r="CJ134" s="234"/>
      <c r="CK134" s="234"/>
      <c r="CL134" s="234"/>
      <c r="CM134" s="234"/>
      <c r="CN134" s="234"/>
      <c r="CO134" s="234"/>
      <c r="CP134" s="234"/>
      <c r="CQ134" s="234"/>
      <c r="CR134" s="234"/>
      <c r="CS134" s="234"/>
      <c r="CT134" s="234"/>
      <c r="CU134" s="234"/>
      <c r="CV134" s="234"/>
      <c r="CW134" s="234"/>
      <c r="CX134" s="234"/>
      <c r="CY134" s="31"/>
      <c r="CZ134" s="234"/>
      <c r="DA134" s="234"/>
      <c r="DB134" s="234"/>
      <c r="DC134" s="234"/>
      <c r="DD134" s="234"/>
      <c r="DE134" s="234"/>
      <c r="DF134" s="234"/>
      <c r="DG134" s="234"/>
      <c r="DH134" s="234"/>
      <c r="DI134" s="234"/>
      <c r="DJ134" s="234"/>
      <c r="DK134" s="234"/>
      <c r="DL134" s="234"/>
      <c r="DM134" s="234"/>
      <c r="DN134" s="234"/>
      <c r="DO134" s="234"/>
      <c r="DP134" s="234"/>
      <c r="DQ134" s="234"/>
      <c r="DR134" s="234"/>
      <c r="DS134" s="234"/>
      <c r="DT134" s="234"/>
    </row>
    <row r="135" spans="1:124" s="231" customFormat="1" ht="16.5" customHeight="1" x14ac:dyDescent="0.25">
      <c r="A135" s="232"/>
      <c r="B135" s="250"/>
      <c r="C135" s="250"/>
      <c r="D135" s="250"/>
      <c r="E135" s="232"/>
      <c r="F135" s="387">
        <f ca="1">IF(G135="jan",F134+1,F134)</f>
        <v>2017</v>
      </c>
      <c r="G135" s="387" t="str">
        <f t="shared" ca="1" si="222"/>
        <v>feb</v>
      </c>
      <c r="H135" s="70"/>
      <c r="I135" s="109">
        <f t="shared" si="223"/>
        <v>0</v>
      </c>
      <c r="J135" s="388"/>
      <c r="L135" s="109">
        <f t="shared" si="224"/>
        <v>0</v>
      </c>
      <c r="M135" s="388"/>
      <c r="O135" s="109">
        <f t="shared" si="225"/>
        <v>0</v>
      </c>
      <c r="P135" s="388"/>
      <c r="R135" s="109">
        <f t="shared" si="226"/>
        <v>0</v>
      </c>
      <c r="S135" s="388"/>
      <c r="U135" s="109">
        <f t="shared" si="227"/>
        <v>0</v>
      </c>
      <c r="V135" s="388"/>
      <c r="X135" s="233"/>
      <c r="Y135" s="252">
        <f t="shared" si="217"/>
        <v>0</v>
      </c>
      <c r="Z135" s="252">
        <f t="shared" si="217"/>
        <v>0</v>
      </c>
      <c r="AA135" s="252">
        <f t="shared" si="217"/>
        <v>0</v>
      </c>
      <c r="AB135" s="252">
        <f t="shared" si="217"/>
        <v>0</v>
      </c>
      <c r="AC135" s="248">
        <f t="shared" si="217"/>
        <v>0</v>
      </c>
      <c r="AD135" s="248">
        <f t="shared" si="217"/>
        <v>0</v>
      </c>
      <c r="AE135" s="248">
        <f t="shared" si="218"/>
        <v>0</v>
      </c>
      <c r="AF135" s="248">
        <f t="shared" si="218"/>
        <v>0</v>
      </c>
      <c r="AG135" s="248">
        <f t="shared" si="218"/>
        <v>0</v>
      </c>
      <c r="AH135" s="248">
        <f t="shared" si="218"/>
        <v>0</v>
      </c>
      <c r="AI135" s="266"/>
      <c r="AJ135" s="247" t="str">
        <f t="shared" ca="1" si="219"/>
        <v xml:space="preserve">jun </v>
      </c>
      <c r="AK135" s="252">
        <f t="shared" si="220"/>
        <v>0</v>
      </c>
      <c r="AL135" s="252">
        <f t="shared" si="221"/>
        <v>0</v>
      </c>
      <c r="AM135" s="252">
        <f t="shared" si="221"/>
        <v>0</v>
      </c>
      <c r="AN135" s="252">
        <f t="shared" si="221"/>
        <v>0</v>
      </c>
      <c r="AO135" s="252">
        <f t="shared" si="221"/>
        <v>0</v>
      </c>
      <c r="AP135" s="252">
        <f t="shared" si="221"/>
        <v>0</v>
      </c>
      <c r="AQ135" s="252">
        <f t="shared" si="221"/>
        <v>0</v>
      </c>
      <c r="AR135" s="252">
        <f t="shared" si="221"/>
        <v>0</v>
      </c>
      <c r="AS135" s="252">
        <f t="shared" si="221"/>
        <v>0</v>
      </c>
      <c r="AT135" s="252">
        <f t="shared" si="221"/>
        <v>0</v>
      </c>
      <c r="AU135" s="252">
        <f t="shared" si="221"/>
        <v>0</v>
      </c>
      <c r="AV135" s="265"/>
      <c r="AW135" s="265"/>
      <c r="AX135" s="265"/>
      <c r="AY135" s="234"/>
      <c r="AZ135" s="234"/>
      <c r="BA135" s="234"/>
      <c r="BB135" s="234"/>
      <c r="BC135" s="234"/>
      <c r="BD135" s="234"/>
      <c r="BE135" s="234"/>
      <c r="BF135" s="234"/>
      <c r="BG135" s="234"/>
      <c r="BH135" s="234"/>
      <c r="BI135" s="234"/>
      <c r="BJ135" s="234"/>
      <c r="BK135" s="234"/>
      <c r="BL135" s="234"/>
      <c r="BM135" s="234"/>
      <c r="BN135" s="234"/>
      <c r="BO135" s="234"/>
      <c r="BP135" s="234"/>
      <c r="BQ135" s="234"/>
      <c r="BR135" s="234"/>
      <c r="BS135" s="234"/>
      <c r="BT135" s="67"/>
      <c r="BU135" s="67"/>
      <c r="BV135" s="67"/>
      <c r="BW135" s="67"/>
      <c r="BX135" s="67"/>
      <c r="BY135" s="67"/>
      <c r="BZ135" s="234"/>
      <c r="CA135" s="234"/>
      <c r="CB135" s="234"/>
      <c r="CC135" s="234"/>
      <c r="CD135" s="234"/>
      <c r="CE135" s="234"/>
      <c r="CF135" s="234"/>
      <c r="CG135" s="234"/>
      <c r="CH135" s="234"/>
      <c r="CI135" s="234"/>
      <c r="CJ135" s="234"/>
      <c r="CK135" s="234"/>
      <c r="CL135" s="234"/>
      <c r="CM135" s="234"/>
      <c r="CN135" s="234"/>
      <c r="CO135" s="234"/>
      <c r="CP135" s="234"/>
      <c r="CQ135" s="234"/>
      <c r="CR135" s="234"/>
      <c r="CS135" s="234"/>
      <c r="CT135" s="234"/>
      <c r="CU135" s="234"/>
      <c r="CV135" s="234"/>
      <c r="CW135" s="234"/>
      <c r="CX135" s="234"/>
      <c r="CY135" s="31"/>
      <c r="CZ135" s="234"/>
      <c r="DA135" s="234"/>
      <c r="DB135" s="234"/>
      <c r="DC135" s="234"/>
      <c r="DD135" s="234"/>
      <c r="DE135" s="234"/>
      <c r="DF135" s="234"/>
      <c r="DG135" s="234"/>
      <c r="DH135" s="234"/>
      <c r="DI135" s="234"/>
      <c r="DJ135" s="234"/>
      <c r="DK135" s="234"/>
      <c r="DL135" s="234"/>
      <c r="DM135" s="234"/>
      <c r="DN135" s="234"/>
      <c r="DO135" s="234"/>
      <c r="DP135" s="234"/>
      <c r="DQ135" s="234"/>
      <c r="DR135" s="234"/>
      <c r="DS135" s="234"/>
      <c r="DT135" s="234"/>
    </row>
    <row r="136" spans="1:124" s="231" customFormat="1" ht="16.5" customHeight="1" x14ac:dyDescent="0.25">
      <c r="A136" s="232"/>
      <c r="B136" s="250"/>
      <c r="C136" s="250"/>
      <c r="D136" s="250"/>
      <c r="E136" s="232"/>
      <c r="F136" s="387">
        <f t="shared" ref="F136:F145" ca="1" si="228">IF(G136="jan",F135+1,F135)</f>
        <v>2017</v>
      </c>
      <c r="G136" s="387" t="str">
        <f t="shared" ca="1" si="222"/>
        <v>mars</v>
      </c>
      <c r="H136" s="70"/>
      <c r="I136" s="109">
        <f t="shared" si="223"/>
        <v>0</v>
      </c>
      <c r="J136" s="388"/>
      <c r="L136" s="109">
        <f t="shared" si="224"/>
        <v>0</v>
      </c>
      <c r="M136" s="388"/>
      <c r="O136" s="109">
        <f t="shared" si="225"/>
        <v>0</v>
      </c>
      <c r="P136" s="388"/>
      <c r="R136" s="109">
        <f t="shared" si="226"/>
        <v>0</v>
      </c>
      <c r="S136" s="388"/>
      <c r="U136" s="109">
        <f t="shared" si="227"/>
        <v>0</v>
      </c>
      <c r="V136" s="388"/>
      <c r="X136" s="233"/>
      <c r="Y136" s="252">
        <f t="shared" si="217"/>
        <v>0</v>
      </c>
      <c r="Z136" s="252">
        <f t="shared" si="217"/>
        <v>0</v>
      </c>
      <c r="AA136" s="252">
        <f t="shared" si="217"/>
        <v>0</v>
      </c>
      <c r="AB136" s="252">
        <f t="shared" si="217"/>
        <v>0</v>
      </c>
      <c r="AC136" s="248">
        <f t="shared" si="217"/>
        <v>0</v>
      </c>
      <c r="AD136" s="248">
        <f t="shared" si="217"/>
        <v>0</v>
      </c>
      <c r="AE136" s="248">
        <f t="shared" si="218"/>
        <v>0</v>
      </c>
      <c r="AF136" s="248">
        <f t="shared" si="218"/>
        <v>0</v>
      </c>
      <c r="AG136" s="248">
        <f t="shared" si="218"/>
        <v>0</v>
      </c>
      <c r="AH136" s="248">
        <f t="shared" si="218"/>
        <v>0</v>
      </c>
      <c r="AI136" s="266"/>
      <c r="AJ136" s="247" t="str">
        <f t="shared" ca="1" si="219"/>
        <v>jul</v>
      </c>
      <c r="AK136" s="252">
        <f t="shared" si="220"/>
        <v>0</v>
      </c>
      <c r="AL136" s="252">
        <f t="shared" si="221"/>
        <v>0</v>
      </c>
      <c r="AM136" s="252">
        <f t="shared" si="221"/>
        <v>0</v>
      </c>
      <c r="AN136" s="252">
        <f t="shared" si="221"/>
        <v>0</v>
      </c>
      <c r="AO136" s="252">
        <f t="shared" si="221"/>
        <v>0</v>
      </c>
      <c r="AP136" s="252">
        <f t="shared" si="221"/>
        <v>0</v>
      </c>
      <c r="AQ136" s="252">
        <f t="shared" si="221"/>
        <v>0</v>
      </c>
      <c r="AR136" s="252">
        <f t="shared" si="221"/>
        <v>0</v>
      </c>
      <c r="AS136" s="252">
        <f t="shared" si="221"/>
        <v>0</v>
      </c>
      <c r="AT136" s="252">
        <f t="shared" si="221"/>
        <v>0</v>
      </c>
      <c r="AU136" s="252">
        <f t="shared" si="221"/>
        <v>0</v>
      </c>
      <c r="AV136" s="265"/>
      <c r="AW136" s="265"/>
      <c r="AX136" s="265"/>
      <c r="AY136" s="234"/>
      <c r="AZ136" s="234"/>
      <c r="BA136" s="234"/>
      <c r="BB136" s="234"/>
      <c r="BC136" s="234"/>
      <c r="BD136" s="234"/>
      <c r="BE136" s="234"/>
      <c r="BF136" s="234"/>
      <c r="BG136" s="234"/>
      <c r="BH136" s="234"/>
      <c r="BI136" s="234"/>
      <c r="BJ136" s="234"/>
      <c r="BK136" s="234"/>
      <c r="BL136" s="234"/>
      <c r="BM136" s="234"/>
      <c r="BN136" s="234"/>
      <c r="BO136" s="234"/>
      <c r="BP136" s="234"/>
      <c r="BQ136" s="234"/>
      <c r="BR136" s="234"/>
      <c r="BS136" s="234"/>
      <c r="BT136" s="67"/>
      <c r="BU136" s="67"/>
      <c r="BV136" s="67"/>
      <c r="BW136" s="67"/>
      <c r="BX136" s="67"/>
      <c r="BY136" s="67"/>
      <c r="BZ136" s="234"/>
      <c r="CA136" s="234"/>
      <c r="CB136" s="234"/>
      <c r="CC136" s="234"/>
      <c r="CD136" s="234"/>
      <c r="CE136" s="234"/>
      <c r="CF136" s="234"/>
      <c r="CG136" s="234"/>
      <c r="CH136" s="234"/>
      <c r="CI136" s="234"/>
      <c r="CJ136" s="234"/>
      <c r="CK136" s="234"/>
      <c r="CL136" s="234"/>
      <c r="CM136" s="234"/>
      <c r="CN136" s="234"/>
      <c r="CO136" s="234"/>
      <c r="CP136" s="234"/>
      <c r="CQ136" s="234"/>
      <c r="CR136" s="234"/>
      <c r="CS136" s="234"/>
      <c r="CT136" s="234"/>
      <c r="CU136" s="234"/>
      <c r="CV136" s="234"/>
      <c r="CW136" s="234"/>
      <c r="CX136" s="234"/>
      <c r="CY136" s="31"/>
      <c r="CZ136" s="234"/>
      <c r="DA136" s="234"/>
      <c r="DB136" s="234"/>
      <c r="DC136" s="234"/>
      <c r="DD136" s="234"/>
      <c r="DE136" s="234"/>
      <c r="DF136" s="234"/>
      <c r="DG136" s="234"/>
      <c r="DH136" s="234"/>
      <c r="DI136" s="234"/>
      <c r="DJ136" s="234"/>
      <c r="DK136" s="234"/>
      <c r="DL136" s="234"/>
      <c r="DM136" s="234"/>
      <c r="DN136" s="234"/>
      <c r="DO136" s="234"/>
      <c r="DP136" s="234"/>
      <c r="DQ136" s="234"/>
      <c r="DR136" s="234"/>
      <c r="DS136" s="234"/>
      <c r="DT136" s="234"/>
    </row>
    <row r="137" spans="1:124" s="231" customFormat="1" ht="16.5" customHeight="1" x14ac:dyDescent="0.25">
      <c r="A137" s="232"/>
      <c r="B137" s="250"/>
      <c r="C137" s="250"/>
      <c r="D137" s="250"/>
      <c r="E137" s="232"/>
      <c r="F137" s="387">
        <f t="shared" ca="1" si="228"/>
        <v>2017</v>
      </c>
      <c r="G137" s="387" t="str">
        <f t="shared" ca="1" si="222"/>
        <v>apr</v>
      </c>
      <c r="H137" s="70"/>
      <c r="I137" s="109">
        <f t="shared" si="223"/>
        <v>0</v>
      </c>
      <c r="J137" s="388"/>
      <c r="L137" s="109">
        <f t="shared" si="224"/>
        <v>0</v>
      </c>
      <c r="M137" s="388"/>
      <c r="O137" s="109">
        <f t="shared" si="225"/>
        <v>0</v>
      </c>
      <c r="P137" s="388"/>
      <c r="R137" s="109">
        <f t="shared" si="226"/>
        <v>0</v>
      </c>
      <c r="S137" s="388"/>
      <c r="U137" s="109">
        <f t="shared" si="227"/>
        <v>0</v>
      </c>
      <c r="V137" s="388"/>
      <c r="X137" s="233"/>
      <c r="Y137" s="252">
        <f t="shared" si="217"/>
        <v>0</v>
      </c>
      <c r="Z137" s="252">
        <f t="shared" si="217"/>
        <v>0</v>
      </c>
      <c r="AA137" s="252">
        <f t="shared" si="217"/>
        <v>0</v>
      </c>
      <c r="AB137" s="252">
        <f t="shared" si="217"/>
        <v>0</v>
      </c>
      <c r="AC137" s="248">
        <f t="shared" si="217"/>
        <v>0</v>
      </c>
      <c r="AD137" s="248">
        <f t="shared" si="217"/>
        <v>0</v>
      </c>
      <c r="AE137" s="248">
        <f t="shared" si="218"/>
        <v>0</v>
      </c>
      <c r="AF137" s="248">
        <f t="shared" si="218"/>
        <v>0</v>
      </c>
      <c r="AG137" s="248">
        <f t="shared" si="218"/>
        <v>0</v>
      </c>
      <c r="AH137" s="248">
        <f t="shared" si="218"/>
        <v>0</v>
      </c>
      <c r="AI137" s="266"/>
      <c r="AJ137" s="247" t="str">
        <f t="shared" ca="1" si="219"/>
        <v>aug</v>
      </c>
      <c r="AK137" s="252">
        <f t="shared" si="220"/>
        <v>0</v>
      </c>
      <c r="AL137" s="252">
        <f t="shared" si="221"/>
        <v>0</v>
      </c>
      <c r="AM137" s="252">
        <f t="shared" si="221"/>
        <v>0</v>
      </c>
      <c r="AN137" s="252">
        <f t="shared" si="221"/>
        <v>0</v>
      </c>
      <c r="AO137" s="252">
        <f t="shared" si="221"/>
        <v>0</v>
      </c>
      <c r="AP137" s="252">
        <f t="shared" si="221"/>
        <v>0</v>
      </c>
      <c r="AQ137" s="252">
        <f t="shared" si="221"/>
        <v>0</v>
      </c>
      <c r="AR137" s="252">
        <f t="shared" si="221"/>
        <v>0</v>
      </c>
      <c r="AS137" s="252">
        <f t="shared" si="221"/>
        <v>0</v>
      </c>
      <c r="AT137" s="252">
        <f t="shared" si="221"/>
        <v>0</v>
      </c>
      <c r="AU137" s="252">
        <f t="shared" si="221"/>
        <v>0</v>
      </c>
      <c r="AV137" s="265"/>
      <c r="AW137" s="265"/>
      <c r="AX137" s="265"/>
      <c r="AY137" s="234"/>
      <c r="AZ137" s="234"/>
      <c r="BA137" s="234"/>
      <c r="BB137" s="234"/>
      <c r="BC137" s="234"/>
      <c r="BD137" s="234"/>
      <c r="BE137" s="234"/>
      <c r="BF137" s="234"/>
      <c r="BG137" s="234"/>
      <c r="BH137" s="234"/>
      <c r="BI137" s="234"/>
      <c r="BJ137" s="234"/>
      <c r="BK137" s="234"/>
      <c r="BL137" s="234"/>
      <c r="BM137" s="234"/>
      <c r="BN137" s="234"/>
      <c r="BO137" s="234"/>
      <c r="BP137" s="234"/>
      <c r="BQ137" s="234"/>
      <c r="BR137" s="234"/>
      <c r="BS137" s="234"/>
      <c r="BT137" s="67"/>
      <c r="BU137" s="67"/>
      <c r="BV137" s="67"/>
      <c r="BW137" s="67"/>
      <c r="BX137" s="67"/>
      <c r="BY137" s="67"/>
      <c r="BZ137" s="234"/>
      <c r="CA137" s="234"/>
      <c r="CB137" s="234"/>
      <c r="CC137" s="234"/>
      <c r="CD137" s="234"/>
      <c r="CE137" s="234"/>
      <c r="CF137" s="234"/>
      <c r="CG137" s="234"/>
      <c r="CH137" s="234"/>
      <c r="CI137" s="234"/>
      <c r="CJ137" s="234"/>
      <c r="CK137" s="234"/>
      <c r="CL137" s="234"/>
      <c r="CM137" s="234"/>
      <c r="CN137" s="234"/>
      <c r="CO137" s="234"/>
      <c r="CP137" s="234"/>
      <c r="CQ137" s="234"/>
      <c r="CR137" s="234"/>
      <c r="CS137" s="234"/>
      <c r="CT137" s="234"/>
      <c r="CU137" s="234"/>
      <c r="CV137" s="234"/>
      <c r="CW137" s="234"/>
      <c r="CX137" s="234"/>
      <c r="CY137" s="31"/>
      <c r="CZ137" s="234"/>
      <c r="DA137" s="234"/>
      <c r="DB137" s="234"/>
      <c r="DC137" s="234"/>
      <c r="DD137" s="234"/>
      <c r="DE137" s="234"/>
      <c r="DF137" s="234"/>
      <c r="DG137" s="234"/>
      <c r="DH137" s="234"/>
      <c r="DI137" s="234"/>
      <c r="DJ137" s="234"/>
      <c r="DK137" s="234"/>
      <c r="DL137" s="234"/>
      <c r="DM137" s="234"/>
      <c r="DN137" s="234"/>
      <c r="DO137" s="234"/>
      <c r="DP137" s="234"/>
      <c r="DQ137" s="234"/>
      <c r="DR137" s="234"/>
      <c r="DS137" s="234"/>
      <c r="DT137" s="234"/>
    </row>
    <row r="138" spans="1:124" s="231" customFormat="1" ht="16.5" customHeight="1" x14ac:dyDescent="0.25">
      <c r="A138" s="232"/>
      <c r="B138" s="250"/>
      <c r="C138" s="250"/>
      <c r="D138" s="250"/>
      <c r="E138" s="232"/>
      <c r="F138" s="387">
        <f t="shared" ca="1" si="228"/>
        <v>2017</v>
      </c>
      <c r="G138" s="387" t="str">
        <f t="shared" ca="1" si="222"/>
        <v>maj</v>
      </c>
      <c r="H138" s="70"/>
      <c r="I138" s="109">
        <f t="shared" si="223"/>
        <v>0</v>
      </c>
      <c r="J138" s="388"/>
      <c r="L138" s="109">
        <f t="shared" si="224"/>
        <v>0</v>
      </c>
      <c r="M138" s="388"/>
      <c r="O138" s="109">
        <f t="shared" si="225"/>
        <v>0</v>
      </c>
      <c r="P138" s="388"/>
      <c r="R138" s="109">
        <f t="shared" si="226"/>
        <v>0</v>
      </c>
      <c r="S138" s="388"/>
      <c r="U138" s="109">
        <f t="shared" si="227"/>
        <v>0</v>
      </c>
      <c r="V138" s="388"/>
      <c r="X138" s="233"/>
      <c r="Y138" s="252">
        <f t="shared" si="217"/>
        <v>0</v>
      </c>
      <c r="Z138" s="252">
        <f t="shared" si="217"/>
        <v>0</v>
      </c>
      <c r="AA138" s="252">
        <f t="shared" si="217"/>
        <v>0</v>
      </c>
      <c r="AB138" s="252">
        <f t="shared" si="217"/>
        <v>0</v>
      </c>
      <c r="AC138" s="248">
        <f t="shared" si="217"/>
        <v>0</v>
      </c>
      <c r="AD138" s="248">
        <f t="shared" si="217"/>
        <v>0</v>
      </c>
      <c r="AE138" s="248">
        <f t="shared" si="218"/>
        <v>0</v>
      </c>
      <c r="AF138" s="248">
        <f t="shared" si="218"/>
        <v>0</v>
      </c>
      <c r="AG138" s="248">
        <f t="shared" si="218"/>
        <v>0</v>
      </c>
      <c r="AH138" s="248">
        <f t="shared" si="218"/>
        <v>0</v>
      </c>
      <c r="AI138" s="266"/>
      <c r="AJ138" s="247" t="str">
        <f t="shared" ca="1" si="219"/>
        <v>sept</v>
      </c>
      <c r="AK138" s="252">
        <f t="shared" si="220"/>
        <v>0</v>
      </c>
      <c r="AL138" s="252">
        <f t="shared" si="221"/>
        <v>0</v>
      </c>
      <c r="AM138" s="252">
        <f t="shared" si="221"/>
        <v>0</v>
      </c>
      <c r="AN138" s="252">
        <f t="shared" si="221"/>
        <v>0</v>
      </c>
      <c r="AO138" s="252">
        <f t="shared" si="221"/>
        <v>0</v>
      </c>
      <c r="AP138" s="252">
        <f t="shared" si="221"/>
        <v>0</v>
      </c>
      <c r="AQ138" s="252">
        <f t="shared" si="221"/>
        <v>0</v>
      </c>
      <c r="AR138" s="252">
        <f t="shared" si="221"/>
        <v>0</v>
      </c>
      <c r="AS138" s="252">
        <f t="shared" si="221"/>
        <v>0</v>
      </c>
      <c r="AT138" s="252">
        <f t="shared" si="221"/>
        <v>0</v>
      </c>
      <c r="AU138" s="252">
        <f t="shared" si="221"/>
        <v>0</v>
      </c>
      <c r="AV138" s="265"/>
      <c r="AW138" s="265"/>
      <c r="AX138" s="265"/>
      <c r="AY138" s="234"/>
      <c r="AZ138" s="234"/>
      <c r="BA138" s="234"/>
      <c r="BB138" s="234"/>
      <c r="BC138" s="234"/>
      <c r="BD138" s="234"/>
      <c r="BE138" s="234"/>
      <c r="BF138" s="234"/>
      <c r="BG138" s="234"/>
      <c r="BH138" s="234"/>
      <c r="BI138" s="234"/>
      <c r="BJ138" s="234"/>
      <c r="BK138" s="234"/>
      <c r="BL138" s="234"/>
      <c r="BM138" s="234"/>
      <c r="BN138" s="234"/>
      <c r="BO138" s="234"/>
      <c r="BP138" s="234"/>
      <c r="BQ138" s="234"/>
      <c r="BR138" s="234"/>
      <c r="BS138" s="234"/>
      <c r="BT138" s="67"/>
      <c r="BU138" s="67"/>
      <c r="BV138" s="67"/>
      <c r="BW138" s="67"/>
      <c r="BX138" s="67"/>
      <c r="BY138" s="67"/>
      <c r="BZ138" s="234"/>
      <c r="CA138" s="234"/>
      <c r="CB138" s="234"/>
      <c r="CC138" s="234"/>
      <c r="CD138" s="234"/>
      <c r="CE138" s="234"/>
      <c r="CF138" s="234"/>
      <c r="CG138" s="234"/>
      <c r="CH138" s="234"/>
      <c r="CI138" s="234"/>
      <c r="CJ138" s="234"/>
      <c r="CK138" s="234"/>
      <c r="CL138" s="234"/>
      <c r="CM138" s="234"/>
      <c r="CN138" s="234"/>
      <c r="CO138" s="234"/>
      <c r="CP138" s="234"/>
      <c r="CQ138" s="234"/>
      <c r="CR138" s="234"/>
      <c r="CS138" s="234"/>
      <c r="CT138" s="234"/>
      <c r="CU138" s="234"/>
      <c r="CV138" s="234"/>
      <c r="CW138" s="234"/>
      <c r="CX138" s="234"/>
      <c r="CY138" s="31"/>
      <c r="CZ138" s="234"/>
      <c r="DA138" s="234"/>
      <c r="DB138" s="234"/>
      <c r="DC138" s="234"/>
      <c r="DD138" s="234"/>
      <c r="DE138" s="234"/>
      <c r="DF138" s="234"/>
      <c r="DG138" s="234"/>
      <c r="DH138" s="234"/>
      <c r="DI138" s="234"/>
      <c r="DJ138" s="234"/>
      <c r="DK138" s="234"/>
      <c r="DL138" s="234"/>
      <c r="DM138" s="234"/>
      <c r="DN138" s="234"/>
      <c r="DO138" s="234"/>
      <c r="DP138" s="234"/>
      <c r="DQ138" s="234"/>
      <c r="DR138" s="234"/>
      <c r="DS138" s="234"/>
      <c r="DT138" s="234"/>
    </row>
    <row r="139" spans="1:124" s="231" customFormat="1" ht="16.5" customHeight="1" x14ac:dyDescent="0.25">
      <c r="A139" s="232"/>
      <c r="B139" s="250"/>
      <c r="C139" s="250"/>
      <c r="D139" s="250"/>
      <c r="E139" s="232"/>
      <c r="F139" s="387">
        <f t="shared" ca="1" si="228"/>
        <v>2017</v>
      </c>
      <c r="G139" s="387" t="str">
        <f t="shared" ca="1" si="222"/>
        <v xml:space="preserve">jun </v>
      </c>
      <c r="H139" s="70"/>
      <c r="I139" s="109">
        <f t="shared" si="223"/>
        <v>0</v>
      </c>
      <c r="J139" s="388"/>
      <c r="L139" s="109">
        <f t="shared" si="224"/>
        <v>0</v>
      </c>
      <c r="M139" s="388"/>
      <c r="O139" s="109">
        <f t="shared" si="225"/>
        <v>0</v>
      </c>
      <c r="P139" s="388"/>
      <c r="R139" s="109">
        <f t="shared" si="226"/>
        <v>0</v>
      </c>
      <c r="S139" s="388"/>
      <c r="U139" s="109">
        <f t="shared" si="227"/>
        <v>0</v>
      </c>
      <c r="V139" s="388"/>
      <c r="X139" s="233"/>
      <c r="Y139" s="252">
        <f t="shared" si="217"/>
        <v>0</v>
      </c>
      <c r="Z139" s="252">
        <f t="shared" si="217"/>
        <v>0</v>
      </c>
      <c r="AA139" s="252">
        <f t="shared" si="217"/>
        <v>0</v>
      </c>
      <c r="AB139" s="252">
        <f t="shared" si="217"/>
        <v>0</v>
      </c>
      <c r="AC139" s="248">
        <f t="shared" si="217"/>
        <v>0</v>
      </c>
      <c r="AD139" s="248">
        <f t="shared" si="217"/>
        <v>0</v>
      </c>
      <c r="AE139" s="248">
        <f t="shared" si="218"/>
        <v>0</v>
      </c>
      <c r="AF139" s="248">
        <f t="shared" si="218"/>
        <v>0</v>
      </c>
      <c r="AG139" s="248">
        <f t="shared" si="218"/>
        <v>0</v>
      </c>
      <c r="AH139" s="248">
        <f t="shared" si="218"/>
        <v>0</v>
      </c>
      <c r="AI139" s="266"/>
      <c r="AJ139" s="247" t="str">
        <f t="shared" ca="1" si="219"/>
        <v>okt</v>
      </c>
      <c r="AK139" s="252">
        <f t="shared" si="220"/>
        <v>0</v>
      </c>
      <c r="AL139" s="252">
        <f t="shared" si="221"/>
        <v>0</v>
      </c>
      <c r="AM139" s="252">
        <f t="shared" si="221"/>
        <v>0</v>
      </c>
      <c r="AN139" s="252">
        <f t="shared" si="221"/>
        <v>0</v>
      </c>
      <c r="AO139" s="252">
        <f t="shared" si="221"/>
        <v>0</v>
      </c>
      <c r="AP139" s="252">
        <f t="shared" si="221"/>
        <v>0</v>
      </c>
      <c r="AQ139" s="252">
        <f t="shared" si="221"/>
        <v>0</v>
      </c>
      <c r="AR139" s="252">
        <f t="shared" si="221"/>
        <v>0</v>
      </c>
      <c r="AS139" s="252">
        <f t="shared" si="221"/>
        <v>0</v>
      </c>
      <c r="AT139" s="252">
        <f t="shared" si="221"/>
        <v>0</v>
      </c>
      <c r="AU139" s="252">
        <f t="shared" si="221"/>
        <v>0</v>
      </c>
      <c r="AV139" s="265"/>
      <c r="AW139" s="265"/>
      <c r="AX139" s="265"/>
      <c r="AY139" s="234"/>
      <c r="AZ139" s="234"/>
      <c r="BA139" s="234"/>
      <c r="BB139" s="234"/>
      <c r="BC139" s="234"/>
      <c r="BD139" s="234"/>
      <c r="BE139" s="234"/>
      <c r="BF139" s="234"/>
      <c r="BG139" s="234"/>
      <c r="BH139" s="234"/>
      <c r="BI139" s="234"/>
      <c r="BJ139" s="234"/>
      <c r="BK139" s="234"/>
      <c r="BL139" s="234"/>
      <c r="BM139" s="234"/>
      <c r="BN139" s="234"/>
      <c r="BO139" s="234"/>
      <c r="BP139" s="234"/>
      <c r="BQ139" s="234"/>
      <c r="BR139" s="234"/>
      <c r="BS139" s="234"/>
      <c r="BT139" s="67"/>
      <c r="BU139" s="67"/>
      <c r="BV139" s="67"/>
      <c r="BW139" s="67"/>
      <c r="BX139" s="67"/>
      <c r="BY139" s="67"/>
      <c r="BZ139" s="234"/>
      <c r="CA139" s="234"/>
      <c r="CB139" s="234"/>
      <c r="CC139" s="234"/>
      <c r="CD139" s="234"/>
      <c r="CE139" s="234"/>
      <c r="CF139" s="234"/>
      <c r="CG139" s="234"/>
      <c r="CH139" s="234"/>
      <c r="CI139" s="234"/>
      <c r="CJ139" s="234"/>
      <c r="CK139" s="234"/>
      <c r="CL139" s="234"/>
      <c r="CM139" s="234"/>
      <c r="CN139" s="234"/>
      <c r="CO139" s="234"/>
      <c r="CP139" s="234"/>
      <c r="CQ139" s="234"/>
      <c r="CR139" s="234"/>
      <c r="CS139" s="234"/>
      <c r="CT139" s="234"/>
      <c r="CU139" s="234"/>
      <c r="CV139" s="234"/>
      <c r="CW139" s="234"/>
      <c r="CX139" s="234"/>
      <c r="CY139" s="31"/>
      <c r="CZ139" s="234"/>
      <c r="DA139" s="234"/>
      <c r="DB139" s="234"/>
      <c r="DC139" s="234"/>
      <c r="DD139" s="234"/>
      <c r="DE139" s="234"/>
      <c r="DF139" s="234"/>
      <c r="DG139" s="234"/>
      <c r="DH139" s="234"/>
      <c r="DI139" s="234"/>
      <c r="DJ139" s="234"/>
      <c r="DK139" s="234"/>
      <c r="DL139" s="234"/>
      <c r="DM139" s="234"/>
      <c r="DN139" s="234"/>
      <c r="DO139" s="234"/>
      <c r="DP139" s="234"/>
      <c r="DQ139" s="234"/>
      <c r="DR139" s="234"/>
      <c r="DS139" s="234"/>
      <c r="DT139" s="234"/>
    </row>
    <row r="140" spans="1:124" s="231" customFormat="1" ht="16.5" customHeight="1" x14ac:dyDescent="0.25">
      <c r="A140" s="232"/>
      <c r="B140" s="250"/>
      <c r="C140" s="250"/>
      <c r="D140" s="250"/>
      <c r="E140" s="232"/>
      <c r="F140" s="387">
        <f t="shared" ca="1" si="228"/>
        <v>2017</v>
      </c>
      <c r="G140" s="387" t="str">
        <f t="shared" ca="1" si="222"/>
        <v>jul</v>
      </c>
      <c r="H140" s="70"/>
      <c r="I140" s="109">
        <f t="shared" si="223"/>
        <v>0</v>
      </c>
      <c r="J140" s="388"/>
      <c r="L140" s="109">
        <f t="shared" si="224"/>
        <v>0</v>
      </c>
      <c r="M140" s="388"/>
      <c r="O140" s="109">
        <f t="shared" si="225"/>
        <v>0</v>
      </c>
      <c r="P140" s="388"/>
      <c r="R140" s="109">
        <f t="shared" si="226"/>
        <v>0</v>
      </c>
      <c r="S140" s="388"/>
      <c r="U140" s="109">
        <f t="shared" si="227"/>
        <v>0</v>
      </c>
      <c r="V140" s="388"/>
      <c r="X140" s="233"/>
      <c r="Y140" s="252">
        <f t="shared" si="217"/>
        <v>0</v>
      </c>
      <c r="Z140" s="252">
        <f t="shared" si="217"/>
        <v>0</v>
      </c>
      <c r="AA140" s="252">
        <f t="shared" si="217"/>
        <v>0</v>
      </c>
      <c r="AB140" s="252">
        <f t="shared" si="217"/>
        <v>0</v>
      </c>
      <c r="AC140" s="248">
        <f t="shared" si="217"/>
        <v>0</v>
      </c>
      <c r="AD140" s="248">
        <f t="shared" si="217"/>
        <v>0</v>
      </c>
      <c r="AE140" s="248">
        <f t="shared" si="218"/>
        <v>0</v>
      </c>
      <c r="AF140" s="248">
        <f t="shared" si="218"/>
        <v>0</v>
      </c>
      <c r="AG140" s="248">
        <f t="shared" si="218"/>
        <v>0</v>
      </c>
      <c r="AH140" s="248">
        <f t="shared" si="218"/>
        <v>0</v>
      </c>
      <c r="AI140" s="266"/>
      <c r="AJ140" s="247" t="str">
        <f t="shared" ca="1" si="219"/>
        <v>nov</v>
      </c>
      <c r="AK140" s="252">
        <f t="shared" si="220"/>
        <v>0</v>
      </c>
      <c r="AL140" s="252">
        <f t="shared" si="221"/>
        <v>0</v>
      </c>
      <c r="AM140" s="252">
        <f t="shared" si="221"/>
        <v>0</v>
      </c>
      <c r="AN140" s="252">
        <f t="shared" si="221"/>
        <v>0</v>
      </c>
      <c r="AO140" s="252">
        <f t="shared" si="221"/>
        <v>0</v>
      </c>
      <c r="AP140" s="252">
        <f t="shared" si="221"/>
        <v>0</v>
      </c>
      <c r="AQ140" s="252">
        <f t="shared" si="221"/>
        <v>0</v>
      </c>
      <c r="AR140" s="252">
        <f t="shared" si="221"/>
        <v>0</v>
      </c>
      <c r="AS140" s="252">
        <f t="shared" si="221"/>
        <v>0</v>
      </c>
      <c r="AT140" s="252">
        <f t="shared" si="221"/>
        <v>0</v>
      </c>
      <c r="AU140" s="252">
        <f t="shared" si="221"/>
        <v>0</v>
      </c>
      <c r="AV140" s="265"/>
      <c r="AW140" s="265"/>
      <c r="AX140" s="265"/>
      <c r="AY140" s="234"/>
      <c r="AZ140" s="234"/>
      <c r="BA140" s="234"/>
      <c r="BB140" s="234"/>
      <c r="BC140" s="234"/>
      <c r="BD140" s="234"/>
      <c r="BE140" s="234"/>
      <c r="BF140" s="234"/>
      <c r="BG140" s="234"/>
      <c r="BH140" s="234"/>
      <c r="BI140" s="234"/>
      <c r="BJ140" s="234"/>
      <c r="BK140" s="234"/>
      <c r="BL140" s="234"/>
      <c r="BM140" s="234"/>
      <c r="BN140" s="234"/>
      <c r="BO140" s="234"/>
      <c r="BP140" s="234"/>
      <c r="BQ140" s="234"/>
      <c r="BR140" s="234"/>
      <c r="BS140" s="234"/>
      <c r="BT140" s="67"/>
      <c r="BU140" s="67"/>
      <c r="BV140" s="67"/>
      <c r="BW140" s="67"/>
      <c r="BX140" s="67"/>
      <c r="BY140" s="67"/>
      <c r="BZ140" s="234"/>
      <c r="CA140" s="234"/>
      <c r="CB140" s="234"/>
      <c r="CC140" s="234"/>
      <c r="CD140" s="234"/>
      <c r="CE140" s="234"/>
      <c r="CF140" s="234"/>
      <c r="CG140" s="234"/>
      <c r="CH140" s="234"/>
      <c r="CI140" s="234"/>
      <c r="CJ140" s="234"/>
      <c r="CK140" s="234"/>
      <c r="CL140" s="234"/>
      <c r="CM140" s="234"/>
      <c r="CN140" s="234"/>
      <c r="CO140" s="234"/>
      <c r="CP140" s="234"/>
      <c r="CQ140" s="234"/>
      <c r="CR140" s="234"/>
      <c r="CS140" s="234"/>
      <c r="CT140" s="234"/>
      <c r="CU140" s="234"/>
      <c r="CV140" s="234"/>
      <c r="CW140" s="234"/>
      <c r="CX140" s="234"/>
      <c r="CY140" s="31"/>
      <c r="CZ140" s="234"/>
      <c r="DA140" s="234"/>
      <c r="DB140" s="234"/>
      <c r="DC140" s="234"/>
      <c r="DD140" s="234"/>
      <c r="DE140" s="234"/>
      <c r="DF140" s="234"/>
      <c r="DG140" s="234"/>
      <c r="DH140" s="234"/>
      <c r="DI140" s="234"/>
      <c r="DJ140" s="234"/>
      <c r="DK140" s="234"/>
      <c r="DL140" s="234"/>
      <c r="DM140" s="234"/>
      <c r="DN140" s="234"/>
      <c r="DO140" s="234"/>
      <c r="DP140" s="234"/>
      <c r="DQ140" s="234"/>
      <c r="DR140" s="234"/>
      <c r="DS140" s="234"/>
      <c r="DT140" s="234"/>
    </row>
    <row r="141" spans="1:124" s="231" customFormat="1" ht="16.5" customHeight="1" thickBot="1" x14ac:dyDescent="0.3">
      <c r="A141" s="232"/>
      <c r="B141" s="250"/>
      <c r="C141" s="250"/>
      <c r="D141" s="250"/>
      <c r="E141" s="232"/>
      <c r="F141" s="387">
        <f t="shared" ca="1" si="228"/>
        <v>2017</v>
      </c>
      <c r="G141" s="387" t="str">
        <f t="shared" ca="1" si="222"/>
        <v>aug</v>
      </c>
      <c r="H141" s="70"/>
      <c r="I141" s="109">
        <f t="shared" si="223"/>
        <v>0</v>
      </c>
      <c r="J141" s="388"/>
      <c r="L141" s="109">
        <f t="shared" si="224"/>
        <v>0</v>
      </c>
      <c r="M141" s="388"/>
      <c r="O141" s="109">
        <f t="shared" si="225"/>
        <v>0</v>
      </c>
      <c r="P141" s="388"/>
      <c r="R141" s="109">
        <f t="shared" si="226"/>
        <v>0</v>
      </c>
      <c r="S141" s="388"/>
      <c r="U141" s="109">
        <f t="shared" si="227"/>
        <v>0</v>
      </c>
      <c r="V141" s="388"/>
      <c r="X141" s="233"/>
      <c r="Y141" s="254">
        <f t="shared" si="217"/>
        <v>0</v>
      </c>
      <c r="Z141" s="254">
        <f t="shared" si="217"/>
        <v>0</v>
      </c>
      <c r="AA141" s="254">
        <f t="shared" si="217"/>
        <v>0</v>
      </c>
      <c r="AB141" s="254">
        <f t="shared" si="217"/>
        <v>0</v>
      </c>
      <c r="AC141" s="255">
        <f t="shared" si="217"/>
        <v>0</v>
      </c>
      <c r="AD141" s="255">
        <f t="shared" si="217"/>
        <v>0</v>
      </c>
      <c r="AE141" s="255">
        <f t="shared" si="218"/>
        <v>0</v>
      </c>
      <c r="AF141" s="255">
        <f t="shared" si="218"/>
        <v>0</v>
      </c>
      <c r="AG141" s="255">
        <f t="shared" si="218"/>
        <v>0</v>
      </c>
      <c r="AH141" s="255">
        <f t="shared" si="218"/>
        <v>0</v>
      </c>
      <c r="AI141" s="266"/>
      <c r="AJ141" s="247" t="str">
        <f t="shared" ca="1" si="219"/>
        <v>dec</v>
      </c>
      <c r="AK141" s="252">
        <f t="shared" si="220"/>
        <v>0</v>
      </c>
      <c r="AL141" s="252">
        <f t="shared" si="221"/>
        <v>0</v>
      </c>
      <c r="AM141" s="252">
        <f t="shared" si="221"/>
        <v>0</v>
      </c>
      <c r="AN141" s="252">
        <f t="shared" si="221"/>
        <v>0</v>
      </c>
      <c r="AO141" s="252">
        <f t="shared" si="221"/>
        <v>0</v>
      </c>
      <c r="AP141" s="252">
        <f t="shared" si="221"/>
        <v>0</v>
      </c>
      <c r="AQ141" s="252">
        <f t="shared" si="221"/>
        <v>0</v>
      </c>
      <c r="AR141" s="252">
        <f t="shared" si="221"/>
        <v>0</v>
      </c>
      <c r="AS141" s="252">
        <f t="shared" si="221"/>
        <v>0</v>
      </c>
      <c r="AT141" s="252">
        <f t="shared" si="221"/>
        <v>0</v>
      </c>
      <c r="AU141" s="252">
        <f t="shared" si="221"/>
        <v>0</v>
      </c>
      <c r="AV141" s="265"/>
      <c r="AW141" s="265"/>
      <c r="AX141" s="265"/>
      <c r="AY141" s="234"/>
      <c r="AZ141" s="234"/>
      <c r="BA141" s="234"/>
      <c r="BB141" s="234"/>
      <c r="BC141" s="234"/>
      <c r="BD141" s="234"/>
      <c r="BE141" s="234"/>
      <c r="BF141" s="234"/>
      <c r="BG141" s="234"/>
      <c r="BH141" s="234"/>
      <c r="BI141" s="234"/>
      <c r="BJ141" s="234"/>
      <c r="BK141" s="234"/>
      <c r="BL141" s="234"/>
      <c r="BM141" s="234"/>
      <c r="BN141" s="234"/>
      <c r="BO141" s="234"/>
      <c r="BP141" s="234"/>
      <c r="BQ141" s="234"/>
      <c r="BR141" s="234"/>
      <c r="BS141" s="234"/>
      <c r="BT141" s="67"/>
      <c r="BU141" s="67"/>
      <c r="BV141" s="67"/>
      <c r="BW141" s="67"/>
      <c r="BX141" s="67"/>
      <c r="BY141" s="67"/>
      <c r="BZ141" s="234"/>
      <c r="CA141" s="234"/>
      <c r="CB141" s="234"/>
      <c r="CC141" s="234"/>
      <c r="CD141" s="234"/>
      <c r="CE141" s="234"/>
      <c r="CF141" s="234"/>
      <c r="CG141" s="234"/>
      <c r="CH141" s="234"/>
      <c r="CI141" s="234"/>
      <c r="CJ141" s="234"/>
      <c r="CK141" s="234"/>
      <c r="CL141" s="234"/>
      <c r="CM141" s="234"/>
      <c r="CN141" s="234"/>
      <c r="CO141" s="234"/>
      <c r="CP141" s="234"/>
      <c r="CQ141" s="234"/>
      <c r="CR141" s="234"/>
      <c r="CS141" s="234"/>
      <c r="CT141" s="234"/>
      <c r="CU141" s="234"/>
      <c r="CV141" s="234"/>
      <c r="CW141" s="234"/>
      <c r="CX141" s="234"/>
      <c r="CY141" s="31"/>
      <c r="CZ141" s="234"/>
      <c r="DA141" s="234"/>
      <c r="DB141" s="234"/>
      <c r="DC141" s="234"/>
      <c r="DD141" s="234"/>
      <c r="DE141" s="234"/>
      <c r="DF141" s="234"/>
      <c r="DG141" s="234"/>
      <c r="DH141" s="234"/>
      <c r="DI141" s="234"/>
      <c r="DJ141" s="234"/>
      <c r="DK141" s="234"/>
      <c r="DL141" s="234"/>
      <c r="DM141" s="234"/>
      <c r="DN141" s="234"/>
      <c r="DO141" s="234"/>
      <c r="DP141" s="234"/>
      <c r="DQ141" s="234"/>
      <c r="DR141" s="234"/>
      <c r="DS141" s="234"/>
      <c r="DT141" s="234"/>
    </row>
    <row r="142" spans="1:124" s="231" customFormat="1" ht="16.5" customHeight="1" thickTop="1" x14ac:dyDescent="0.25">
      <c r="A142" s="232"/>
      <c r="B142" s="250"/>
      <c r="C142" s="250"/>
      <c r="D142" s="250"/>
      <c r="E142" s="232"/>
      <c r="F142" s="387">
        <f t="shared" ca="1" si="228"/>
        <v>2017</v>
      </c>
      <c r="G142" s="387" t="str">
        <f t="shared" ca="1" si="222"/>
        <v>sept</v>
      </c>
      <c r="H142" s="70"/>
      <c r="I142" s="109">
        <f t="shared" si="223"/>
        <v>0</v>
      </c>
      <c r="J142" s="388"/>
      <c r="L142" s="109">
        <f t="shared" si="224"/>
        <v>0</v>
      </c>
      <c r="M142" s="388"/>
      <c r="O142" s="109">
        <f t="shared" si="225"/>
        <v>0</v>
      </c>
      <c r="P142" s="388"/>
      <c r="R142" s="109">
        <f t="shared" si="226"/>
        <v>0</v>
      </c>
      <c r="S142" s="388"/>
      <c r="U142" s="109">
        <f t="shared" si="227"/>
        <v>0</v>
      </c>
      <c r="V142" s="388"/>
      <c r="X142" s="236" t="s">
        <v>1098</v>
      </c>
      <c r="Y142" s="256">
        <f t="shared" ref="Y142:AD142" si="229">SUM(Y130:Y141)</f>
        <v>0</v>
      </c>
      <c r="Z142" s="256">
        <f t="shared" si="229"/>
        <v>0</v>
      </c>
      <c r="AA142" s="256">
        <f t="shared" si="229"/>
        <v>0</v>
      </c>
      <c r="AB142" s="256">
        <f t="shared" si="229"/>
        <v>0</v>
      </c>
      <c r="AC142" s="256">
        <f t="shared" si="229"/>
        <v>0</v>
      </c>
      <c r="AD142" s="256">
        <f t="shared" si="229"/>
        <v>0</v>
      </c>
      <c r="AE142" s="256">
        <f>SUM(AE130:AE141)</f>
        <v>0</v>
      </c>
      <c r="AF142" s="256">
        <f>SUM(AF130:AF141)</f>
        <v>0</v>
      </c>
      <c r="AG142" s="256">
        <f>SUM(AG130:AG141)</f>
        <v>0</v>
      </c>
      <c r="AH142" s="256">
        <f>SUM(AH130:AH141)</f>
        <v>0</v>
      </c>
      <c r="AI142" s="266"/>
      <c r="AJ142" s="233"/>
      <c r="AK142" s="233"/>
      <c r="AL142" s="233"/>
      <c r="AM142" s="233"/>
      <c r="AN142" s="233"/>
      <c r="AO142" s="233"/>
      <c r="AP142" s="233"/>
      <c r="AQ142" s="233"/>
      <c r="AR142" s="233"/>
      <c r="AS142" s="233"/>
      <c r="AT142" s="233"/>
      <c r="AU142" s="233"/>
      <c r="AV142" s="233"/>
      <c r="AW142" s="233"/>
      <c r="AX142" s="233"/>
      <c r="AY142" s="234"/>
      <c r="AZ142" s="234"/>
      <c r="BA142" s="234"/>
      <c r="BB142" s="234"/>
      <c r="BC142" s="234"/>
      <c r="BD142" s="234"/>
      <c r="BE142" s="234"/>
      <c r="BF142" s="234"/>
      <c r="BG142" s="234"/>
      <c r="BH142" s="234"/>
      <c r="BI142" s="234"/>
      <c r="BJ142" s="234"/>
      <c r="BK142" s="234"/>
      <c r="BL142" s="234"/>
      <c r="BM142" s="234"/>
      <c r="BN142" s="234"/>
      <c r="BO142" s="234"/>
      <c r="BP142" s="234"/>
      <c r="BQ142" s="234"/>
      <c r="BR142" s="234"/>
      <c r="BS142" s="234"/>
      <c r="BT142" s="67"/>
      <c r="BU142" s="67"/>
      <c r="BV142" s="67"/>
      <c r="BW142" s="67"/>
      <c r="BX142" s="67"/>
      <c r="BY142" s="67"/>
      <c r="BZ142" s="234"/>
      <c r="CA142" s="234"/>
      <c r="CB142" s="234"/>
      <c r="CC142" s="234"/>
      <c r="CD142" s="234"/>
      <c r="CE142" s="234"/>
      <c r="CF142" s="234"/>
      <c r="CG142" s="234"/>
      <c r="CH142" s="234"/>
      <c r="CI142" s="234"/>
      <c r="CJ142" s="234"/>
      <c r="CK142" s="234"/>
      <c r="CL142" s="234"/>
      <c r="CM142" s="234"/>
      <c r="CN142" s="234"/>
      <c r="CO142" s="234"/>
      <c r="CP142" s="234"/>
      <c r="CQ142" s="234"/>
      <c r="CR142" s="234"/>
      <c r="CS142" s="234"/>
      <c r="CT142" s="234"/>
      <c r="CU142" s="234"/>
      <c r="CV142" s="234"/>
      <c r="CW142" s="234"/>
      <c r="CX142" s="234"/>
      <c r="CY142" s="31"/>
      <c r="CZ142" s="234"/>
      <c r="DA142" s="234"/>
      <c r="DB142" s="234"/>
      <c r="DC142" s="234"/>
      <c r="DD142" s="234"/>
      <c r="DE142" s="234"/>
      <c r="DF142" s="234"/>
      <c r="DG142" s="234"/>
      <c r="DH142" s="234"/>
      <c r="DI142" s="234"/>
      <c r="DJ142" s="234"/>
      <c r="DK142" s="234"/>
      <c r="DL142" s="234"/>
      <c r="DM142" s="234"/>
      <c r="DN142" s="234"/>
      <c r="DO142" s="234"/>
      <c r="DP142" s="234"/>
      <c r="DQ142" s="234"/>
      <c r="DR142" s="234"/>
      <c r="DS142" s="234"/>
      <c r="DT142" s="234"/>
    </row>
    <row r="143" spans="1:124" s="231" customFormat="1" ht="16.5" customHeight="1" x14ac:dyDescent="0.25">
      <c r="A143" s="232"/>
      <c r="B143" s="250"/>
      <c r="C143" s="250"/>
      <c r="D143" s="250"/>
      <c r="E143" s="232"/>
      <c r="F143" s="387">
        <f t="shared" ca="1" si="228"/>
        <v>2017</v>
      </c>
      <c r="G143" s="387" t="str">
        <f t="shared" ca="1" si="222"/>
        <v>okt</v>
      </c>
      <c r="H143" s="70"/>
      <c r="I143" s="109">
        <f t="shared" si="223"/>
        <v>0</v>
      </c>
      <c r="J143" s="388"/>
      <c r="L143" s="109">
        <f t="shared" si="224"/>
        <v>0</v>
      </c>
      <c r="M143" s="388"/>
      <c r="O143" s="109">
        <f t="shared" si="225"/>
        <v>0</v>
      </c>
      <c r="P143" s="388"/>
      <c r="R143" s="109">
        <f t="shared" si="226"/>
        <v>0</v>
      </c>
      <c r="S143" s="388"/>
      <c r="U143" s="109">
        <f t="shared" si="227"/>
        <v>0</v>
      </c>
      <c r="V143" s="388"/>
      <c r="X143" s="266"/>
      <c r="Y143" s="266"/>
      <c r="Z143" s="266"/>
      <c r="AA143" s="266"/>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4"/>
      <c r="AZ143" s="234"/>
      <c r="BA143" s="234"/>
      <c r="BB143" s="175"/>
      <c r="BC143" s="234"/>
      <c r="BD143" s="234"/>
      <c r="BE143" s="234"/>
      <c r="BF143" s="234"/>
      <c r="BG143" s="234"/>
      <c r="BH143" s="234"/>
      <c r="BI143" s="234"/>
      <c r="BJ143" s="234"/>
      <c r="BK143" s="234"/>
      <c r="BL143" s="234"/>
      <c r="BM143" s="234"/>
      <c r="BN143" s="234"/>
      <c r="BO143" s="234"/>
      <c r="BP143" s="234"/>
      <c r="BQ143" s="234"/>
      <c r="BR143" s="234"/>
      <c r="BS143" s="234"/>
      <c r="BT143" s="67"/>
      <c r="BU143" s="67"/>
      <c r="BV143" s="67"/>
      <c r="BW143" s="67"/>
      <c r="BX143" s="67"/>
      <c r="BY143" s="67"/>
      <c r="BZ143" s="234"/>
      <c r="CA143" s="234"/>
      <c r="CB143" s="234"/>
      <c r="CC143" s="234"/>
      <c r="CD143" s="234"/>
      <c r="CE143" s="234"/>
      <c r="CF143" s="234"/>
      <c r="CG143" s="234"/>
      <c r="CH143" s="234"/>
      <c r="CI143" s="234"/>
      <c r="CJ143" s="234"/>
      <c r="CK143" s="234"/>
      <c r="CL143" s="234"/>
      <c r="CM143" s="234"/>
      <c r="CN143" s="234"/>
      <c r="CO143" s="234"/>
      <c r="CP143" s="234"/>
      <c r="CQ143" s="234"/>
      <c r="CR143" s="234"/>
      <c r="CS143" s="234"/>
      <c r="CT143" s="234"/>
      <c r="CU143" s="234"/>
      <c r="CV143" s="234"/>
      <c r="CW143" s="234"/>
      <c r="CX143" s="234"/>
      <c r="CY143" s="31"/>
      <c r="CZ143" s="234"/>
      <c r="DA143" s="234"/>
      <c r="DB143" s="234"/>
      <c r="DC143" s="234"/>
      <c r="DD143" s="234"/>
      <c r="DE143" s="234"/>
      <c r="DF143" s="234"/>
      <c r="DG143" s="234"/>
      <c r="DH143" s="234"/>
      <c r="DI143" s="234"/>
      <c r="DJ143" s="234"/>
      <c r="DK143" s="234"/>
      <c r="DL143" s="234"/>
      <c r="DM143" s="234"/>
      <c r="DN143" s="234"/>
      <c r="DO143" s="234"/>
      <c r="DP143" s="234"/>
      <c r="DQ143" s="234"/>
      <c r="DR143" s="234"/>
      <c r="DS143" s="234"/>
      <c r="DT143" s="234"/>
    </row>
    <row r="144" spans="1:124" s="231" customFormat="1" ht="16.5" customHeight="1" x14ac:dyDescent="0.25">
      <c r="A144" s="232"/>
      <c r="B144" s="250"/>
      <c r="C144" s="250"/>
      <c r="D144" s="250"/>
      <c r="E144" s="232"/>
      <c r="F144" s="387">
        <f t="shared" ca="1" si="228"/>
        <v>2017</v>
      </c>
      <c r="G144" s="387" t="str">
        <f t="shared" ca="1" si="222"/>
        <v>nov</v>
      </c>
      <c r="H144" s="70"/>
      <c r="I144" s="109">
        <f t="shared" si="223"/>
        <v>0</v>
      </c>
      <c r="J144" s="388"/>
      <c r="L144" s="109">
        <f t="shared" si="224"/>
        <v>0</v>
      </c>
      <c r="M144" s="388"/>
      <c r="O144" s="109">
        <f t="shared" si="225"/>
        <v>0</v>
      </c>
      <c r="P144" s="388"/>
      <c r="R144" s="109">
        <f t="shared" si="226"/>
        <v>0</v>
      </c>
      <c r="S144" s="388"/>
      <c r="U144" s="109">
        <f t="shared" si="227"/>
        <v>0</v>
      </c>
      <c r="V144" s="388"/>
      <c r="X144" s="266"/>
      <c r="Y144" s="242"/>
      <c r="Z144" s="233"/>
      <c r="AA144" s="233"/>
      <c r="AB144" s="233"/>
      <c r="AC144" s="233"/>
      <c r="AD144" s="233"/>
      <c r="AE144" s="233"/>
      <c r="AF144" s="233"/>
      <c r="AG144" s="264"/>
      <c r="AH144" s="264"/>
      <c r="AI144" s="264"/>
      <c r="AJ144" s="264"/>
      <c r="AK144" s="264"/>
      <c r="AL144" s="264"/>
      <c r="AM144" s="264"/>
      <c r="AN144" s="264"/>
      <c r="AO144" s="264"/>
      <c r="AP144" s="264"/>
      <c r="AQ144" s="264"/>
      <c r="AR144" s="264"/>
      <c r="AS144" s="264"/>
      <c r="AT144" s="264"/>
      <c r="AU144" s="264"/>
      <c r="AV144" s="264"/>
      <c r="AW144" s="264"/>
      <c r="AX144" s="264"/>
      <c r="AY144" s="234"/>
      <c r="AZ144" s="234"/>
      <c r="BA144" s="234"/>
      <c r="BB144" s="38" t="s">
        <v>1161</v>
      </c>
      <c r="BC144" s="234"/>
      <c r="BD144" s="234"/>
      <c r="BE144" s="234"/>
      <c r="BF144" s="234"/>
      <c r="BG144" s="234"/>
      <c r="BH144" s="234"/>
      <c r="BI144" s="234"/>
      <c r="BJ144" s="234"/>
      <c r="BK144" s="234"/>
      <c r="BL144" s="234"/>
      <c r="BM144" s="234"/>
      <c r="BN144" s="234"/>
      <c r="BO144" s="234"/>
      <c r="BP144" s="234"/>
      <c r="BQ144" s="234"/>
      <c r="BR144" s="234"/>
      <c r="BS144" s="234"/>
      <c r="BT144" s="67"/>
      <c r="BU144" s="67"/>
      <c r="BV144" s="67"/>
      <c r="BW144" s="67"/>
      <c r="BX144" s="67"/>
      <c r="BY144" s="67"/>
      <c r="BZ144" s="234"/>
      <c r="CA144" s="234"/>
      <c r="CB144" s="234"/>
      <c r="CC144" s="234"/>
      <c r="CD144" s="234"/>
      <c r="CE144" s="234"/>
      <c r="CF144" s="234"/>
      <c r="CG144" s="234"/>
      <c r="CH144" s="234"/>
      <c r="CI144" s="234"/>
      <c r="CJ144" s="234"/>
      <c r="CK144" s="234"/>
      <c r="CL144" s="234"/>
      <c r="CM144" s="234"/>
      <c r="CN144" s="234"/>
      <c r="CO144" s="234"/>
      <c r="CP144" s="234"/>
      <c r="CQ144" s="234"/>
      <c r="CR144" s="234"/>
      <c r="CS144" s="234"/>
      <c r="CT144" s="234"/>
      <c r="CU144" s="234"/>
      <c r="CV144" s="234"/>
      <c r="CW144" s="234"/>
      <c r="CX144" s="234"/>
      <c r="CY144" s="31"/>
      <c r="CZ144" s="234"/>
      <c r="DA144" s="234"/>
      <c r="DB144" s="234"/>
      <c r="DC144" s="234"/>
      <c r="DD144" s="234"/>
      <c r="DE144" s="234"/>
      <c r="DF144" s="234"/>
      <c r="DG144" s="234"/>
      <c r="DH144" s="234"/>
      <c r="DI144" s="234"/>
      <c r="DJ144" s="234"/>
      <c r="DK144" s="234"/>
      <c r="DL144" s="234"/>
      <c r="DM144" s="234"/>
      <c r="DN144" s="234"/>
      <c r="DO144" s="234"/>
      <c r="DP144" s="234"/>
      <c r="DQ144" s="234"/>
      <c r="DR144" s="234"/>
      <c r="DS144" s="234"/>
      <c r="DT144" s="234"/>
    </row>
    <row r="145" spans="1:124" s="231" customFormat="1" ht="16.5" customHeight="1" x14ac:dyDescent="0.25">
      <c r="A145" s="232"/>
      <c r="B145" s="250"/>
      <c r="C145" s="250"/>
      <c r="D145" s="250"/>
      <c r="E145" s="232"/>
      <c r="F145" s="387">
        <f t="shared" ca="1" si="228"/>
        <v>2017</v>
      </c>
      <c r="G145" s="387" t="str">
        <f t="shared" ca="1" si="222"/>
        <v>dec</v>
      </c>
      <c r="H145" s="70"/>
      <c r="I145" s="109">
        <f t="shared" si="223"/>
        <v>0</v>
      </c>
      <c r="J145" s="388"/>
      <c r="L145" s="109">
        <f t="shared" si="224"/>
        <v>0</v>
      </c>
      <c r="M145" s="388"/>
      <c r="O145" s="109">
        <f t="shared" si="225"/>
        <v>0</v>
      </c>
      <c r="P145" s="388"/>
      <c r="R145" s="109">
        <f t="shared" si="226"/>
        <v>0</v>
      </c>
      <c r="S145" s="388"/>
      <c r="U145" s="109">
        <f t="shared" si="227"/>
        <v>0</v>
      </c>
      <c r="V145" s="388"/>
      <c r="X145" s="233"/>
      <c r="Y145" s="242" t="s">
        <v>1160</v>
      </c>
      <c r="Z145" s="233"/>
      <c r="AA145" s="233"/>
      <c r="AB145" s="233"/>
      <c r="AC145" s="233"/>
      <c r="AD145" s="242" t="s">
        <v>1161</v>
      </c>
      <c r="AE145" s="233"/>
      <c r="AF145" s="233"/>
      <c r="AG145" s="264"/>
      <c r="AH145" s="264"/>
      <c r="AI145" s="233"/>
      <c r="AJ145" s="242" t="s">
        <v>1303</v>
      </c>
      <c r="AK145" s="233"/>
      <c r="AL145" s="233"/>
      <c r="AM145" s="264"/>
      <c r="AN145" s="264"/>
      <c r="AO145" s="264"/>
      <c r="AP145" s="264"/>
      <c r="AQ145" s="264"/>
      <c r="AR145" s="264"/>
      <c r="AS145" s="264"/>
      <c r="AT145" s="264"/>
      <c r="AU145" s="264"/>
      <c r="AV145" s="264"/>
      <c r="AW145" s="264"/>
      <c r="AX145" s="264"/>
      <c r="AY145" s="31"/>
      <c r="AZ145" s="31"/>
      <c r="BA145" s="234"/>
      <c r="BB145" s="43" t="s">
        <v>1162</v>
      </c>
      <c r="BC145" s="234"/>
      <c r="BD145" s="234"/>
      <c r="BE145" s="234"/>
      <c r="BF145" s="234"/>
      <c r="BG145" s="234"/>
      <c r="BH145" s="234"/>
      <c r="BI145" s="234"/>
      <c r="BJ145" s="234"/>
      <c r="BK145" s="234"/>
      <c r="BL145" s="234"/>
      <c r="BM145" s="234"/>
      <c r="BN145" s="234"/>
      <c r="BO145" s="234"/>
      <c r="BP145" s="234"/>
      <c r="BQ145" s="234"/>
      <c r="BR145" s="234"/>
      <c r="BS145" s="234"/>
      <c r="BT145" s="234"/>
      <c r="BU145" s="234"/>
      <c r="BV145" s="234"/>
      <c r="BW145" s="234"/>
      <c r="BX145" s="234"/>
      <c r="BY145" s="234"/>
      <c r="BZ145" s="234"/>
      <c r="CA145" s="234"/>
      <c r="CB145" s="234"/>
      <c r="CC145" s="234"/>
      <c r="CD145" s="234"/>
      <c r="CE145" s="234"/>
      <c r="CF145" s="234"/>
      <c r="CG145" s="234"/>
      <c r="CH145" s="234"/>
      <c r="CI145" s="234"/>
      <c r="CJ145" s="234"/>
      <c r="CK145" s="234"/>
      <c r="CL145" s="234"/>
      <c r="CM145" s="234"/>
      <c r="CN145" s="234"/>
      <c r="CO145" s="234"/>
      <c r="CP145" s="234"/>
      <c r="CQ145" s="234"/>
      <c r="CR145" s="234"/>
      <c r="CS145" s="31"/>
      <c r="CT145" s="234"/>
      <c r="CU145" s="234"/>
      <c r="CV145" s="234"/>
      <c r="CW145" s="234"/>
      <c r="CX145" s="234"/>
      <c r="CY145" s="234"/>
      <c r="CZ145" s="234"/>
      <c r="DA145" s="234"/>
      <c r="DB145" s="234"/>
      <c r="DC145" s="234"/>
      <c r="DD145" s="234"/>
      <c r="DE145" s="234"/>
      <c r="DF145" s="234"/>
      <c r="DG145" s="234"/>
      <c r="DH145" s="234"/>
      <c r="DI145" s="234"/>
      <c r="DJ145" s="234"/>
      <c r="DK145" s="234"/>
      <c r="DL145" s="234"/>
      <c r="DM145" s="234"/>
      <c r="DN145" s="234"/>
      <c r="DO145" s="234"/>
      <c r="DP145" s="234"/>
      <c r="DQ145" s="234"/>
      <c r="DR145" s="234"/>
      <c r="DS145" s="234"/>
      <c r="DT145" s="234"/>
    </row>
    <row r="146" spans="1:124" s="231" customFormat="1" ht="16.5" customHeight="1" x14ac:dyDescent="0.25">
      <c r="A146" s="232"/>
      <c r="B146" s="250"/>
      <c r="C146" s="232"/>
      <c r="D146" s="232"/>
      <c r="E146" s="251"/>
      <c r="H146" s="250"/>
      <c r="I146" s="269">
        <f>SUM(I134:I145)</f>
        <v>0</v>
      </c>
      <c r="J146" s="269">
        <f>SUM(J134:J145)</f>
        <v>0</v>
      </c>
      <c r="L146" s="269">
        <f>SUM(L134:L145)</f>
        <v>0</v>
      </c>
      <c r="M146" s="269">
        <f>SUM(M134:M145)</f>
        <v>0</v>
      </c>
      <c r="O146" s="269">
        <f>SUM(O134:O145)</f>
        <v>0</v>
      </c>
      <c r="P146" s="269">
        <f>SUM(P134:P145)</f>
        <v>0</v>
      </c>
      <c r="R146" s="269">
        <f>SUM(R134:R145)</f>
        <v>0</v>
      </c>
      <c r="S146" s="269">
        <f>SUM(S134:S145)</f>
        <v>0</v>
      </c>
      <c r="U146" s="269">
        <f>SUM(U134:U145)</f>
        <v>0</v>
      </c>
      <c r="V146" s="269">
        <f>SUM(V134:V145)</f>
        <v>0</v>
      </c>
      <c r="X146" s="233"/>
      <c r="Y146" s="244" t="s">
        <v>1285</v>
      </c>
      <c r="Z146" s="233"/>
      <c r="AA146" s="233"/>
      <c r="AB146" s="233"/>
      <c r="AC146" s="233"/>
      <c r="AD146" s="242"/>
      <c r="AE146" s="233"/>
      <c r="AF146" s="233"/>
      <c r="AG146" s="264"/>
      <c r="AH146" s="264"/>
      <c r="AI146" s="233"/>
      <c r="AJ146" s="242"/>
      <c r="AK146" s="233"/>
      <c r="AL146" s="233"/>
      <c r="AM146" s="264"/>
      <c r="AN146" s="264"/>
      <c r="AO146" s="264"/>
      <c r="AP146" s="264"/>
      <c r="AQ146" s="264"/>
      <c r="AR146" s="264"/>
      <c r="AS146" s="264"/>
      <c r="AT146" s="264"/>
      <c r="AU146" s="264"/>
      <c r="AV146" s="264"/>
      <c r="AW146" s="264"/>
      <c r="AX146" s="264"/>
      <c r="AY146" s="31"/>
      <c r="AZ146" s="31"/>
      <c r="BA146" s="57" t="s">
        <v>1093</v>
      </c>
      <c r="BB146" s="52" t="str">
        <f>AD151</f>
        <v>El</v>
      </c>
      <c r="BC146" s="52" t="str">
        <f>AE151</f>
        <v/>
      </c>
      <c r="BD146" s="52" t="str">
        <f>AF151</f>
        <v/>
      </c>
      <c r="BE146" s="234"/>
      <c r="BF146" s="234"/>
      <c r="BG146" s="234"/>
      <c r="BH146" s="234"/>
      <c r="BI146" s="234"/>
      <c r="BJ146" s="234"/>
      <c r="BK146" s="234"/>
      <c r="BL146" s="234"/>
      <c r="BM146" s="234"/>
      <c r="BN146" s="234"/>
      <c r="BO146" s="234"/>
      <c r="BP146" s="234"/>
      <c r="BQ146" s="234"/>
      <c r="BR146" s="234"/>
      <c r="BS146" s="234"/>
      <c r="BT146" s="234"/>
      <c r="BU146" s="234"/>
      <c r="BV146" s="234"/>
      <c r="BW146" s="234"/>
      <c r="BX146" s="234"/>
      <c r="BY146" s="234"/>
      <c r="BZ146" s="234"/>
      <c r="CA146" s="234"/>
      <c r="CB146" s="234"/>
      <c r="CC146" s="234"/>
      <c r="CD146" s="234"/>
      <c r="CE146" s="234"/>
      <c r="CF146" s="234"/>
      <c r="CG146" s="234"/>
      <c r="CH146" s="234"/>
      <c r="CI146" s="234"/>
      <c r="CJ146" s="234"/>
      <c r="CK146" s="234"/>
      <c r="CL146" s="234"/>
      <c r="CM146" s="234"/>
      <c r="CN146" s="234"/>
      <c r="CO146" s="234"/>
      <c r="CP146" s="234"/>
      <c r="CQ146" s="234"/>
      <c r="CR146" s="234"/>
      <c r="CS146" s="31"/>
      <c r="CT146" s="234"/>
      <c r="CU146" s="234"/>
      <c r="CV146" s="234"/>
      <c r="CW146" s="234"/>
      <c r="CX146" s="234"/>
      <c r="CY146" s="234"/>
      <c r="CZ146" s="234"/>
      <c r="DA146" s="234"/>
      <c r="DB146" s="234"/>
      <c r="DC146" s="234"/>
      <c r="DD146" s="234"/>
      <c r="DE146" s="234"/>
      <c r="DF146" s="234"/>
      <c r="DG146" s="234"/>
      <c r="DH146" s="234"/>
      <c r="DI146" s="234"/>
      <c r="DJ146" s="234"/>
      <c r="DK146" s="234"/>
      <c r="DL146" s="234"/>
      <c r="DM146" s="234"/>
      <c r="DN146" s="234"/>
      <c r="DO146" s="234"/>
      <c r="DP146" s="234"/>
      <c r="DQ146" s="234"/>
      <c r="DR146" s="234"/>
      <c r="DS146" s="234"/>
      <c r="DT146" s="234"/>
    </row>
    <row r="147" spans="1:124" s="231" customFormat="1" ht="16.5" customHeight="1" x14ac:dyDescent="0.25">
      <c r="A147" s="232"/>
      <c r="B147" s="250"/>
      <c r="C147" s="232"/>
      <c r="D147" s="232"/>
      <c r="E147" s="251"/>
      <c r="F147" s="363" t="s">
        <v>1088</v>
      </c>
      <c r="G147" s="40" t="str">
        <f>IF(OR(AV19="Fel i indata",AV20="Fel i indata",AV21="Fel i indata",AV22="Fel i indata",AV23="Fel i indata",AV24="Fel i indata",AV25="Fel i indata",AV26="Fel i indata",AV27="Fel i indata",AV28="Fel i indata",AV29="Fel i indata",AV30="Fel i indata",AX19="Fel i indata",AX20="Fel i indata",AX21="Fel i indata",AX22="Fel i indata",AX23="Fel i indata",AX24="Fel i indata",AX25="Fel i indata",AX26="Fel i indata",AX27="Fel i indata",AX28="Fel i indata",AX29="Fel i indata",AX30="Fel i indata"),"Fel i indata","")</f>
        <v/>
      </c>
      <c r="H147" s="250"/>
      <c r="I147" s="235" t="str">
        <f>IF(G147="Fel i indata","OBS! Se över din indata, energi för uppvärmning blir negativ efter avdrag för egenproducerad/återvunnen energi","")</f>
        <v/>
      </c>
      <c r="L147" s="269"/>
      <c r="M147" s="269"/>
      <c r="O147" s="269"/>
      <c r="P147" s="269"/>
      <c r="R147" s="269"/>
      <c r="S147" s="269"/>
      <c r="U147" s="269"/>
      <c r="V147" s="269"/>
      <c r="X147" s="236" t="s">
        <v>1093</v>
      </c>
      <c r="Y147" s="56" t="str">
        <f>IF($J$155=Y150,$J$154,"")</f>
        <v/>
      </c>
      <c r="Z147" s="56" t="str">
        <f>IF($M$155=Y150,$M$154,"")</f>
        <v/>
      </c>
      <c r="AA147" s="56" t="str">
        <f>IF($P$155=Y150,$P$154,"")</f>
        <v/>
      </c>
      <c r="AB147" s="236"/>
      <c r="AC147" s="236" t="s">
        <v>1093</v>
      </c>
      <c r="AD147" s="56" t="str">
        <f>IF($J$155=$AD$150,$J$154,"")</f>
        <v>El</v>
      </c>
      <c r="AE147" s="56" t="str">
        <f>IF($M$155=$AD$150,$M$154,"")</f>
        <v/>
      </c>
      <c r="AF147" s="56" t="str">
        <f>IF($P$155=$AD$150,$P$154,"")</f>
        <v/>
      </c>
      <c r="AG147" s="264"/>
      <c r="AH147" s="267"/>
      <c r="AI147" s="236" t="s">
        <v>1093</v>
      </c>
      <c r="AJ147" s="56" t="str">
        <f>AD147</f>
        <v>El</v>
      </c>
      <c r="AK147" s="56" t="str">
        <f>AE147</f>
        <v/>
      </c>
      <c r="AL147" s="56" t="str">
        <f>AF147</f>
        <v/>
      </c>
      <c r="AM147" s="264"/>
      <c r="AN147" s="267"/>
      <c r="AO147" s="267"/>
      <c r="AP147" s="267"/>
      <c r="AQ147" s="267"/>
      <c r="AR147" s="267"/>
      <c r="AS147" s="267"/>
      <c r="AT147" s="267"/>
      <c r="AU147" s="267"/>
      <c r="AV147" s="267"/>
      <c r="AW147" s="267"/>
      <c r="AX147" s="267"/>
      <c r="AY147" s="31"/>
      <c r="AZ147" s="31"/>
      <c r="BA147" s="41" t="s">
        <v>1286</v>
      </c>
      <c r="BB147" s="47">
        <f>IF(OR(BB146="Fjärrvärme",BB146="Biobränsle",BB146="Gas",BB146="Olja"),1,IF(BB146="El",1.6,""))</f>
        <v>1.6</v>
      </c>
      <c r="BC147" s="47" t="str">
        <f>IF(OR(BC146="Fjärrvärme",BC146="Biobränsle",BC146="Gas",BC146="Olja"),1,IF(BC146="El",1.6,""))</f>
        <v/>
      </c>
      <c r="BD147" s="47" t="str">
        <f>IF(OR(BD146="Fjärrvärme",BD146="Biobränsle",BD146="Gas",BD146="Olja"),1,IF(BD146="El",1.6,""))</f>
        <v/>
      </c>
      <c r="BE147" s="234"/>
      <c r="BF147" s="234"/>
      <c r="BG147" s="234"/>
      <c r="BH147" s="234"/>
      <c r="BI147" s="234"/>
      <c r="BJ147" s="234"/>
      <c r="BK147" s="234"/>
      <c r="BL147" s="234"/>
      <c r="BM147" s="234"/>
      <c r="BN147" s="234"/>
      <c r="BO147" s="234"/>
      <c r="BP147" s="234"/>
      <c r="BQ147" s="234"/>
      <c r="BR147" s="234"/>
      <c r="BS147" s="234"/>
      <c r="BT147" s="234"/>
      <c r="BU147" s="234"/>
      <c r="BV147" s="234"/>
      <c r="BW147" s="234"/>
      <c r="BX147" s="234"/>
      <c r="BY147" s="234"/>
      <c r="BZ147" s="234"/>
      <c r="CA147" s="234"/>
      <c r="CB147" s="234"/>
      <c r="CC147" s="234"/>
      <c r="CD147" s="234"/>
      <c r="CE147" s="234"/>
      <c r="CF147" s="234"/>
      <c r="CG147" s="234"/>
      <c r="CH147" s="234"/>
      <c r="CI147" s="234"/>
      <c r="CJ147" s="234"/>
      <c r="CK147" s="234"/>
      <c r="CL147" s="234"/>
      <c r="CM147" s="234"/>
      <c r="CN147" s="234"/>
      <c r="CO147" s="234"/>
      <c r="CP147" s="234"/>
      <c r="CQ147" s="234"/>
      <c r="CR147" s="234"/>
      <c r="CS147" s="31"/>
      <c r="CT147" s="234"/>
      <c r="CU147" s="234"/>
      <c r="CV147" s="234"/>
      <c r="CW147" s="234"/>
      <c r="CX147" s="234"/>
      <c r="CY147" s="234"/>
      <c r="CZ147" s="234"/>
      <c r="DA147" s="234"/>
      <c r="DB147" s="234"/>
      <c r="DC147" s="234"/>
      <c r="DD147" s="234"/>
      <c r="DE147" s="234"/>
      <c r="DF147" s="234"/>
      <c r="DG147" s="234"/>
      <c r="DH147" s="234"/>
      <c r="DI147" s="234"/>
      <c r="DJ147" s="234"/>
      <c r="DK147" s="234"/>
      <c r="DL147" s="234"/>
      <c r="DM147" s="234"/>
      <c r="DN147" s="234"/>
      <c r="DO147" s="234"/>
      <c r="DP147" s="234"/>
      <c r="DQ147" s="234"/>
      <c r="DR147" s="234"/>
      <c r="DS147" s="234"/>
      <c r="DT147" s="234"/>
    </row>
    <row r="148" spans="1:124" s="231" customFormat="1" ht="16.5" customHeight="1" x14ac:dyDescent="0.25">
      <c r="A148" s="232"/>
      <c r="B148" s="250"/>
      <c r="C148" s="232"/>
      <c r="D148" s="232"/>
      <c r="E148" s="251"/>
      <c r="F148" s="363" t="s">
        <v>1371</v>
      </c>
      <c r="G148" s="40" t="str">
        <f>IF(OR(AV44="Fel i indata",AV45="Fel i indata",AV46="Fel i indata",AV47="Fel i indata",AV48="Fel i indata",AV49="Fel i indata",AV50="Fel i indata",AV51="Fel i indata",AV52="Fel i indata",AV53="Fel i indata",AV54="Fel i indata",AV55="Fel i indata",AX44="Fel i indata",AX45="Fel i indata",AX46="Fel i indata",AX47="Fel i indata",AX48="Fel i indata",AX49="Fel i indata",AX50="Fel i indata",AX51="Fel i indata",AX52="Fel i indata",AX53="Fel i indata",AX54="Fel i indata",AX55="Fel i indata"),"Fel i indata","")</f>
        <v/>
      </c>
      <c r="H148" s="250"/>
      <c r="I148" s="235" t="str">
        <f>IF(G148="Fel i indata","OBS! Se över din indata, energi för tappvarmvatten blir negativ efter avdrag för egenproducerad/återvunnen energi","")</f>
        <v/>
      </c>
      <c r="L148" s="269"/>
      <c r="M148" s="269"/>
      <c r="O148" s="269"/>
      <c r="P148" s="269"/>
      <c r="R148" s="269"/>
      <c r="S148" s="269"/>
      <c r="U148" s="269"/>
      <c r="V148" s="269"/>
      <c r="X148" s="236"/>
      <c r="Y148" s="236"/>
      <c r="Z148" s="236"/>
      <c r="AA148" s="236"/>
      <c r="AB148" s="236"/>
      <c r="AC148" s="233"/>
      <c r="AD148" s="233"/>
      <c r="AE148" s="233"/>
      <c r="AF148" s="233"/>
      <c r="AG148" s="264"/>
      <c r="AH148" s="245"/>
      <c r="AI148" s="233"/>
      <c r="AJ148" s="233"/>
      <c r="AK148" s="233"/>
      <c r="AL148" s="233"/>
      <c r="AM148" s="264"/>
      <c r="AN148" s="245"/>
      <c r="AO148" s="245"/>
      <c r="AP148" s="245"/>
      <c r="AQ148" s="245"/>
      <c r="AR148" s="245"/>
      <c r="AS148" s="245"/>
      <c r="AT148" s="245"/>
      <c r="AU148" s="245"/>
      <c r="AV148" s="245"/>
      <c r="AW148" s="245"/>
      <c r="AX148" s="245"/>
      <c r="AY148" s="31"/>
      <c r="AZ148" s="31"/>
      <c r="BA148" s="41" t="s">
        <v>1287</v>
      </c>
      <c r="BB148" s="52">
        <f>IF(OR(BB146="El",BB146="Gas",BB146="Olja"),1.8,IF(BB146="Fjärrvärme",0.7,IF(BB146="Biobränsle",0.6,"")))</f>
        <v>1.8</v>
      </c>
      <c r="BC148" s="52" t="str">
        <f>IF(OR(BC146="El",BC146="Gas",BC146="Olja"),1.8,IF(BC146="Fjärrvärme",0.7,IF(BC146="Biobränsle",0.6,"")))</f>
        <v/>
      </c>
      <c r="BD148" s="52" t="str">
        <f>IF(OR(BD146="El",BD146="Gas",BD146="Olja"),1.8,IF(BD146="Fjärrvärme",0.7,IF(BD146="Biobränsle",0.6,"")))</f>
        <v/>
      </c>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c r="BY148" s="234"/>
      <c r="BZ148" s="234"/>
      <c r="CA148" s="234"/>
      <c r="CB148" s="234"/>
      <c r="CC148" s="234"/>
      <c r="CD148" s="234"/>
      <c r="CE148" s="234"/>
      <c r="CF148" s="234"/>
      <c r="CG148" s="234"/>
      <c r="CH148" s="234"/>
      <c r="CI148" s="234"/>
      <c r="CJ148" s="234"/>
      <c r="CK148" s="234"/>
      <c r="CL148" s="234"/>
      <c r="CM148" s="234"/>
      <c r="CN148" s="234"/>
      <c r="CO148" s="234"/>
      <c r="CP148" s="234"/>
      <c r="CQ148" s="234"/>
      <c r="CR148" s="234"/>
      <c r="CS148" s="31"/>
      <c r="CT148" s="234"/>
      <c r="CU148" s="234"/>
      <c r="CV148" s="234"/>
      <c r="CW148" s="234"/>
      <c r="CX148" s="234"/>
      <c r="CY148" s="234"/>
      <c r="CZ148" s="234"/>
      <c r="DA148" s="234"/>
      <c r="DB148" s="234"/>
      <c r="DC148" s="234"/>
      <c r="DD148" s="234"/>
      <c r="DE148" s="234"/>
      <c r="DF148" s="234"/>
      <c r="DG148" s="234"/>
      <c r="DH148" s="234"/>
      <c r="DI148" s="234"/>
      <c r="DJ148" s="234"/>
      <c r="DK148" s="234"/>
      <c r="DL148" s="234"/>
      <c r="DM148" s="234"/>
      <c r="DN148" s="234"/>
      <c r="DO148" s="234"/>
      <c r="DP148" s="234"/>
      <c r="DQ148" s="234"/>
      <c r="DR148" s="234"/>
      <c r="DS148" s="234"/>
      <c r="DT148" s="234"/>
    </row>
    <row r="149" spans="1:124" s="231" customFormat="1" ht="16.5" customHeight="1" x14ac:dyDescent="0.25">
      <c r="A149" s="232"/>
      <c r="B149" s="250"/>
      <c r="C149" s="232"/>
      <c r="D149" s="232"/>
      <c r="E149" s="251"/>
      <c r="F149" s="363" t="s">
        <v>1372</v>
      </c>
      <c r="G149" s="40" t="str">
        <f>IF(OR(AG82="Fel i indata",AG83="Fel i indata",AG84="Fel i indata",AG85="Fel i indata",AG86="Fel i indata",AG87="Fel i indata",AG88="Fel i indata",AG89="Fel i indata",AG90="Fel i indata",AG91="Fel i indata",AG92="Fel i indata",AG93="Fel i indata"),"Fel i indata","")</f>
        <v/>
      </c>
      <c r="H149" s="250"/>
      <c r="I149" s="235" t="str">
        <f>IF(G149="Fel i indata","OBS! Se över din indata, energi för komfortkyla blir negativ efter avdrag för egenproducerad/återvunnen energi","")</f>
        <v/>
      </c>
      <c r="L149" s="269"/>
      <c r="M149" s="269"/>
      <c r="O149" s="269"/>
      <c r="P149" s="269"/>
      <c r="R149" s="269"/>
      <c r="S149" s="269"/>
      <c r="U149" s="269"/>
      <c r="V149" s="269"/>
      <c r="X149" s="236"/>
      <c r="Y149" s="244" t="s">
        <v>1383</v>
      </c>
      <c r="Z149" s="233"/>
      <c r="AA149" s="233"/>
      <c r="AB149" s="233"/>
      <c r="AC149" s="233"/>
      <c r="AD149" s="233"/>
      <c r="AE149" s="233"/>
      <c r="AF149" s="233"/>
      <c r="AG149" s="233"/>
      <c r="AH149" s="247"/>
      <c r="AI149" s="233"/>
      <c r="AJ149" s="244" t="s">
        <v>1382</v>
      </c>
      <c r="AK149" s="233"/>
      <c r="AL149" s="233"/>
      <c r="AM149" s="233"/>
      <c r="AN149" s="247"/>
      <c r="AO149" s="247"/>
      <c r="AP149" s="247"/>
      <c r="AQ149" s="247"/>
      <c r="AR149" s="247"/>
      <c r="AS149" s="247"/>
      <c r="AT149" s="247"/>
      <c r="AU149" s="247"/>
      <c r="AV149" s="247"/>
      <c r="AW149" s="247"/>
      <c r="AX149" s="247"/>
      <c r="AY149" s="31"/>
      <c r="AZ149" s="31"/>
      <c r="BA149" s="234"/>
      <c r="BB149" s="234"/>
      <c r="BC149" s="234"/>
      <c r="BD149" s="234"/>
      <c r="BE149" s="234"/>
      <c r="BF149" s="234"/>
      <c r="BG149" s="234"/>
      <c r="BH149" s="234"/>
      <c r="BI149" s="234"/>
      <c r="BJ149" s="234"/>
      <c r="BK149" s="234"/>
      <c r="BL149" s="234"/>
      <c r="BM149" s="234"/>
      <c r="BN149" s="234"/>
      <c r="BO149" s="234"/>
      <c r="BP149" s="234"/>
      <c r="BQ149" s="234"/>
      <c r="BR149" s="234"/>
      <c r="BS149" s="234"/>
      <c r="BT149" s="234"/>
      <c r="BU149" s="234"/>
      <c r="BV149" s="234"/>
      <c r="BW149" s="234"/>
      <c r="BX149" s="234"/>
      <c r="BY149" s="234"/>
      <c r="BZ149" s="234"/>
      <c r="CA149" s="234"/>
      <c r="CB149" s="234"/>
      <c r="CC149" s="234"/>
      <c r="CD149" s="234"/>
      <c r="CE149" s="234"/>
      <c r="CF149" s="234"/>
      <c r="CG149" s="234"/>
      <c r="CH149" s="234"/>
      <c r="CI149" s="234"/>
      <c r="CJ149" s="234"/>
      <c r="CK149" s="234"/>
      <c r="CL149" s="234"/>
      <c r="CM149" s="234"/>
      <c r="CN149" s="234"/>
      <c r="CO149" s="234"/>
      <c r="CP149" s="234"/>
      <c r="CQ149" s="234"/>
      <c r="CR149" s="234"/>
      <c r="CS149" s="31"/>
      <c r="CT149" s="234"/>
      <c r="CU149" s="234"/>
      <c r="CV149" s="234"/>
      <c r="CW149" s="234"/>
      <c r="CX149" s="234"/>
      <c r="CY149" s="234"/>
      <c r="CZ149" s="234"/>
      <c r="DA149" s="234"/>
      <c r="DB149" s="234"/>
      <c r="DC149" s="234"/>
      <c r="DD149" s="234"/>
      <c r="DE149" s="234"/>
      <c r="DF149" s="234"/>
      <c r="DG149" s="234"/>
      <c r="DH149" s="234"/>
      <c r="DI149" s="234"/>
      <c r="DJ149" s="234"/>
      <c r="DK149" s="234"/>
      <c r="DL149" s="234"/>
      <c r="DM149" s="234"/>
      <c r="DN149" s="234"/>
      <c r="DO149" s="234"/>
      <c r="DP149" s="234"/>
      <c r="DQ149" s="234"/>
      <c r="DR149" s="234"/>
      <c r="DS149" s="234"/>
      <c r="DT149" s="234"/>
    </row>
    <row r="150" spans="1:124" s="231" customFormat="1" ht="16.5" customHeight="1" x14ac:dyDescent="0.25">
      <c r="A150" s="232"/>
      <c r="B150" s="250"/>
      <c r="C150" s="232"/>
      <c r="D150" s="232"/>
      <c r="E150" s="251"/>
      <c r="F150" s="363" t="s">
        <v>1089</v>
      </c>
      <c r="G150" s="40" t="e">
        <f ca="1">IF(OR(AK105="Fel i indata",AK106="Fel i indata",AK107="Fel i indata",AK108="Fel i indata",AK109="Fel i indata",AK110="Fel i indata",AK111="Fel i indata",AK112="Fel i indata",AK113="Fel i indata",AK114="Fel i indata",AK115="Fel i indata",AK116="Fel i indata",AK117="Fel i indata"),"Fel i indata","")</f>
        <v>#DIV/0!</v>
      </c>
      <c r="H150" s="250"/>
      <c r="I150" s="235" t="e">
        <f ca="1">IF(G150="Fel I indata","OBS! Se över din indata, energi för fastighetsenergi blir negativ efter avdrag för egenproducerad/återvunnen energi","")</f>
        <v>#DIV/0!</v>
      </c>
      <c r="L150" s="269"/>
      <c r="M150" s="269"/>
      <c r="O150" s="269"/>
      <c r="P150" s="269"/>
      <c r="R150" s="269"/>
      <c r="S150" s="269"/>
      <c r="U150" s="269"/>
      <c r="V150" s="269"/>
      <c r="X150" s="233"/>
      <c r="Y150" s="233" t="s">
        <v>1283</v>
      </c>
      <c r="Z150" s="233"/>
      <c r="AA150" s="233"/>
      <c r="AB150" s="236"/>
      <c r="AC150" s="233"/>
      <c r="AD150" s="233" t="s">
        <v>1157</v>
      </c>
      <c r="AE150" s="233"/>
      <c r="AF150" s="233"/>
      <c r="AG150" s="236"/>
      <c r="AH150" s="265"/>
      <c r="AI150" s="233"/>
      <c r="AJ150" s="233" t="s">
        <v>1157</v>
      </c>
      <c r="AK150" s="233"/>
      <c r="AL150" s="233"/>
      <c r="AM150" s="236"/>
      <c r="AN150" s="265"/>
      <c r="AO150" s="265"/>
      <c r="AP150" s="265"/>
      <c r="AQ150" s="265"/>
      <c r="AR150" s="265"/>
      <c r="AS150" s="265"/>
      <c r="AT150" s="265"/>
      <c r="AU150" s="265"/>
      <c r="AV150" s="265"/>
      <c r="AW150" s="265"/>
      <c r="AX150" s="265"/>
      <c r="AY150" s="31"/>
      <c r="AZ150" s="31"/>
      <c r="BA150" s="58"/>
      <c r="BB150" s="58"/>
      <c r="BC150" s="58"/>
      <c r="BD150" s="58"/>
      <c r="BE150" s="58"/>
      <c r="BF150" s="234"/>
      <c r="BG150" s="234"/>
      <c r="BH150" s="234"/>
      <c r="BI150" s="234"/>
      <c r="BJ150" s="234"/>
      <c r="BK150" s="234"/>
      <c r="BL150" s="234"/>
      <c r="BM150" s="234"/>
      <c r="BN150" s="234"/>
      <c r="BO150" s="234"/>
      <c r="BP150" s="234"/>
      <c r="BQ150" s="234"/>
      <c r="BR150" s="234"/>
      <c r="BS150" s="234"/>
      <c r="BT150" s="234"/>
      <c r="BU150" s="234"/>
      <c r="BV150" s="234"/>
      <c r="BW150" s="234"/>
      <c r="BX150" s="234"/>
      <c r="BY150" s="234"/>
      <c r="BZ150" s="234"/>
      <c r="CA150" s="234"/>
      <c r="CB150" s="234"/>
      <c r="CC150" s="234"/>
      <c r="CD150" s="234"/>
      <c r="CE150" s="234"/>
      <c r="CF150" s="234"/>
      <c r="CG150" s="234"/>
      <c r="CH150" s="234"/>
      <c r="CI150" s="234"/>
      <c r="CJ150" s="234"/>
      <c r="CK150" s="234"/>
      <c r="CL150" s="234"/>
      <c r="CM150" s="234"/>
      <c r="CN150" s="234"/>
      <c r="CO150" s="234"/>
      <c r="CP150" s="234"/>
      <c r="CQ150" s="234"/>
      <c r="CR150" s="234"/>
      <c r="CS150" s="31"/>
      <c r="CT150" s="234"/>
      <c r="CU150" s="234"/>
      <c r="CV150" s="234"/>
      <c r="CW150" s="234"/>
      <c r="CX150" s="234"/>
      <c r="CY150" s="234"/>
      <c r="CZ150" s="234"/>
      <c r="DA150" s="234"/>
      <c r="DB150" s="234"/>
      <c r="DC150" s="234"/>
      <c r="DD150" s="234"/>
      <c r="DE150" s="234"/>
      <c r="DF150" s="234"/>
      <c r="DG150" s="234"/>
      <c r="DH150" s="234"/>
      <c r="DI150" s="234"/>
      <c r="DJ150" s="234"/>
      <c r="DK150" s="234"/>
      <c r="DL150" s="234"/>
      <c r="DM150" s="234"/>
      <c r="DN150" s="234"/>
      <c r="DO150" s="234"/>
      <c r="DP150" s="234"/>
      <c r="DQ150" s="234"/>
      <c r="DR150" s="234"/>
      <c r="DS150" s="234"/>
      <c r="DT150" s="234"/>
    </row>
    <row r="151" spans="1:124" s="231" customFormat="1" ht="16.5" customHeight="1" x14ac:dyDescent="0.25">
      <c r="A151" s="232"/>
      <c r="B151" s="398">
        <v>6</v>
      </c>
      <c r="C151" s="399" t="s">
        <v>1284</v>
      </c>
      <c r="D151" s="400"/>
      <c r="E151" s="400"/>
      <c r="F151" s="385"/>
      <c r="G151" s="385"/>
      <c r="H151" s="385"/>
      <c r="I151" s="385"/>
      <c r="J151" s="384"/>
      <c r="K151" s="384"/>
      <c r="L151" s="384"/>
      <c r="M151" s="385"/>
      <c r="N151" s="385"/>
      <c r="O151" s="385"/>
      <c r="P151" s="385"/>
      <c r="Q151" s="385"/>
      <c r="R151" s="385"/>
      <c r="S151" s="385"/>
      <c r="T151" s="385"/>
      <c r="U151" s="385"/>
      <c r="V151" s="385"/>
      <c r="W151" s="386"/>
      <c r="X151" s="236" t="s">
        <v>1093</v>
      </c>
      <c r="Y151" s="56" t="str">
        <f>Y147</f>
        <v/>
      </c>
      <c r="Z151" s="56" t="str">
        <f>IF(Z147&lt;&gt;Y147,Z147,"")</f>
        <v/>
      </c>
      <c r="AA151" s="56" t="str">
        <f>IF(AND(AA147&lt;&gt;Z147,AA147&lt;&gt;Y147),AA147,"")</f>
        <v/>
      </c>
      <c r="AB151" s="56" t="s">
        <v>1094</v>
      </c>
      <c r="AC151" s="233"/>
      <c r="AD151" s="56" t="str">
        <f>AD147</f>
        <v>El</v>
      </c>
      <c r="AE151" s="56" t="str">
        <f>IF(AE147&lt;&gt;AD147,AE147,"")</f>
        <v/>
      </c>
      <c r="AF151" s="56" t="str">
        <f>IF(AND(AF147&lt;&gt;AE147,AF147&lt;&gt;AD147),AF147,"")</f>
        <v/>
      </c>
      <c r="AG151" s="56" t="s">
        <v>1094</v>
      </c>
      <c r="AH151" s="265"/>
      <c r="AI151" s="233"/>
      <c r="AJ151" s="56" t="str">
        <f>AJ147</f>
        <v>El</v>
      </c>
      <c r="AK151" s="56" t="str">
        <f>IF(AK147&lt;&gt;AJ147,AK147,"")</f>
        <v/>
      </c>
      <c r="AL151" s="56" t="str">
        <f>IF(AND(AL147&lt;&gt;AK147,AL147&lt;&gt;AJ147),AL147,"")</f>
        <v/>
      </c>
      <c r="AM151" s="56" t="s">
        <v>1094</v>
      </c>
      <c r="AN151" s="265"/>
      <c r="AO151" s="265"/>
      <c r="AP151" s="265"/>
      <c r="AQ151" s="265"/>
      <c r="AR151" s="265"/>
      <c r="AS151" s="265"/>
      <c r="AT151" s="265"/>
      <c r="AU151" s="265"/>
      <c r="AV151" s="265"/>
      <c r="AW151" s="265"/>
      <c r="AX151" s="265"/>
      <c r="AY151" s="31"/>
      <c r="AZ151" s="31"/>
      <c r="BA151" s="234"/>
      <c r="BB151" s="39" t="str">
        <f t="shared" ref="BB151:BD152" si="230">AJ151</f>
        <v>El</v>
      </c>
      <c r="BC151" s="39" t="str">
        <f t="shared" si="230"/>
        <v/>
      </c>
      <c r="BD151" s="39" t="str">
        <f t="shared" si="230"/>
        <v/>
      </c>
      <c r="BE151" s="58" t="s">
        <v>1159</v>
      </c>
      <c r="BF151" s="234"/>
      <c r="BG151" s="234"/>
      <c r="BH151" s="234"/>
      <c r="BI151" s="234"/>
      <c r="BJ151" s="234"/>
      <c r="BK151" s="234"/>
      <c r="BL151" s="234"/>
      <c r="BM151" s="234"/>
      <c r="BN151" s="234"/>
      <c r="BO151" s="234"/>
      <c r="BP151" s="234"/>
      <c r="BQ151" s="234"/>
      <c r="BR151" s="234"/>
      <c r="BS151" s="234"/>
      <c r="BT151" s="234"/>
      <c r="BU151" s="39"/>
      <c r="BV151" s="39"/>
      <c r="BW151" s="39"/>
      <c r="BX151" s="234"/>
      <c r="BY151" s="234"/>
      <c r="BZ151" s="234"/>
      <c r="CA151" s="234"/>
      <c r="CB151" s="234"/>
      <c r="CC151" s="234"/>
      <c r="CD151" s="234"/>
      <c r="CE151" s="234"/>
      <c r="CF151" s="234"/>
      <c r="CG151" s="234"/>
      <c r="CH151" s="234"/>
      <c r="CI151" s="234"/>
      <c r="CJ151" s="234"/>
      <c r="CK151" s="234"/>
      <c r="CL151" s="234"/>
      <c r="CM151" s="234"/>
      <c r="CN151" s="234"/>
      <c r="CO151" s="234"/>
      <c r="CP151" s="234"/>
      <c r="CQ151" s="234"/>
      <c r="CR151" s="234"/>
      <c r="CS151" s="31"/>
      <c r="CT151" s="234"/>
      <c r="CU151" s="234"/>
      <c r="CV151" s="234"/>
      <c r="CW151" s="234"/>
      <c r="CX151" s="234"/>
      <c r="CY151" s="234"/>
      <c r="CZ151" s="234"/>
      <c r="DA151" s="234"/>
      <c r="DB151" s="234"/>
      <c r="DC151" s="234"/>
      <c r="DD151" s="234"/>
      <c r="DE151" s="234"/>
      <c r="DF151" s="234"/>
      <c r="DG151" s="234"/>
      <c r="DH151" s="234"/>
      <c r="DI151" s="234"/>
      <c r="DJ151" s="234"/>
      <c r="DK151" s="234"/>
      <c r="DL151" s="234"/>
      <c r="DM151" s="234"/>
      <c r="DN151" s="234"/>
      <c r="DO151" s="234"/>
      <c r="DP151" s="234"/>
      <c r="DQ151" s="234"/>
      <c r="DR151" s="234"/>
      <c r="DS151" s="234"/>
      <c r="DT151" s="234"/>
    </row>
    <row r="152" spans="1:124" s="231" customFormat="1" ht="16.5" customHeight="1" x14ac:dyDescent="0.25">
      <c r="A152" s="232"/>
      <c r="C152" s="235" t="str">
        <f>IF(AB165&gt;50,"OBS! VERKSAMHETSEL ÄR STÖRRE ÄN 50 kWh/m2 Atemp PER LOKALAREA. I LOKALBYGGNADER FÅR INTERNT GENERERAT VÄRMEÖVERSKOTT PÅ HÖGST 50 kWh/m2 Atemp TILLGODORÄKNAS. ANVÄND DYNAMISK ENERGIBERÄKNING FÖR NORMALISERING AV MÄTVÄRDEN.","")</f>
        <v/>
      </c>
      <c r="X152" s="233"/>
      <c r="Y152" s="252">
        <f>IF('Indata byggnad och BBR krav'!$C$18=0,0,(IF(AND(J$155=$Y$150, $J$154=$Y$151),I159,0)+IF(AND($M$155=$Y$150, $M$154=$Y$151),L159,0)+IF(AND($P$155=$Y$150, $P$154=$Y$151),O159,0)))</f>
        <v>0</v>
      </c>
      <c r="Z152" s="261">
        <f>IF('Indata byggnad och BBR krav'!$C$18=0,0,(IF(AND(J$155=$Y$150, $J$154=$Z$151),I159,0)+IF(AND($M$155=$Y$150, $M$154=$Z$151),L159,0)+IF(AND($P$155=$Y$150, $P$154=$Z$151),O159,0)))</f>
        <v>0</v>
      </c>
      <c r="AA152" s="261">
        <f>IF('Indata byggnad och BBR krav'!$C$18=0,0,(IF(AND(J$155=$Y$150, $J$154=$AA$151),I159,0)+IF(AND($M$155=$Y$150, $M$154=$AA$151),L159,0)+IF(AND($P$155=$Y$150, $P$154=$AA$151),O159,0)))</f>
        <v>0</v>
      </c>
      <c r="AB152" s="252">
        <f>Y152+Z152+AA152</f>
        <v>0</v>
      </c>
      <c r="AC152" s="233"/>
      <c r="AD152" s="252">
        <f t="shared" ref="AD152:AD163" si="231">IF(AND(J$155=$AD$150, $J$154=$AD$151),I159,0)+IF(AND($M$155=$AD$150, $M$154=$AD$151),L159,0)+IF(AND($P$155=$AD$150, $P$154=$AD$151),O159,0)</f>
        <v>0</v>
      </c>
      <c r="AE152" s="252">
        <f t="shared" ref="AE152:AE163" si="232">IF(AND(J$155=$AD$150, $J$154=$AE$151),I159,0)+IF(AND($M$155=$AD$150, $M$154=$AE$151),L159,0)+IF(AND($P$155=$AD$150, $P$154=$AE$151),O159,0)</f>
        <v>0</v>
      </c>
      <c r="AF152" s="252">
        <f t="shared" ref="AF152:AF163" si="233">IF(AND(J$155=$AD$150, $J$154=$AF$151),I159,0)+IF(AND($M$155=$AD$150, $M$154=$AF$151),L159,0)+IF(AND($P$155=$AD$150, $P$154=$AF$151),O159,0)</f>
        <v>0</v>
      </c>
      <c r="AG152" s="252">
        <f t="shared" ref="AG152:AG163" si="234">AD152+AE152+AF152</f>
        <v>0</v>
      </c>
      <c r="AH152" s="265"/>
      <c r="AI152" s="233"/>
      <c r="AJ152" s="252">
        <f>IF('Indata byggnad och BBR krav'!$C$17=0,0,IF(AND($AJ$151="El",$D$107="Ingår i mätdata hushållsel"),AD152-AO105,AD152))</f>
        <v>0</v>
      </c>
      <c r="AK152" s="252">
        <f>IF('Indata byggnad och BBR krav'!$C$17=0,0,IF(AND($AK$151="El",$D$107="Ingår i mätdata hushållsel"),AE152-AO105,AE152))</f>
        <v>0</v>
      </c>
      <c r="AL152" s="252">
        <f>IF('Indata byggnad och BBR krav'!$C$17=0,0,IF(AND(AL151="El",$D$107="Ingår i mätdata hushållsel"),AF152-AO105,AF152))</f>
        <v>0</v>
      </c>
      <c r="AM152" s="252">
        <f t="shared" ref="AM152:AM163" si="235">AJ152+AK152+AL152</f>
        <v>0</v>
      </c>
      <c r="AN152" s="366" t="str">
        <f>IF(OR(AJ152&lt;0,AK152&lt;0,AL152&lt;0),"Fel i indata","")</f>
        <v/>
      </c>
      <c r="AO152" s="265"/>
      <c r="AP152" s="265"/>
      <c r="AQ152" s="265"/>
      <c r="AR152" s="265"/>
      <c r="AS152" s="265"/>
      <c r="AT152" s="265"/>
      <c r="AU152" s="265"/>
      <c r="AV152" s="265"/>
      <c r="AW152" s="265"/>
      <c r="AX152" s="265"/>
      <c r="AY152" s="31"/>
      <c r="AZ152" s="31"/>
      <c r="BA152" s="234"/>
      <c r="BB152" s="47">
        <f t="shared" si="230"/>
        <v>0</v>
      </c>
      <c r="BC152" s="47">
        <f t="shared" si="230"/>
        <v>0</v>
      </c>
      <c r="BD152" s="47">
        <f t="shared" si="230"/>
        <v>0</v>
      </c>
      <c r="BE152" s="47">
        <f t="shared" ref="BE152:BE163" si="236">BB152+BC152+BD152</f>
        <v>0</v>
      </c>
      <c r="BF152" s="234"/>
      <c r="BG152" s="234"/>
      <c r="BH152" s="234"/>
      <c r="BI152" s="234"/>
      <c r="BJ152" s="234"/>
      <c r="BK152" s="234"/>
      <c r="BL152" s="234"/>
      <c r="BM152" s="234"/>
      <c r="BN152" s="234"/>
      <c r="BO152" s="234"/>
      <c r="BP152" s="234"/>
      <c r="BQ152" s="234"/>
      <c r="BR152" s="234"/>
      <c r="BS152" s="234"/>
      <c r="BT152" s="234"/>
      <c r="BU152" s="39"/>
      <c r="BV152" s="39"/>
      <c r="BW152" s="39"/>
      <c r="BX152" s="234"/>
      <c r="BY152" s="234"/>
      <c r="BZ152" s="234"/>
      <c r="CA152" s="234"/>
      <c r="CB152" s="234"/>
      <c r="CC152" s="234"/>
      <c r="CD152" s="234"/>
      <c r="CE152" s="234"/>
      <c r="CF152" s="234"/>
      <c r="CG152" s="234"/>
      <c r="CH152" s="234"/>
      <c r="CI152" s="234"/>
      <c r="CJ152" s="234"/>
      <c r="CK152" s="234"/>
      <c r="CL152" s="234"/>
      <c r="CM152" s="234"/>
      <c r="CN152" s="234"/>
      <c r="CO152" s="234"/>
      <c r="CP152" s="234"/>
      <c r="CQ152" s="234"/>
      <c r="CR152" s="234"/>
      <c r="CS152" s="31"/>
      <c r="CT152" s="234"/>
      <c r="CU152" s="234"/>
      <c r="CV152" s="234"/>
      <c r="CW152" s="234"/>
      <c r="CX152" s="234"/>
      <c r="CY152" s="234"/>
      <c r="CZ152" s="234"/>
      <c r="DA152" s="234"/>
      <c r="DB152" s="234"/>
      <c r="DC152" s="234"/>
      <c r="DD152" s="234"/>
      <c r="DE152" s="234"/>
      <c r="DF152" s="234"/>
      <c r="DG152" s="234"/>
      <c r="DH152" s="234"/>
      <c r="DI152" s="234"/>
      <c r="DJ152" s="234"/>
      <c r="DK152" s="234"/>
      <c r="DL152" s="234"/>
      <c r="DM152" s="234"/>
      <c r="DN152" s="234"/>
      <c r="DO152" s="234"/>
      <c r="DP152" s="234"/>
      <c r="DQ152" s="234"/>
      <c r="DR152" s="234"/>
      <c r="DS152" s="234"/>
      <c r="DT152" s="234"/>
    </row>
    <row r="153" spans="1:124" s="231" customFormat="1" ht="16.5" customHeight="1" x14ac:dyDescent="0.25">
      <c r="A153" s="232"/>
      <c r="B153" s="232"/>
      <c r="C153" s="232"/>
      <c r="D153" s="232"/>
      <c r="E153" s="232"/>
      <c r="F153" s="505" t="s">
        <v>1138</v>
      </c>
      <c r="G153" s="505"/>
      <c r="H153" s="232"/>
      <c r="I153" s="238" t="s">
        <v>1047</v>
      </c>
      <c r="J153" s="232"/>
      <c r="K153" s="232"/>
      <c r="L153" s="238" t="s">
        <v>1048</v>
      </c>
      <c r="M153" s="232"/>
      <c r="N153" s="232"/>
      <c r="O153" s="238" t="s">
        <v>1049</v>
      </c>
      <c r="P153" s="232"/>
      <c r="Q153" s="232"/>
      <c r="R153" s="232"/>
      <c r="S153" s="232"/>
      <c r="T153" s="232"/>
      <c r="U153" s="232"/>
      <c r="V153" s="232"/>
      <c r="W153" s="232"/>
      <c r="X153" s="233"/>
      <c r="Y153" s="252">
        <f>IF('Indata byggnad och BBR krav'!$C$18=0,0,(IF(AND(J$155=$Y$150, $J$154=$Y$151),I160,0)+IF(AND($M$155=$Y$150, $M$154=$Y$151),L160,0)+IF(AND($P$155=$Y$150, $P$154=$Y$151),O160,0)))</f>
        <v>0</v>
      </c>
      <c r="Z153" s="261">
        <f>IF('Indata byggnad och BBR krav'!$C$18=0,0,(IF(AND(J$155=$Y$150, $J$154=$Z$151),I160,0)+IF(AND($M$155=$Y$150, $M$154=$Z$151),L160,0)+IF(AND($P$155=$Y$150, $P$154=$Z$151),O160,0)))</f>
        <v>0</v>
      </c>
      <c r="AA153" s="261">
        <f>IF('Indata byggnad och BBR krav'!$C$18=0,0,(IF(AND(J$155=$Y$150, $J$154=$AA$151),I160,0)+IF(AND($M$155=$Y$150, $M$154=$AA$151),L160,0)+IF(AND($P$155=$Y$150, $P$154=$AA$151),O160,0)))</f>
        <v>0</v>
      </c>
      <c r="AB153" s="252">
        <f t="shared" ref="AB153:AB163" si="237">Y153+Z153+AA153</f>
        <v>0</v>
      </c>
      <c r="AC153" s="233"/>
      <c r="AD153" s="252">
        <f t="shared" si="231"/>
        <v>0</v>
      </c>
      <c r="AE153" s="252">
        <f t="shared" si="232"/>
        <v>0</v>
      </c>
      <c r="AF153" s="252">
        <f t="shared" si="233"/>
        <v>0</v>
      </c>
      <c r="AG153" s="252">
        <f t="shared" si="234"/>
        <v>0</v>
      </c>
      <c r="AH153" s="265"/>
      <c r="AI153" s="233"/>
      <c r="AJ153" s="252">
        <f>IF('Indata byggnad och BBR krav'!$C$17=0,0,IF(AND($AJ$151="El",$D$107="Ingår i mätdata hushållsel"),AD153-AO106,AD153))</f>
        <v>0</v>
      </c>
      <c r="AK153" s="252">
        <f>IF('Indata byggnad och BBR krav'!$C$17=0,0,IF(AND($AK$151="El",$D$107="Ingår i mätdata hushållsel"),AE153-AO106,AE153))</f>
        <v>0</v>
      </c>
      <c r="AL153" s="252">
        <f>IF('Indata byggnad och BBR krav'!$C$17=0,0,IF(AND(AL152="El",$D$107="Ingår i mätdata hushållsel"),AF153-AO106,AF153))</f>
        <v>0</v>
      </c>
      <c r="AM153" s="252">
        <f t="shared" si="235"/>
        <v>0</v>
      </c>
      <c r="AN153" s="366" t="str">
        <f t="shared" ref="AN153:AN163" si="238">IF(OR(AJ153&lt;0,AK153&lt;0,AL153&lt;0),"Fel i indata","")</f>
        <v/>
      </c>
      <c r="AO153" s="265"/>
      <c r="AP153" s="265"/>
      <c r="AQ153" s="265"/>
      <c r="AR153" s="265"/>
      <c r="AS153" s="265"/>
      <c r="AT153" s="265"/>
      <c r="AU153" s="265"/>
      <c r="AV153" s="265"/>
      <c r="AW153" s="265"/>
      <c r="AX153" s="265"/>
      <c r="AY153" s="31"/>
      <c r="AZ153" s="31"/>
      <c r="BA153" s="234"/>
      <c r="BB153" s="47">
        <f t="shared" ref="BB153:BD163" si="239">AJ153</f>
        <v>0</v>
      </c>
      <c r="BC153" s="47">
        <f t="shared" si="239"/>
        <v>0</v>
      </c>
      <c r="BD153" s="47">
        <f t="shared" si="239"/>
        <v>0</v>
      </c>
      <c r="BE153" s="47">
        <f t="shared" si="236"/>
        <v>0</v>
      </c>
      <c r="BF153" s="234"/>
      <c r="BG153" s="234"/>
      <c r="BH153" s="234"/>
      <c r="BI153" s="234"/>
      <c r="BJ153" s="234"/>
      <c r="BK153" s="234"/>
      <c r="BL153" s="234"/>
      <c r="BM153" s="234"/>
      <c r="BN153" s="234"/>
      <c r="BO153" s="234"/>
      <c r="BP153" s="234"/>
      <c r="BQ153" s="234"/>
      <c r="BR153" s="234"/>
      <c r="BS153" s="234"/>
      <c r="BT153" s="234"/>
      <c r="BU153" s="39"/>
      <c r="BV153" s="39"/>
      <c r="BW153" s="39"/>
      <c r="BX153" s="234"/>
      <c r="BY153" s="234"/>
      <c r="BZ153" s="234"/>
      <c r="CA153" s="234"/>
      <c r="CB153" s="234"/>
      <c r="CC153" s="234"/>
      <c r="CD153" s="234"/>
      <c r="CE153" s="234"/>
      <c r="CF153" s="234"/>
      <c r="CG153" s="234"/>
      <c r="CH153" s="234"/>
      <c r="CI153" s="234"/>
      <c r="CJ153" s="234"/>
      <c r="CK153" s="234"/>
      <c r="CL153" s="234"/>
      <c r="CM153" s="234"/>
      <c r="CN153" s="234"/>
      <c r="CO153" s="234"/>
      <c r="CP153" s="234"/>
      <c r="CQ153" s="234"/>
      <c r="CR153" s="234"/>
      <c r="CS153" s="31"/>
      <c r="CT153" s="234"/>
      <c r="CU153" s="234"/>
      <c r="CV153" s="234"/>
      <c r="CW153" s="234"/>
      <c r="CX153" s="234"/>
      <c r="CY153" s="234"/>
      <c r="CZ153" s="234"/>
      <c r="DA153" s="234"/>
      <c r="DB153" s="234"/>
      <c r="DC153" s="234"/>
      <c r="DD153" s="234"/>
      <c r="DE153" s="234"/>
      <c r="DF153" s="234"/>
      <c r="DG153" s="234"/>
      <c r="DH153" s="234"/>
      <c r="DI153" s="234"/>
      <c r="DJ153" s="234"/>
      <c r="DK153" s="234"/>
      <c r="DL153" s="234"/>
      <c r="DM153" s="234"/>
      <c r="DN153" s="234"/>
      <c r="DO153" s="234"/>
      <c r="DP153" s="234"/>
      <c r="DQ153" s="234"/>
      <c r="DR153" s="234"/>
      <c r="DS153" s="234"/>
      <c r="DT153" s="234"/>
    </row>
    <row r="154" spans="1:124" s="231" customFormat="1" ht="16.5" customHeight="1" x14ac:dyDescent="0.25">
      <c r="A154" s="232"/>
      <c r="B154" s="232"/>
      <c r="C154" s="268" t="s">
        <v>1279</v>
      </c>
      <c r="D154" s="368" t="s">
        <v>1280</v>
      </c>
      <c r="E154" s="232"/>
      <c r="F154" s="54" t="s">
        <v>9</v>
      </c>
      <c r="G154" s="375">
        <f>$G$14</f>
        <v>2017</v>
      </c>
      <c r="H154" s="37"/>
      <c r="I154" s="55" t="s">
        <v>1209</v>
      </c>
      <c r="J154" s="368" t="s">
        <v>1085</v>
      </c>
      <c r="K154" s="37"/>
      <c r="L154" s="55" t="s">
        <v>1209</v>
      </c>
      <c r="M154" s="368" t="s">
        <v>1096</v>
      </c>
      <c r="N154" s="37"/>
      <c r="O154" s="55" t="s">
        <v>1209</v>
      </c>
      <c r="P154" s="368" t="s">
        <v>1085</v>
      </c>
      <c r="Q154" s="37"/>
      <c r="R154" s="37"/>
      <c r="S154" s="37"/>
      <c r="T154" s="37"/>
      <c r="U154" s="37"/>
      <c r="V154" s="37"/>
      <c r="W154" s="232"/>
      <c r="X154" s="233"/>
      <c r="Y154" s="252">
        <f>IF('Indata byggnad och BBR krav'!$C$18=0,0,(IF(AND(J$155=$Y$150, $J$154=$Y$151),I161,0)+IF(AND($M$155=$Y$150, $M$154=$Y$151),L161,0)+IF(AND($P$155=$Y$150, $P$154=$Y$151),O161,0)))</f>
        <v>0</v>
      </c>
      <c r="Z154" s="261">
        <f>IF('Indata byggnad och BBR krav'!$C$18=0,0,(IF(AND(J$155=$Y$150, $J$154=$Z$151),I161,0)+IF(AND($M$155=$Y$150, $M$154=$Z$151),L161,0)+IF(AND($P$155=$Y$150, $P$154=$Z$151),O161,0)))</f>
        <v>0</v>
      </c>
      <c r="AA154" s="261">
        <f>IF('Indata byggnad och BBR krav'!$C$18=0,0,(IF(AND(J$155=$Y$150, $J$154=$AA$151),I161,0)+IF(AND($M$155=$Y$150, $M$154=$AA$151),L161,0)+IF(AND($P$155=$Y$150, $P$154=$AA$151),O161,0)))</f>
        <v>0</v>
      </c>
      <c r="AB154" s="252">
        <f t="shared" si="237"/>
        <v>0</v>
      </c>
      <c r="AC154" s="233"/>
      <c r="AD154" s="252">
        <f t="shared" si="231"/>
        <v>0</v>
      </c>
      <c r="AE154" s="252">
        <f t="shared" si="232"/>
        <v>0</v>
      </c>
      <c r="AF154" s="252">
        <f t="shared" si="233"/>
        <v>0</v>
      </c>
      <c r="AG154" s="252">
        <f t="shared" si="234"/>
        <v>0</v>
      </c>
      <c r="AH154" s="265"/>
      <c r="AI154" s="233"/>
      <c r="AJ154" s="252">
        <f>IF('Indata byggnad och BBR krav'!$C$17=0,0,IF(AND($AJ$151="El",$D$107="Ingår i mätdata hushållsel"),AD154-AO107,AD154))</f>
        <v>0</v>
      </c>
      <c r="AK154" s="252">
        <f>IF('Indata byggnad och BBR krav'!$C$17=0,0,IF(AND($AK$151="El",$D$107="Ingår i mätdata hushållsel"),AE154-AO107,AE154))</f>
        <v>0</v>
      </c>
      <c r="AL154" s="252">
        <f>IF('Indata byggnad och BBR krav'!$C$17=0,0,IF(AND(AL153="El",$D$107="Ingår i mätdata hushållsel"),AF154-AO107,AF154))</f>
        <v>0</v>
      </c>
      <c r="AM154" s="252">
        <f t="shared" si="235"/>
        <v>0</v>
      </c>
      <c r="AN154" s="366" t="str">
        <f t="shared" si="238"/>
        <v/>
      </c>
      <c r="AO154" s="265"/>
      <c r="AP154" s="265"/>
      <c r="AQ154" s="265"/>
      <c r="AR154" s="265"/>
      <c r="AS154" s="265"/>
      <c r="AT154" s="265"/>
      <c r="AU154" s="265"/>
      <c r="AV154" s="265"/>
      <c r="AW154" s="265"/>
      <c r="AX154" s="265"/>
      <c r="AY154" s="31"/>
      <c r="AZ154" s="31"/>
      <c r="BA154" s="234"/>
      <c r="BB154" s="47">
        <f t="shared" si="239"/>
        <v>0</v>
      </c>
      <c r="BC154" s="47">
        <f t="shared" si="239"/>
        <v>0</v>
      </c>
      <c r="BD154" s="47">
        <f t="shared" si="239"/>
        <v>0</v>
      </c>
      <c r="BE154" s="47">
        <f t="shared" si="236"/>
        <v>0</v>
      </c>
      <c r="BF154" s="234"/>
      <c r="BG154" s="234"/>
      <c r="BH154" s="234"/>
      <c r="BI154" s="234"/>
      <c r="BJ154" s="234"/>
      <c r="BK154" s="234"/>
      <c r="BL154" s="234"/>
      <c r="BM154" s="234"/>
      <c r="BN154" s="234"/>
      <c r="BO154" s="234"/>
      <c r="BP154" s="234"/>
      <c r="BQ154" s="234"/>
      <c r="BR154" s="234"/>
      <c r="BS154" s="234"/>
      <c r="BT154" s="234"/>
      <c r="BU154" s="39"/>
      <c r="BV154" s="39"/>
      <c r="BW154" s="39"/>
      <c r="BX154" s="234"/>
      <c r="BY154" s="234"/>
      <c r="BZ154" s="234"/>
      <c r="CA154" s="234"/>
      <c r="CB154" s="234"/>
      <c r="CC154" s="234"/>
      <c r="CD154" s="234"/>
      <c r="CE154" s="234"/>
      <c r="CF154" s="234"/>
      <c r="CG154" s="234"/>
      <c r="CH154" s="234"/>
      <c r="CI154" s="234"/>
      <c r="CJ154" s="234"/>
      <c r="CK154" s="234"/>
      <c r="CL154" s="234"/>
      <c r="CM154" s="234"/>
      <c r="CN154" s="234"/>
      <c r="CO154" s="234"/>
      <c r="CP154" s="234"/>
      <c r="CQ154" s="234"/>
      <c r="CR154" s="234"/>
      <c r="CS154" s="31"/>
      <c r="CT154" s="234"/>
      <c r="CU154" s="234"/>
      <c r="CV154" s="234"/>
      <c r="CW154" s="234"/>
      <c r="CX154" s="234"/>
      <c r="CY154" s="234"/>
      <c r="CZ154" s="234"/>
      <c r="DA154" s="234"/>
      <c r="DB154" s="234"/>
      <c r="DC154" s="234"/>
      <c r="DD154" s="234"/>
      <c r="DE154" s="234"/>
      <c r="DF154" s="234"/>
      <c r="DG154" s="234"/>
      <c r="DH154" s="234"/>
      <c r="DI154" s="234"/>
      <c r="DJ154" s="234"/>
      <c r="DK154" s="234"/>
      <c r="DL154" s="234"/>
      <c r="DM154" s="234"/>
      <c r="DN154" s="234"/>
      <c r="DO154" s="234"/>
      <c r="DP154" s="234"/>
      <c r="DQ154" s="234"/>
      <c r="DR154" s="234"/>
      <c r="DS154" s="234"/>
      <c r="DT154" s="234"/>
    </row>
    <row r="155" spans="1:124" s="231" customFormat="1" ht="16.5" customHeight="1" x14ac:dyDescent="0.25">
      <c r="A155" s="232"/>
      <c r="B155" s="232"/>
      <c r="C155" s="232"/>
      <c r="D155" s="232"/>
      <c r="E155" s="232"/>
      <c r="F155" s="54" t="s">
        <v>19</v>
      </c>
      <c r="G155" s="375" t="str">
        <f>$G$15</f>
        <v>jan</v>
      </c>
      <c r="H155" s="37"/>
      <c r="I155" s="55" t="s">
        <v>1139</v>
      </c>
      <c r="J155" s="368" t="s">
        <v>1157</v>
      </c>
      <c r="K155" s="37"/>
      <c r="L155" s="55" t="s">
        <v>1139</v>
      </c>
      <c r="M155" s="368"/>
      <c r="N155" s="37"/>
      <c r="O155" s="55" t="s">
        <v>1139</v>
      </c>
      <c r="P155" s="368"/>
      <c r="Q155" s="37"/>
      <c r="R155" s="37"/>
      <c r="S155" s="37"/>
      <c r="T155" s="37"/>
      <c r="U155" s="37"/>
      <c r="V155" s="37"/>
      <c r="W155" s="232"/>
      <c r="X155" s="233"/>
      <c r="Y155" s="252">
        <f>IF('Indata byggnad och BBR krav'!$C$18=0,0,(IF(AND(J$155=$Y$150, $J$154=$Y$151),I162,0)+IF(AND($M$155=$Y$150, $M$154=$Y$151),L162,0)+IF(AND($P$155=$Y$150, $P$154=$Y$151),O162,0)))</f>
        <v>0</v>
      </c>
      <c r="Z155" s="261">
        <f>IF('Indata byggnad och BBR krav'!$C$18=0,0,(IF(AND(J$155=$Y$150, $J$154=$Z$151),I162,0)+IF(AND($M$155=$Y$150, $M$154=$Z$151),L162,0)+IF(AND($P$155=$Y$150, $P$154=$Z$151),O162,0)))</f>
        <v>0</v>
      </c>
      <c r="AA155" s="261">
        <f>IF('Indata byggnad och BBR krav'!$C$18=0,0,(IF(AND(J$155=$Y$150, $J$154=$AA$151),I162,0)+IF(AND($M$155=$Y$150, $M$154=$AA$151),L162,0)+IF(AND($P$155=$Y$150, $P$154=$AA$151),O162,0)))</f>
        <v>0</v>
      </c>
      <c r="AB155" s="252">
        <f t="shared" si="237"/>
        <v>0</v>
      </c>
      <c r="AC155" s="233"/>
      <c r="AD155" s="252">
        <f t="shared" si="231"/>
        <v>0</v>
      </c>
      <c r="AE155" s="252">
        <f t="shared" si="232"/>
        <v>0</v>
      </c>
      <c r="AF155" s="252">
        <f t="shared" si="233"/>
        <v>0</v>
      </c>
      <c r="AG155" s="252">
        <f t="shared" si="234"/>
        <v>0</v>
      </c>
      <c r="AH155" s="265"/>
      <c r="AI155" s="233"/>
      <c r="AJ155" s="252">
        <f>IF('Indata byggnad och BBR krav'!$C$17=0,0,IF(AND($AJ$151="El",$D$107="Ingår i mätdata hushållsel"),AD155-AO108,AD155))</f>
        <v>0</v>
      </c>
      <c r="AK155" s="252">
        <f>IF('Indata byggnad och BBR krav'!$C$17=0,0,IF(AND($AK$151="El",$D$107="Ingår i mätdata hushållsel"),AE155-AO108,AE155))</f>
        <v>0</v>
      </c>
      <c r="AL155" s="252">
        <f>IF('Indata byggnad och BBR krav'!$C$17=0,0,IF(AND(AL154="El",$D$107="Ingår i mätdata hushållsel"),AF155-AO108,AF155))</f>
        <v>0</v>
      </c>
      <c r="AM155" s="252">
        <f t="shared" si="235"/>
        <v>0</v>
      </c>
      <c r="AN155" s="366" t="str">
        <f t="shared" si="238"/>
        <v/>
      </c>
      <c r="AO155" s="265"/>
      <c r="AP155" s="265"/>
      <c r="AQ155" s="265"/>
      <c r="AR155" s="265"/>
      <c r="AS155" s="265"/>
      <c r="AT155" s="265"/>
      <c r="AU155" s="265"/>
      <c r="AV155" s="265"/>
      <c r="AW155" s="265"/>
      <c r="AX155" s="265"/>
      <c r="AY155" s="31"/>
      <c r="AZ155" s="31"/>
      <c r="BA155" s="234"/>
      <c r="BB155" s="47">
        <f t="shared" si="239"/>
        <v>0</v>
      </c>
      <c r="BC155" s="47">
        <f t="shared" si="239"/>
        <v>0</v>
      </c>
      <c r="BD155" s="47">
        <f t="shared" si="239"/>
        <v>0</v>
      </c>
      <c r="BE155" s="47">
        <f t="shared" si="236"/>
        <v>0</v>
      </c>
      <c r="BF155" s="234"/>
      <c r="BG155" s="234"/>
      <c r="BH155" s="234"/>
      <c r="BI155" s="234"/>
      <c r="BJ155" s="234"/>
      <c r="BK155" s="234"/>
      <c r="BL155" s="234"/>
      <c r="BM155" s="234"/>
      <c r="BN155" s="234"/>
      <c r="BO155" s="234"/>
      <c r="BP155" s="234"/>
      <c r="BQ155" s="234"/>
      <c r="BR155" s="234"/>
      <c r="BS155" s="234"/>
      <c r="BT155" s="234"/>
      <c r="BU155" s="39"/>
      <c r="BV155" s="39"/>
      <c r="BW155" s="39"/>
      <c r="BX155" s="234"/>
      <c r="BY155" s="234"/>
      <c r="BZ155" s="234"/>
      <c r="CA155" s="234"/>
      <c r="CB155" s="234"/>
      <c r="CC155" s="234"/>
      <c r="CD155" s="234"/>
      <c r="CE155" s="234"/>
      <c r="CF155" s="234"/>
      <c r="CG155" s="234"/>
      <c r="CH155" s="234"/>
      <c r="CI155" s="234"/>
      <c r="CJ155" s="234"/>
      <c r="CK155" s="234"/>
      <c r="CL155" s="234"/>
      <c r="CM155" s="234"/>
      <c r="CN155" s="234"/>
      <c r="CO155" s="234"/>
      <c r="CP155" s="234"/>
      <c r="CQ155" s="234"/>
      <c r="CR155" s="234"/>
      <c r="CS155" s="31"/>
      <c r="CT155" s="234"/>
      <c r="CU155" s="234"/>
      <c r="CV155" s="234"/>
      <c r="CW155" s="234"/>
      <c r="CX155" s="234"/>
      <c r="CY155" s="234"/>
      <c r="CZ155" s="234"/>
      <c r="DA155" s="234"/>
      <c r="DB155" s="234"/>
      <c r="DC155" s="234"/>
      <c r="DD155" s="234"/>
      <c r="DE155" s="234"/>
      <c r="DF155" s="234"/>
      <c r="DG155" s="234"/>
      <c r="DH155" s="234"/>
      <c r="DI155" s="234"/>
      <c r="DJ155" s="234"/>
      <c r="DK155" s="234"/>
      <c r="DL155" s="234"/>
      <c r="DM155" s="234"/>
      <c r="DN155" s="234"/>
      <c r="DO155" s="234"/>
      <c r="DP155" s="234"/>
      <c r="DQ155" s="234"/>
      <c r="DR155" s="234"/>
      <c r="DS155" s="234"/>
      <c r="DT155" s="234"/>
    </row>
    <row r="156" spans="1:124" s="231" customFormat="1" ht="16.5" customHeight="1" x14ac:dyDescent="0.25">
      <c r="A156" s="232"/>
      <c r="B156" s="232"/>
      <c r="C156" s="53" t="s">
        <v>1050</v>
      </c>
      <c r="D156" s="368">
        <v>1</v>
      </c>
      <c r="E156" s="232"/>
      <c r="F156" s="93"/>
      <c r="G156" s="93"/>
      <c r="H156" s="37"/>
      <c r="I156" s="232"/>
      <c r="J156" s="232"/>
      <c r="K156" s="232"/>
      <c r="L156" s="232"/>
      <c r="M156" s="120"/>
      <c r="N156" s="232"/>
      <c r="O156" s="232"/>
      <c r="P156" s="232"/>
      <c r="Q156" s="232"/>
      <c r="R156" s="232"/>
      <c r="S156" s="232"/>
      <c r="T156" s="232"/>
      <c r="U156" s="232"/>
      <c r="V156" s="232"/>
      <c r="W156" s="232"/>
      <c r="X156" s="233"/>
      <c r="Y156" s="252">
        <f>IF('Indata byggnad och BBR krav'!$C$18=0,0,(IF(AND(J$155=$Y$150, $J$154=$Y$151),I163,0)+IF(AND($M$155=$Y$150, $M$154=$Y$151),L163,0)+IF(AND($P$155=$Y$150, $P$154=$Y$151),O163,0)))</f>
        <v>0</v>
      </c>
      <c r="Z156" s="261">
        <f>IF('Indata byggnad och BBR krav'!$C$18=0,0,(IF(AND(J$155=$Y$150, $J$154=$Z$151),I163,0)+IF(AND($M$155=$Y$150, $M$154=$Z$151),L163,0)+IF(AND($P$155=$Y$150, $P$154=$Z$151),O163,0)))</f>
        <v>0</v>
      </c>
      <c r="AA156" s="261">
        <f>IF('Indata byggnad och BBR krav'!$C$18=0,0,(IF(AND(J$155=$Y$150, $J$154=$AA$151),I163,0)+IF(AND($M$155=$Y$150, $M$154=$AA$151),L163,0)+IF(AND($P$155=$Y$150, $P$154=$AA$151),O163,0)))</f>
        <v>0</v>
      </c>
      <c r="AB156" s="252">
        <f t="shared" si="237"/>
        <v>0</v>
      </c>
      <c r="AC156" s="233"/>
      <c r="AD156" s="252">
        <f t="shared" si="231"/>
        <v>0</v>
      </c>
      <c r="AE156" s="252">
        <f t="shared" si="232"/>
        <v>0</v>
      </c>
      <c r="AF156" s="252">
        <f t="shared" si="233"/>
        <v>0</v>
      </c>
      <c r="AG156" s="252">
        <f t="shared" si="234"/>
        <v>0</v>
      </c>
      <c r="AH156" s="265"/>
      <c r="AI156" s="233"/>
      <c r="AJ156" s="252">
        <f>IF('Indata byggnad och BBR krav'!$C$17=0,0,IF(AND($AJ$151="El",$D$107="Ingår i mätdata hushållsel"),AD156-AO109,AD156))</f>
        <v>0</v>
      </c>
      <c r="AK156" s="252">
        <f>IF('Indata byggnad och BBR krav'!$C$17=0,0,IF(AND($AK$151="El",$D$107="Ingår i mätdata hushållsel"),AE156-AO109,AE156))</f>
        <v>0</v>
      </c>
      <c r="AL156" s="252">
        <f>IF('Indata byggnad och BBR krav'!$C$17=0,0,IF(AND(AL155="El",$D$107="Ingår i mätdata hushållsel"),AF156-AO109,AF156))</f>
        <v>0</v>
      </c>
      <c r="AM156" s="252">
        <f t="shared" si="235"/>
        <v>0</v>
      </c>
      <c r="AN156" s="366" t="str">
        <f t="shared" si="238"/>
        <v/>
      </c>
      <c r="AO156" s="265"/>
      <c r="AP156" s="265"/>
      <c r="AQ156" s="265"/>
      <c r="AR156" s="265"/>
      <c r="AS156" s="265"/>
      <c r="AT156" s="265"/>
      <c r="AU156" s="265"/>
      <c r="AV156" s="265"/>
      <c r="AW156" s="265"/>
      <c r="AX156" s="265"/>
      <c r="AY156" s="31"/>
      <c r="AZ156" s="31"/>
      <c r="BA156" s="234"/>
      <c r="BB156" s="47">
        <f t="shared" si="239"/>
        <v>0</v>
      </c>
      <c r="BC156" s="47">
        <f t="shared" si="239"/>
        <v>0</v>
      </c>
      <c r="BD156" s="47">
        <f t="shared" si="239"/>
        <v>0</v>
      </c>
      <c r="BE156" s="47">
        <f t="shared" si="236"/>
        <v>0</v>
      </c>
      <c r="BF156" s="234"/>
      <c r="BG156" s="234"/>
      <c r="BH156" s="234"/>
      <c r="BI156" s="234"/>
      <c r="BJ156" s="234"/>
      <c r="BK156" s="234"/>
      <c r="BL156" s="234"/>
      <c r="BM156" s="234"/>
      <c r="BN156" s="234"/>
      <c r="BO156" s="234"/>
      <c r="BP156" s="234"/>
      <c r="BQ156" s="234"/>
      <c r="BR156" s="234"/>
      <c r="BS156" s="234"/>
      <c r="BT156" s="234"/>
      <c r="BU156" s="39"/>
      <c r="BV156" s="39"/>
      <c r="BW156" s="39"/>
      <c r="BX156" s="234"/>
      <c r="BY156" s="234"/>
      <c r="BZ156" s="234"/>
      <c r="CA156" s="234"/>
      <c r="CB156" s="234"/>
      <c r="CC156" s="234"/>
      <c r="CD156" s="234"/>
      <c r="CE156" s="234"/>
      <c r="CF156" s="234"/>
      <c r="CG156" s="234"/>
      <c r="CH156" s="234"/>
      <c r="CI156" s="234"/>
      <c r="CJ156" s="234"/>
      <c r="CK156" s="234"/>
      <c r="CL156" s="234"/>
      <c r="CM156" s="234"/>
      <c r="CN156" s="234"/>
      <c r="CO156" s="234"/>
      <c r="CP156" s="234"/>
      <c r="CQ156" s="234"/>
      <c r="CR156" s="234"/>
      <c r="CS156" s="31"/>
      <c r="CT156" s="234"/>
      <c r="CU156" s="234"/>
      <c r="CV156" s="234"/>
      <c r="CW156" s="234"/>
      <c r="CX156" s="234"/>
      <c r="CY156" s="234"/>
      <c r="CZ156" s="234"/>
      <c r="DA156" s="234"/>
      <c r="DB156" s="234"/>
      <c r="DC156" s="234"/>
      <c r="DD156" s="234"/>
      <c r="DE156" s="234"/>
      <c r="DF156" s="234"/>
      <c r="DG156" s="234"/>
      <c r="DH156" s="234"/>
      <c r="DI156" s="234"/>
      <c r="DJ156" s="234"/>
      <c r="DK156" s="234"/>
      <c r="DL156" s="234"/>
      <c r="DM156" s="234"/>
      <c r="DN156" s="234"/>
      <c r="DO156" s="234"/>
      <c r="DP156" s="234"/>
      <c r="DQ156" s="234"/>
      <c r="DR156" s="234"/>
      <c r="DS156" s="234"/>
      <c r="DT156" s="234"/>
    </row>
    <row r="157" spans="1:124" s="231" customFormat="1" ht="16.5" customHeight="1" x14ac:dyDescent="0.25">
      <c r="A157" s="232"/>
      <c r="B157" s="232"/>
      <c r="C157" s="217" t="s">
        <v>1356</v>
      </c>
      <c r="D157" s="250"/>
      <c r="E157" s="232"/>
      <c r="F157" s="232"/>
      <c r="G157" s="37"/>
      <c r="H157" s="37"/>
      <c r="I157" s="97"/>
      <c r="J157" s="66" t="s">
        <v>1132</v>
      </c>
      <c r="K157" s="66"/>
      <c r="L157" s="97"/>
      <c r="M157" s="66" t="s">
        <v>1132</v>
      </c>
      <c r="N157" s="66"/>
      <c r="O157" s="97"/>
      <c r="P157" s="66" t="s">
        <v>1132</v>
      </c>
      <c r="Q157" s="66"/>
      <c r="R157" s="66"/>
      <c r="S157" s="66"/>
      <c r="T157" s="66"/>
      <c r="U157" s="66"/>
      <c r="V157" s="66"/>
      <c r="W157" s="232"/>
      <c r="X157" s="233"/>
      <c r="Y157" s="252">
        <f>IF('Indata byggnad och BBR krav'!$C$18=0,0,(IF(AND(J$155=$Y$150, $J$154=$Y$151),I164,0)+IF(AND($M$155=$Y$150, $M$154=$Y$151),L164,0)+IF(AND($P$155=$Y$150, $P$154=$Y$151),O164,0)))</f>
        <v>0</v>
      </c>
      <c r="Z157" s="261">
        <f>IF('Indata byggnad och BBR krav'!$C$18=0,0,(IF(AND(J$155=$Y$150, $J$154=$Z$151),I164,0)+IF(AND($M$155=$Y$150, $M$154=$Z$151),L164,0)+IF(AND($P$155=$Y$150, $P$154=$Z$151),O164,0)))</f>
        <v>0</v>
      </c>
      <c r="AA157" s="261">
        <f>IF('Indata byggnad och BBR krav'!$C$18=0,0,(IF(AND(J$155=$Y$150, $J$154=$AA$151),I164,0)+IF(AND($M$155=$Y$150, $M$154=$AA$151),L164,0)+IF(AND($P$155=$Y$150, $P$154=$AA$151),O164,0)))</f>
        <v>0</v>
      </c>
      <c r="AB157" s="252">
        <f t="shared" si="237"/>
        <v>0</v>
      </c>
      <c r="AC157" s="233"/>
      <c r="AD157" s="252">
        <f t="shared" si="231"/>
        <v>0</v>
      </c>
      <c r="AE157" s="252">
        <f t="shared" si="232"/>
        <v>0</v>
      </c>
      <c r="AF157" s="252">
        <f t="shared" si="233"/>
        <v>0</v>
      </c>
      <c r="AG157" s="252">
        <f t="shared" si="234"/>
        <v>0</v>
      </c>
      <c r="AH157" s="265"/>
      <c r="AI157" s="233"/>
      <c r="AJ157" s="252">
        <f>IF('Indata byggnad och BBR krav'!$C$17=0,0,IF(AND($AJ$151="El",$D$107="Ingår i mätdata hushållsel"),AD157-AO110,AD157))</f>
        <v>0</v>
      </c>
      <c r="AK157" s="252">
        <f>IF('Indata byggnad och BBR krav'!$C$17=0,0,IF(AND($AK$151="El",$D$107="Ingår i mätdata hushållsel"),AE157-AO110,AE157))</f>
        <v>0</v>
      </c>
      <c r="AL157" s="252">
        <f>IF('Indata byggnad och BBR krav'!$C$17=0,0,IF(AND(AL156="El",$D$107="Ingår i mätdata hushållsel"),AF157-AO110,AF157))</f>
        <v>0</v>
      </c>
      <c r="AM157" s="252">
        <f t="shared" si="235"/>
        <v>0</v>
      </c>
      <c r="AN157" s="366" t="str">
        <f t="shared" si="238"/>
        <v/>
      </c>
      <c r="AO157" s="265"/>
      <c r="AP157" s="265"/>
      <c r="AQ157" s="265"/>
      <c r="AR157" s="265"/>
      <c r="AS157" s="265"/>
      <c r="AT157" s="265"/>
      <c r="AU157" s="265"/>
      <c r="AV157" s="265"/>
      <c r="AW157" s="265"/>
      <c r="AX157" s="265"/>
      <c r="AY157" s="31"/>
      <c r="AZ157" s="31"/>
      <c r="BA157" s="234"/>
      <c r="BB157" s="47">
        <f t="shared" si="239"/>
        <v>0</v>
      </c>
      <c r="BC157" s="47">
        <f t="shared" si="239"/>
        <v>0</v>
      </c>
      <c r="BD157" s="47">
        <f t="shared" si="239"/>
        <v>0</v>
      </c>
      <c r="BE157" s="47">
        <f t="shared" si="236"/>
        <v>0</v>
      </c>
      <c r="BF157" s="234"/>
      <c r="BG157" s="234"/>
      <c r="BH157" s="234"/>
      <c r="BI157" s="234"/>
      <c r="BJ157" s="234"/>
      <c r="BK157" s="234"/>
      <c r="BL157" s="234"/>
      <c r="BM157" s="234"/>
      <c r="BN157" s="234"/>
      <c r="BO157" s="234"/>
      <c r="BP157" s="234"/>
      <c r="BQ157" s="234"/>
      <c r="BR157" s="234"/>
      <c r="BS157" s="234"/>
      <c r="BT157" s="234"/>
      <c r="BU157" s="39"/>
      <c r="BV157" s="39"/>
      <c r="BW157" s="39"/>
      <c r="BX157" s="234"/>
      <c r="BY157" s="234"/>
      <c r="BZ157" s="234"/>
      <c r="CA157" s="234"/>
      <c r="CB157" s="234"/>
      <c r="CC157" s="234"/>
      <c r="CD157" s="234"/>
      <c r="CE157" s="234"/>
      <c r="CF157" s="234"/>
      <c r="CG157" s="234"/>
      <c r="CH157" s="234"/>
      <c r="CI157" s="234"/>
      <c r="CJ157" s="234"/>
      <c r="CK157" s="234"/>
      <c r="CL157" s="234"/>
      <c r="CM157" s="234"/>
      <c r="CN157" s="234"/>
      <c r="CO157" s="234"/>
      <c r="CP157" s="234"/>
      <c r="CQ157" s="234"/>
      <c r="CR157" s="234"/>
      <c r="CS157" s="31"/>
      <c r="CT157" s="234"/>
      <c r="CU157" s="234"/>
      <c r="CV157" s="234"/>
      <c r="CW157" s="234"/>
      <c r="CX157" s="234"/>
      <c r="CY157" s="234"/>
      <c r="CZ157" s="234"/>
      <c r="DA157" s="234"/>
      <c r="DB157" s="234"/>
      <c r="DC157" s="234"/>
      <c r="DD157" s="234"/>
      <c r="DE157" s="234"/>
      <c r="DF157" s="234"/>
      <c r="DG157" s="234"/>
      <c r="DH157" s="234"/>
      <c r="DI157" s="234"/>
      <c r="DJ157" s="234"/>
      <c r="DK157" s="234"/>
      <c r="DL157" s="234"/>
      <c r="DM157" s="234"/>
      <c r="DN157" s="234"/>
      <c r="DO157" s="234"/>
      <c r="DP157" s="234"/>
      <c r="DQ157" s="234"/>
      <c r="DR157" s="234"/>
      <c r="DS157" s="234"/>
      <c r="DT157" s="234"/>
    </row>
    <row r="158" spans="1:124" s="231" customFormat="1" ht="16.5" customHeight="1" x14ac:dyDescent="0.25">
      <c r="A158" s="232"/>
      <c r="B158" s="232"/>
      <c r="C158" s="527"/>
      <c r="D158" s="528"/>
      <c r="E158" s="232"/>
      <c r="F158" s="391" t="s">
        <v>1044</v>
      </c>
      <c r="G158" s="391" t="s">
        <v>1045</v>
      </c>
      <c r="H158" s="70"/>
      <c r="I158" s="106" t="s">
        <v>1075</v>
      </c>
      <c r="J158" s="442" t="s">
        <v>1075</v>
      </c>
      <c r="K158" s="9"/>
      <c r="L158" s="444" t="s">
        <v>1075</v>
      </c>
      <c r="M158" s="442" t="s">
        <v>1075</v>
      </c>
      <c r="N158" s="9"/>
      <c r="O158" s="444" t="s">
        <v>1075</v>
      </c>
      <c r="P158" s="442" t="s">
        <v>1075</v>
      </c>
      <c r="Q158" s="70"/>
      <c r="R158" s="70"/>
      <c r="S158" s="70"/>
      <c r="T158" s="70"/>
      <c r="U158" s="70"/>
      <c r="V158" s="70"/>
      <c r="W158" s="232"/>
      <c r="X158" s="233"/>
      <c r="Y158" s="252">
        <f>IF('Indata byggnad och BBR krav'!$C$18=0,0,(IF(AND(J$155=$Y$150, $J$154=$Y$151),I165,0)+IF(AND($M$155=$Y$150, $M$154=$Y$151),L165,0)+IF(AND($P$155=$Y$150, $P$154=$Y$151),O165,0)))</f>
        <v>0</v>
      </c>
      <c r="Z158" s="261">
        <f>IF('Indata byggnad och BBR krav'!$C$18=0,0,(IF(AND(J$155=$Y$150, $J$154=$Z$151),I165,0)+IF(AND($M$155=$Y$150, $M$154=$Z$151),L165,0)+IF(AND($P$155=$Y$150, $P$154=$Z$151),O165,0)))</f>
        <v>0</v>
      </c>
      <c r="AA158" s="261">
        <f>IF('Indata byggnad och BBR krav'!$C$18=0,0,(IF(AND(J$155=$Y$150, $J$154=$AA$151),I165,0)+IF(AND($M$155=$Y$150, $M$154=$AA$151),L165,0)+IF(AND($P$155=$Y$150, $P$154=$AA$151),O165,0)))</f>
        <v>0</v>
      </c>
      <c r="AB158" s="252">
        <f t="shared" si="237"/>
        <v>0</v>
      </c>
      <c r="AC158" s="233"/>
      <c r="AD158" s="252">
        <f t="shared" si="231"/>
        <v>0</v>
      </c>
      <c r="AE158" s="252">
        <f t="shared" si="232"/>
        <v>0</v>
      </c>
      <c r="AF158" s="252">
        <f t="shared" si="233"/>
        <v>0</v>
      </c>
      <c r="AG158" s="252">
        <f t="shared" si="234"/>
        <v>0</v>
      </c>
      <c r="AH158" s="265"/>
      <c r="AI158" s="233"/>
      <c r="AJ158" s="252">
        <f>IF('Indata byggnad och BBR krav'!$C$17=0,0,IF(AND($AJ$151="El",$D$107="Ingår i mätdata hushållsel"),AD158-AO111,AD158))</f>
        <v>0</v>
      </c>
      <c r="AK158" s="252">
        <f>IF('Indata byggnad och BBR krav'!$C$17=0,0,IF(AND($AK$151="El",$D$107="Ingår i mätdata hushållsel"),AE158-AO111,AE158))</f>
        <v>0</v>
      </c>
      <c r="AL158" s="252">
        <f>IF('Indata byggnad och BBR krav'!$C$17=0,0,IF(AND(AL157="El",$D$107="Ingår i mätdata hushållsel"),AF158-AO111,AF158))</f>
        <v>0</v>
      </c>
      <c r="AM158" s="252">
        <f t="shared" si="235"/>
        <v>0</v>
      </c>
      <c r="AN158" s="366" t="str">
        <f t="shared" si="238"/>
        <v/>
      </c>
      <c r="AO158" s="265"/>
      <c r="AP158" s="265"/>
      <c r="AQ158" s="265"/>
      <c r="AR158" s="265"/>
      <c r="AS158" s="265"/>
      <c r="AT158" s="265"/>
      <c r="AU158" s="265"/>
      <c r="AV158" s="265"/>
      <c r="AW158" s="265"/>
      <c r="AX158" s="265"/>
      <c r="AY158" s="31"/>
      <c r="AZ158" s="31"/>
      <c r="BA158" s="234"/>
      <c r="BB158" s="47">
        <f t="shared" si="239"/>
        <v>0</v>
      </c>
      <c r="BC158" s="47">
        <f t="shared" si="239"/>
        <v>0</v>
      </c>
      <c r="BD158" s="47">
        <f t="shared" si="239"/>
        <v>0</v>
      </c>
      <c r="BE158" s="47">
        <f t="shared" si="236"/>
        <v>0</v>
      </c>
      <c r="BF158" s="234"/>
      <c r="BG158" s="234"/>
      <c r="BH158" s="234"/>
      <c r="BI158" s="234"/>
      <c r="BJ158" s="234"/>
      <c r="BK158" s="234"/>
      <c r="BL158" s="234"/>
      <c r="BM158" s="234"/>
      <c r="BN158" s="234"/>
      <c r="BO158" s="234"/>
      <c r="BP158" s="234"/>
      <c r="BQ158" s="234"/>
      <c r="BR158" s="234"/>
      <c r="BS158" s="234"/>
      <c r="BT158" s="234"/>
      <c r="BU158" s="39"/>
      <c r="BV158" s="39"/>
      <c r="BW158" s="39"/>
      <c r="BX158" s="234"/>
      <c r="BY158" s="234"/>
      <c r="BZ158" s="234"/>
      <c r="CA158" s="234"/>
      <c r="CB158" s="234"/>
      <c r="CC158" s="234"/>
      <c r="CD158" s="234"/>
      <c r="CE158" s="234"/>
      <c r="CF158" s="234"/>
      <c r="CG158" s="234"/>
      <c r="CH158" s="234"/>
      <c r="CI158" s="234"/>
      <c r="CJ158" s="234"/>
      <c r="CK158" s="234"/>
      <c r="CL158" s="234"/>
      <c r="CM158" s="234"/>
      <c r="CN158" s="234"/>
      <c r="CO158" s="234"/>
      <c r="CP158" s="234"/>
      <c r="CQ158" s="234"/>
      <c r="CR158" s="234"/>
      <c r="CS158" s="31"/>
      <c r="CT158" s="234"/>
      <c r="CU158" s="234"/>
      <c r="CV158" s="234"/>
      <c r="CW158" s="234"/>
      <c r="CX158" s="234"/>
      <c r="CY158" s="234"/>
      <c r="CZ158" s="234"/>
      <c r="DA158" s="234"/>
      <c r="DB158" s="234"/>
      <c r="DC158" s="234"/>
      <c r="DD158" s="234"/>
      <c r="DE158" s="234"/>
      <c r="DF158" s="234"/>
      <c r="DG158" s="234"/>
      <c r="DH158" s="234"/>
      <c r="DI158" s="234"/>
      <c r="DJ158" s="234"/>
      <c r="DK158" s="234"/>
      <c r="DL158" s="234"/>
      <c r="DM158" s="234"/>
      <c r="DN158" s="234"/>
      <c r="DO158" s="234"/>
      <c r="DP158" s="234"/>
      <c r="DQ158" s="234"/>
      <c r="DR158" s="234"/>
      <c r="DS158" s="234"/>
      <c r="DT158" s="234"/>
    </row>
    <row r="159" spans="1:124" s="231" customFormat="1" ht="16.5" customHeight="1" x14ac:dyDescent="0.25">
      <c r="A159" s="232"/>
      <c r="B159" s="250"/>
      <c r="C159" s="529"/>
      <c r="D159" s="530"/>
      <c r="E159" s="251"/>
      <c r="F159" s="387">
        <f>G154</f>
        <v>2017</v>
      </c>
      <c r="G159" s="387" t="str">
        <f t="shared" ref="G159:G170" ca="1" si="240">OFFSET($EI$2,$EI$43+ROW(F159)-ROW($F$159),0)</f>
        <v>jan</v>
      </c>
      <c r="H159" s="70"/>
      <c r="I159" s="109">
        <f t="shared" ref="I159:I170" si="241">IF(AND($D$156&gt;0,$D$154="Separat mätdata finns"),J159,0)</f>
        <v>0</v>
      </c>
      <c r="J159" s="388"/>
      <c r="K159" s="23"/>
      <c r="L159" s="445">
        <f t="shared" ref="L159:L170" si="242">IF(AND($D$156&gt;1,$D$154="Separat mätdata finns"),M159,0)</f>
        <v>0</v>
      </c>
      <c r="M159" s="388"/>
      <c r="N159" s="23"/>
      <c r="O159" s="445">
        <f t="shared" ref="O159:O170" si="243">IF(AND($D$156&gt;2,$D$154="Separat mätdata finns"),P159,0)</f>
        <v>0</v>
      </c>
      <c r="P159" s="388"/>
      <c r="Q159" s="73"/>
      <c r="R159" s="73"/>
      <c r="S159" s="73"/>
      <c r="T159" s="73"/>
      <c r="U159" s="73"/>
      <c r="V159" s="73"/>
      <c r="W159" s="232"/>
      <c r="X159" s="233"/>
      <c r="Y159" s="252">
        <f>IF('Indata byggnad och BBR krav'!$C$18=0,0,(IF(AND(J$155=$Y$150, $J$154=$Y$151),I166,0)+IF(AND($M$155=$Y$150, $M$154=$Y$151),L166,0)+IF(AND($P$155=$Y$150, $P$154=$Y$151),O166,0)))</f>
        <v>0</v>
      </c>
      <c r="Z159" s="261">
        <f>IF('Indata byggnad och BBR krav'!$C$18=0,0,(IF(AND(J$155=$Y$150, $J$154=$Z$151),I166,0)+IF(AND($M$155=$Y$150, $M$154=$Z$151),L166,0)+IF(AND($P$155=$Y$150, $P$154=$Z$151),O166,0)))</f>
        <v>0</v>
      </c>
      <c r="AA159" s="261">
        <f>IF('Indata byggnad och BBR krav'!$C$18=0,0,(IF(AND(J$155=$Y$150, $J$154=$AA$151),I166,0)+IF(AND($M$155=$Y$150, $M$154=$AA$151),L166,0)+IF(AND($P$155=$Y$150, $P$154=$AA$151),O166,0)))</f>
        <v>0</v>
      </c>
      <c r="AB159" s="252">
        <f t="shared" si="237"/>
        <v>0</v>
      </c>
      <c r="AC159" s="233"/>
      <c r="AD159" s="252">
        <f t="shared" si="231"/>
        <v>0</v>
      </c>
      <c r="AE159" s="252">
        <f t="shared" si="232"/>
        <v>0</v>
      </c>
      <c r="AF159" s="252">
        <f t="shared" si="233"/>
        <v>0</v>
      </c>
      <c r="AG159" s="252">
        <f t="shared" si="234"/>
        <v>0</v>
      </c>
      <c r="AH159" s="265"/>
      <c r="AI159" s="233"/>
      <c r="AJ159" s="252">
        <f>IF('Indata byggnad och BBR krav'!$C$17=0,0,IF(AND($AJ$151="El",$D$107="Ingår i mätdata hushållsel"),AD159-AO112,AD159))</f>
        <v>0</v>
      </c>
      <c r="AK159" s="252">
        <f>IF('Indata byggnad och BBR krav'!$C$17=0,0,IF(AND($AK$151="El",$D$107="Ingår i mätdata hushållsel"),AE159-AO112,AE159))</f>
        <v>0</v>
      </c>
      <c r="AL159" s="252">
        <f>IF('Indata byggnad och BBR krav'!$C$17=0,0,IF(AND(AL158="El",$D$107="Ingår i mätdata hushållsel"),AF159-AO112,AF159))</f>
        <v>0</v>
      </c>
      <c r="AM159" s="252">
        <f t="shared" si="235"/>
        <v>0</v>
      </c>
      <c r="AN159" s="366" t="str">
        <f t="shared" si="238"/>
        <v/>
      </c>
      <c r="AO159" s="265"/>
      <c r="AP159" s="265"/>
      <c r="AQ159" s="265"/>
      <c r="AR159" s="265"/>
      <c r="AS159" s="265"/>
      <c r="AT159" s="265"/>
      <c r="AU159" s="265"/>
      <c r="AV159" s="265"/>
      <c r="AW159" s="265"/>
      <c r="AX159" s="265"/>
      <c r="AY159" s="31"/>
      <c r="AZ159" s="31"/>
      <c r="BA159" s="234"/>
      <c r="BB159" s="47">
        <f t="shared" si="239"/>
        <v>0</v>
      </c>
      <c r="BC159" s="47">
        <f t="shared" si="239"/>
        <v>0</v>
      </c>
      <c r="BD159" s="47">
        <f t="shared" si="239"/>
        <v>0</v>
      </c>
      <c r="BE159" s="47">
        <f t="shared" si="236"/>
        <v>0</v>
      </c>
      <c r="BF159" s="234"/>
      <c r="BG159" s="234"/>
      <c r="BH159" s="234"/>
      <c r="BI159" s="234"/>
      <c r="BJ159" s="234"/>
      <c r="BK159" s="234"/>
      <c r="BL159" s="234"/>
      <c r="BM159" s="234"/>
      <c r="BN159" s="234"/>
      <c r="BO159" s="234"/>
      <c r="BP159" s="234"/>
      <c r="BQ159" s="234"/>
      <c r="BR159" s="234"/>
      <c r="BS159" s="234"/>
      <c r="BT159" s="234"/>
      <c r="BU159" s="39"/>
      <c r="BV159" s="39"/>
      <c r="BW159" s="39"/>
      <c r="BX159" s="234"/>
      <c r="BY159" s="234"/>
      <c r="BZ159" s="234"/>
      <c r="CA159" s="234"/>
      <c r="CB159" s="234"/>
      <c r="CC159" s="234"/>
      <c r="CD159" s="234"/>
      <c r="CE159" s="234"/>
      <c r="CF159" s="234"/>
      <c r="CG159" s="234"/>
      <c r="CH159" s="234"/>
      <c r="CI159" s="234"/>
      <c r="CJ159" s="234"/>
      <c r="CK159" s="234"/>
      <c r="CL159" s="234"/>
      <c r="CM159" s="234"/>
      <c r="CN159" s="234"/>
      <c r="CO159" s="234"/>
      <c r="CP159" s="234"/>
      <c r="CQ159" s="234"/>
      <c r="CR159" s="234"/>
      <c r="CS159" s="31"/>
      <c r="CT159" s="234"/>
      <c r="CU159" s="234"/>
      <c r="CV159" s="234"/>
      <c r="CW159" s="234"/>
      <c r="CX159" s="234"/>
      <c r="CY159" s="234"/>
      <c r="CZ159" s="234"/>
      <c r="DA159" s="234"/>
      <c r="DB159" s="234"/>
      <c r="DC159" s="234"/>
      <c r="DD159" s="234"/>
      <c r="DE159" s="234"/>
      <c r="DF159" s="234"/>
      <c r="DG159" s="234"/>
      <c r="DH159" s="234"/>
      <c r="DI159" s="234"/>
      <c r="DJ159" s="234"/>
      <c r="DK159" s="234"/>
      <c r="DL159" s="234"/>
      <c r="DM159" s="234"/>
      <c r="DN159" s="234"/>
      <c r="DO159" s="234"/>
      <c r="DP159" s="234"/>
      <c r="DQ159" s="234"/>
      <c r="DR159" s="234"/>
      <c r="DS159" s="234"/>
      <c r="DT159" s="234"/>
    </row>
    <row r="160" spans="1:124" s="231" customFormat="1" ht="16.5" customHeight="1" x14ac:dyDescent="0.25">
      <c r="A160" s="232"/>
      <c r="B160" s="250"/>
      <c r="C160" s="531"/>
      <c r="D160" s="532"/>
      <c r="E160" s="232"/>
      <c r="F160" s="387">
        <f ca="1">IF(G160="jan",F159+1,F159)</f>
        <v>2017</v>
      </c>
      <c r="G160" s="387" t="str">
        <f t="shared" ca="1" si="240"/>
        <v>feb</v>
      </c>
      <c r="H160" s="70"/>
      <c r="I160" s="109">
        <f t="shared" si="241"/>
        <v>0</v>
      </c>
      <c r="J160" s="388"/>
      <c r="K160" s="23"/>
      <c r="L160" s="445">
        <f t="shared" si="242"/>
        <v>0</v>
      </c>
      <c r="M160" s="388"/>
      <c r="N160" s="23"/>
      <c r="O160" s="445">
        <f t="shared" si="243"/>
        <v>0</v>
      </c>
      <c r="P160" s="388"/>
      <c r="Q160" s="73"/>
      <c r="R160" s="73"/>
      <c r="S160" s="73"/>
      <c r="T160" s="73"/>
      <c r="U160" s="73"/>
      <c r="V160" s="73"/>
      <c r="W160" s="232"/>
      <c r="X160" s="233"/>
      <c r="Y160" s="252">
        <f>IF('Indata byggnad och BBR krav'!$C$18=0,0,(IF(AND(J$155=$Y$150, $J$154=$Y$151),I167,0)+IF(AND($M$155=$Y$150, $M$154=$Y$151),L167,0)+IF(AND($P$155=$Y$150, $P$154=$Y$151),O167,0)))</f>
        <v>0</v>
      </c>
      <c r="Z160" s="261">
        <f>IF('Indata byggnad och BBR krav'!$C$18=0,0,(IF(AND(J$155=$Y$150, $J$154=$Z$151),I167,0)+IF(AND($M$155=$Y$150, $M$154=$Z$151),L167,0)+IF(AND($P$155=$Y$150, $P$154=$Z$151),O167,0)))</f>
        <v>0</v>
      </c>
      <c r="AA160" s="261">
        <f>IF('Indata byggnad och BBR krav'!$C$18=0,0,(IF(AND(J$155=$Y$150, $J$154=$AA$151),I167,0)+IF(AND($M$155=$Y$150, $M$154=$AA$151),L167,0)+IF(AND($P$155=$Y$150, $P$154=$AA$151),O167,0)))</f>
        <v>0</v>
      </c>
      <c r="AB160" s="252">
        <f t="shared" si="237"/>
        <v>0</v>
      </c>
      <c r="AC160" s="233"/>
      <c r="AD160" s="252">
        <f t="shared" si="231"/>
        <v>0</v>
      </c>
      <c r="AE160" s="252">
        <f t="shared" si="232"/>
        <v>0</v>
      </c>
      <c r="AF160" s="252">
        <f t="shared" si="233"/>
        <v>0</v>
      </c>
      <c r="AG160" s="252">
        <f t="shared" si="234"/>
        <v>0</v>
      </c>
      <c r="AH160" s="265"/>
      <c r="AI160" s="233"/>
      <c r="AJ160" s="252">
        <f>IF('Indata byggnad och BBR krav'!$C$17=0,0,IF(AND($AJ$151="El",$D$107="Ingår i mätdata hushållsel"),AD160-AO113,AD160))</f>
        <v>0</v>
      </c>
      <c r="AK160" s="252">
        <f>IF('Indata byggnad och BBR krav'!$C$17=0,0,IF(AND($AK$151="El",$D$107="Ingår i mätdata hushållsel"),AE160-AO113,AE160))</f>
        <v>0</v>
      </c>
      <c r="AL160" s="252">
        <f>IF('Indata byggnad och BBR krav'!$C$17=0,0,IF(AND(AL159="El",$D$107="Ingår i mätdata hushållsel"),AF160-AO113,AF160))</f>
        <v>0</v>
      </c>
      <c r="AM160" s="252">
        <f t="shared" si="235"/>
        <v>0</v>
      </c>
      <c r="AN160" s="366" t="str">
        <f t="shared" si="238"/>
        <v/>
      </c>
      <c r="AO160" s="265"/>
      <c r="AP160" s="265"/>
      <c r="AQ160" s="265"/>
      <c r="AR160" s="265"/>
      <c r="AS160" s="265"/>
      <c r="AT160" s="265"/>
      <c r="AU160" s="265"/>
      <c r="AV160" s="265"/>
      <c r="AW160" s="265"/>
      <c r="AX160" s="265"/>
      <c r="AY160" s="31"/>
      <c r="AZ160" s="31"/>
      <c r="BA160" s="234"/>
      <c r="BB160" s="47">
        <f t="shared" si="239"/>
        <v>0</v>
      </c>
      <c r="BC160" s="47">
        <f t="shared" si="239"/>
        <v>0</v>
      </c>
      <c r="BD160" s="47">
        <f t="shared" si="239"/>
        <v>0</v>
      </c>
      <c r="BE160" s="47">
        <f t="shared" si="236"/>
        <v>0</v>
      </c>
      <c r="BF160" s="234"/>
      <c r="BG160" s="234"/>
      <c r="BH160" s="234"/>
      <c r="BI160" s="234"/>
      <c r="BJ160" s="234"/>
      <c r="BK160" s="234"/>
      <c r="BL160" s="234"/>
      <c r="BM160" s="234"/>
      <c r="BN160" s="234"/>
      <c r="BO160" s="234"/>
      <c r="BP160" s="234"/>
      <c r="BQ160" s="234"/>
      <c r="BR160" s="234"/>
      <c r="BS160" s="234"/>
      <c r="BT160" s="234"/>
      <c r="BU160" s="39"/>
      <c r="BV160" s="39"/>
      <c r="BW160" s="39"/>
      <c r="BX160" s="234"/>
      <c r="BY160" s="234"/>
      <c r="BZ160" s="234"/>
      <c r="CA160" s="234"/>
      <c r="CB160" s="234"/>
      <c r="CC160" s="234"/>
      <c r="CD160" s="234"/>
      <c r="CE160" s="234"/>
      <c r="CF160" s="234"/>
      <c r="CG160" s="234"/>
      <c r="CH160" s="234"/>
      <c r="CI160" s="234"/>
      <c r="CJ160" s="234"/>
      <c r="CK160" s="234"/>
      <c r="CL160" s="234"/>
      <c r="CM160" s="234"/>
      <c r="CN160" s="234"/>
      <c r="CO160" s="234"/>
      <c r="CP160" s="234"/>
      <c r="CQ160" s="234"/>
      <c r="CR160" s="234"/>
      <c r="CS160" s="31"/>
      <c r="CT160" s="234"/>
      <c r="CU160" s="234"/>
      <c r="CV160" s="234"/>
      <c r="CW160" s="234"/>
      <c r="CX160" s="234"/>
      <c r="CY160" s="234"/>
      <c r="CZ160" s="234"/>
      <c r="DA160" s="234"/>
      <c r="DB160" s="234"/>
      <c r="DC160" s="234"/>
      <c r="DD160" s="234"/>
      <c r="DE160" s="234"/>
      <c r="DF160" s="234"/>
      <c r="DG160" s="234"/>
      <c r="DH160" s="234"/>
      <c r="DI160" s="234"/>
      <c r="DJ160" s="234"/>
      <c r="DK160" s="234"/>
      <c r="DL160" s="234"/>
      <c r="DM160" s="234"/>
      <c r="DN160" s="234"/>
      <c r="DO160" s="234"/>
      <c r="DP160" s="234"/>
      <c r="DQ160" s="234"/>
      <c r="DR160" s="234"/>
      <c r="DS160" s="234"/>
      <c r="DT160" s="234"/>
    </row>
    <row r="161" spans="1:124" s="231" customFormat="1" ht="16.5" customHeight="1" x14ac:dyDescent="0.25">
      <c r="A161" s="232"/>
      <c r="B161" s="250"/>
      <c r="C161" s="250"/>
      <c r="D161" s="250"/>
      <c r="E161" s="232"/>
      <c r="F161" s="387">
        <f t="shared" ref="F161:F170" ca="1" si="244">IF(G161="jan",F160+1,F160)</f>
        <v>2017</v>
      </c>
      <c r="G161" s="387" t="str">
        <f t="shared" ca="1" si="240"/>
        <v>mars</v>
      </c>
      <c r="H161" s="70"/>
      <c r="I161" s="109">
        <f t="shared" si="241"/>
        <v>0</v>
      </c>
      <c r="J161" s="388"/>
      <c r="K161" s="23"/>
      <c r="L161" s="445">
        <f t="shared" si="242"/>
        <v>0</v>
      </c>
      <c r="M161" s="388"/>
      <c r="N161" s="23"/>
      <c r="O161" s="445">
        <f t="shared" si="243"/>
        <v>0</v>
      </c>
      <c r="P161" s="388"/>
      <c r="Q161" s="73"/>
      <c r="R161" s="73"/>
      <c r="S161" s="73"/>
      <c r="T161" s="73"/>
      <c r="U161" s="73"/>
      <c r="V161" s="73"/>
      <c r="W161" s="232"/>
      <c r="X161" s="233"/>
      <c r="Y161" s="252">
        <f>IF('Indata byggnad och BBR krav'!$C$18=0,0,(IF(AND(J$155=$Y$150, $J$154=$Y$151),I168,0)+IF(AND($M$155=$Y$150, $M$154=$Y$151),L168,0)+IF(AND($P$155=$Y$150, $P$154=$Y$151),O168,0)))</f>
        <v>0</v>
      </c>
      <c r="Z161" s="261">
        <f>IF('Indata byggnad och BBR krav'!$C$18=0,0,(IF(AND(J$155=$Y$150, $J$154=$Z$151),I168,0)+IF(AND($M$155=$Y$150, $M$154=$Z$151),L168,0)+IF(AND($P$155=$Y$150, $P$154=$Z$151),O168,0)))</f>
        <v>0</v>
      </c>
      <c r="AA161" s="261">
        <f>IF('Indata byggnad och BBR krav'!$C$18=0,0,(IF(AND(J$155=$Y$150, $J$154=$AA$151),I168,0)+IF(AND($M$155=$Y$150, $M$154=$AA$151),L168,0)+IF(AND($P$155=$Y$150, $P$154=$AA$151),O168,0)))</f>
        <v>0</v>
      </c>
      <c r="AB161" s="252">
        <f t="shared" si="237"/>
        <v>0</v>
      </c>
      <c r="AC161" s="233"/>
      <c r="AD161" s="252">
        <f t="shared" si="231"/>
        <v>0</v>
      </c>
      <c r="AE161" s="252">
        <f t="shared" si="232"/>
        <v>0</v>
      </c>
      <c r="AF161" s="252">
        <f t="shared" si="233"/>
        <v>0</v>
      </c>
      <c r="AG161" s="252">
        <f t="shared" si="234"/>
        <v>0</v>
      </c>
      <c r="AH161" s="265"/>
      <c r="AI161" s="233"/>
      <c r="AJ161" s="252">
        <f>IF('Indata byggnad och BBR krav'!$C$17=0,0,IF(AND($AJ$151="El",$D$107="Ingår i mätdata hushållsel"),AD161-AO114,AD161))</f>
        <v>0</v>
      </c>
      <c r="AK161" s="252">
        <f>IF('Indata byggnad och BBR krav'!$C$17=0,0,IF(AND($AK$151="El",$D$107="Ingår i mätdata hushållsel"),AE161-AO114,AE161))</f>
        <v>0</v>
      </c>
      <c r="AL161" s="252">
        <f>IF('Indata byggnad och BBR krav'!$C$17=0,0,IF(AND(AL160="El",$D$107="Ingår i mätdata hushållsel"),AF161-AO114,AF161))</f>
        <v>0</v>
      </c>
      <c r="AM161" s="252">
        <f t="shared" si="235"/>
        <v>0</v>
      </c>
      <c r="AN161" s="366" t="str">
        <f t="shared" si="238"/>
        <v/>
      </c>
      <c r="AO161" s="265"/>
      <c r="AP161" s="265"/>
      <c r="AQ161" s="265"/>
      <c r="AR161" s="265"/>
      <c r="AS161" s="265"/>
      <c r="AT161" s="265"/>
      <c r="AU161" s="265"/>
      <c r="AV161" s="265"/>
      <c r="AW161" s="265"/>
      <c r="AX161" s="265"/>
      <c r="AY161" s="31"/>
      <c r="AZ161" s="31"/>
      <c r="BA161" s="234"/>
      <c r="BB161" s="47">
        <f t="shared" si="239"/>
        <v>0</v>
      </c>
      <c r="BC161" s="47">
        <f t="shared" si="239"/>
        <v>0</v>
      </c>
      <c r="BD161" s="47">
        <f t="shared" si="239"/>
        <v>0</v>
      </c>
      <c r="BE161" s="47">
        <f t="shared" si="236"/>
        <v>0</v>
      </c>
      <c r="BF161" s="234"/>
      <c r="BG161" s="234"/>
      <c r="BH161" s="234"/>
      <c r="BI161" s="234"/>
      <c r="BJ161" s="234"/>
      <c r="BK161" s="234"/>
      <c r="BL161" s="234"/>
      <c r="BM161" s="234"/>
      <c r="BN161" s="234"/>
      <c r="BO161" s="234"/>
      <c r="BP161" s="234"/>
      <c r="BQ161" s="234"/>
      <c r="BR161" s="234"/>
      <c r="BS161" s="234"/>
      <c r="BT161" s="234"/>
      <c r="BU161" s="39"/>
      <c r="BV161" s="39"/>
      <c r="BW161" s="39"/>
      <c r="BX161" s="234"/>
      <c r="BY161" s="234"/>
      <c r="BZ161" s="234"/>
      <c r="CA161" s="234"/>
      <c r="CB161" s="234"/>
      <c r="CC161" s="234"/>
      <c r="CD161" s="234"/>
      <c r="CE161" s="234"/>
      <c r="CF161" s="234"/>
      <c r="CG161" s="234"/>
      <c r="CH161" s="234"/>
      <c r="CI161" s="234"/>
      <c r="CJ161" s="234"/>
      <c r="CK161" s="234"/>
      <c r="CL161" s="234"/>
      <c r="CM161" s="234"/>
      <c r="CN161" s="234"/>
      <c r="CO161" s="234"/>
      <c r="CP161" s="234"/>
      <c r="CQ161" s="234"/>
      <c r="CR161" s="234"/>
      <c r="CS161" s="31"/>
      <c r="CT161" s="234"/>
      <c r="CU161" s="234"/>
      <c r="CV161" s="234"/>
      <c r="CW161" s="234"/>
      <c r="CX161" s="234"/>
      <c r="CY161" s="234"/>
      <c r="CZ161" s="234"/>
      <c r="DA161" s="234"/>
      <c r="DB161" s="234"/>
      <c r="DC161" s="234"/>
      <c r="DD161" s="234"/>
      <c r="DE161" s="234"/>
      <c r="DF161" s="234"/>
      <c r="DG161" s="234"/>
      <c r="DH161" s="234"/>
      <c r="DI161" s="234"/>
      <c r="DJ161" s="234"/>
      <c r="DK161" s="234"/>
      <c r="DL161" s="234"/>
      <c r="DM161" s="234"/>
      <c r="DN161" s="234"/>
      <c r="DO161" s="234"/>
      <c r="DP161" s="234"/>
      <c r="DQ161" s="234"/>
      <c r="DR161" s="234"/>
      <c r="DS161" s="234"/>
      <c r="DT161" s="234"/>
    </row>
    <row r="162" spans="1:124" s="231" customFormat="1" ht="16.5" customHeight="1" x14ac:dyDescent="0.25">
      <c r="A162" s="232"/>
      <c r="B162" s="250"/>
      <c r="C162" s="250"/>
      <c r="D162" s="250"/>
      <c r="E162" s="232"/>
      <c r="F162" s="387">
        <f t="shared" ca="1" si="244"/>
        <v>2017</v>
      </c>
      <c r="G162" s="387" t="str">
        <f t="shared" ca="1" si="240"/>
        <v>apr</v>
      </c>
      <c r="H162" s="70"/>
      <c r="I162" s="109">
        <f t="shared" si="241"/>
        <v>0</v>
      </c>
      <c r="J162" s="388"/>
      <c r="K162" s="23"/>
      <c r="L162" s="445">
        <f t="shared" si="242"/>
        <v>0</v>
      </c>
      <c r="M162" s="388"/>
      <c r="N162" s="23"/>
      <c r="O162" s="445">
        <f t="shared" si="243"/>
        <v>0</v>
      </c>
      <c r="P162" s="388"/>
      <c r="Q162" s="73"/>
      <c r="R162" s="73"/>
      <c r="S162" s="73"/>
      <c r="T162" s="73"/>
      <c r="U162" s="73"/>
      <c r="V162" s="73"/>
      <c r="W162" s="232"/>
      <c r="X162" s="233"/>
      <c r="Y162" s="252">
        <f>IF('Indata byggnad och BBR krav'!$C$18=0,0,(IF(AND(J$155=$Y$150, $J$154=$Y$151),I169,0)+IF(AND($M$155=$Y$150, $M$154=$Y$151),L169,0)+IF(AND($P$155=$Y$150, $P$154=$Y$151),O169,0)))</f>
        <v>0</v>
      </c>
      <c r="Z162" s="261">
        <f>IF('Indata byggnad och BBR krav'!$C$18=0,0,(IF(AND(J$155=$Y$150, $J$154=$Z$151),I169,0)+IF(AND($M$155=$Y$150, $M$154=$Z$151),L169,0)+IF(AND($P$155=$Y$150, $P$154=$Z$151),O169,0)))</f>
        <v>0</v>
      </c>
      <c r="AA162" s="261">
        <f>IF('Indata byggnad och BBR krav'!$C$18=0,0,(IF(AND(J$155=$Y$150, $J$154=$AA$151),I169,0)+IF(AND($M$155=$Y$150, $M$154=$AA$151),L169,0)+IF(AND($P$155=$Y$150, $P$154=$AA$151),O169,0)))</f>
        <v>0</v>
      </c>
      <c r="AB162" s="252">
        <f t="shared" si="237"/>
        <v>0</v>
      </c>
      <c r="AC162" s="233"/>
      <c r="AD162" s="252">
        <f t="shared" si="231"/>
        <v>0</v>
      </c>
      <c r="AE162" s="252">
        <f t="shared" si="232"/>
        <v>0</v>
      </c>
      <c r="AF162" s="252">
        <f t="shared" si="233"/>
        <v>0</v>
      </c>
      <c r="AG162" s="252">
        <f t="shared" si="234"/>
        <v>0</v>
      </c>
      <c r="AH162" s="265"/>
      <c r="AI162" s="233"/>
      <c r="AJ162" s="252">
        <f>IF('Indata byggnad och BBR krav'!$C$17=0,0,IF(AND($AJ$151="El",$D$107="Ingår i mätdata hushållsel"),AD162-AO115,AD162))</f>
        <v>0</v>
      </c>
      <c r="AK162" s="252">
        <f>IF('Indata byggnad och BBR krav'!$C$17=0,0,IF(AND($AK$151="El",$D$107="Ingår i mätdata hushållsel"),AE162-AO115,AE162))</f>
        <v>0</v>
      </c>
      <c r="AL162" s="252">
        <f>IF('Indata byggnad och BBR krav'!$C$17=0,0,IF(AND(AL161="El",$D$107="Ingår i mätdata hushållsel"),AF162-AO115,AF162))</f>
        <v>0</v>
      </c>
      <c r="AM162" s="252">
        <f t="shared" si="235"/>
        <v>0</v>
      </c>
      <c r="AN162" s="366" t="str">
        <f t="shared" si="238"/>
        <v/>
      </c>
      <c r="AO162" s="265"/>
      <c r="AP162" s="265"/>
      <c r="AQ162" s="265"/>
      <c r="AR162" s="265"/>
      <c r="AS162" s="265"/>
      <c r="AT162" s="265"/>
      <c r="AU162" s="265"/>
      <c r="AV162" s="265"/>
      <c r="AW162" s="265"/>
      <c r="AX162" s="265"/>
      <c r="AY162" s="31"/>
      <c r="AZ162" s="31"/>
      <c r="BA162" s="234"/>
      <c r="BB162" s="47">
        <f t="shared" si="239"/>
        <v>0</v>
      </c>
      <c r="BC162" s="47">
        <f t="shared" si="239"/>
        <v>0</v>
      </c>
      <c r="BD162" s="47">
        <f t="shared" si="239"/>
        <v>0</v>
      </c>
      <c r="BE162" s="47">
        <f t="shared" si="236"/>
        <v>0</v>
      </c>
      <c r="BF162" s="234"/>
      <c r="BG162" s="234"/>
      <c r="BH162" s="234"/>
      <c r="BI162" s="234"/>
      <c r="BJ162" s="234"/>
      <c r="BK162" s="234"/>
      <c r="BL162" s="234"/>
      <c r="BM162" s="234"/>
      <c r="BN162" s="234"/>
      <c r="BO162" s="234"/>
      <c r="BP162" s="234"/>
      <c r="BQ162" s="234"/>
      <c r="BR162" s="234"/>
      <c r="BS162" s="234"/>
      <c r="BT162" s="234"/>
      <c r="BU162" s="39"/>
      <c r="BV162" s="39"/>
      <c r="BW162" s="39"/>
      <c r="BX162" s="234"/>
      <c r="BY162" s="234"/>
      <c r="BZ162" s="234"/>
      <c r="CA162" s="234"/>
      <c r="CB162" s="234"/>
      <c r="CC162" s="234"/>
      <c r="CD162" s="234"/>
      <c r="CE162" s="234"/>
      <c r="CF162" s="234"/>
      <c r="CG162" s="234"/>
      <c r="CH162" s="234"/>
      <c r="CI162" s="234"/>
      <c r="CJ162" s="234"/>
      <c r="CK162" s="234"/>
      <c r="CL162" s="234"/>
      <c r="CM162" s="234"/>
      <c r="CN162" s="234"/>
      <c r="CO162" s="234"/>
      <c r="CP162" s="234"/>
      <c r="CQ162" s="234"/>
      <c r="CR162" s="234"/>
      <c r="CS162" s="31"/>
      <c r="CT162" s="234"/>
      <c r="CU162" s="234"/>
      <c r="CV162" s="234"/>
      <c r="CW162" s="234"/>
      <c r="CX162" s="234"/>
      <c r="CY162" s="234"/>
      <c r="CZ162" s="234"/>
      <c r="DA162" s="234"/>
      <c r="DB162" s="234"/>
      <c r="DC162" s="234"/>
      <c r="DD162" s="234"/>
      <c r="DE162" s="234"/>
      <c r="DF162" s="234"/>
      <c r="DG162" s="234"/>
      <c r="DH162" s="234"/>
      <c r="DI162" s="234"/>
      <c r="DJ162" s="234"/>
      <c r="DK162" s="234"/>
      <c r="DL162" s="234"/>
      <c r="DM162" s="234"/>
      <c r="DN162" s="234"/>
      <c r="DO162" s="234"/>
      <c r="DP162" s="234"/>
      <c r="DQ162" s="234"/>
      <c r="DR162" s="234"/>
      <c r="DS162" s="234"/>
      <c r="DT162" s="234"/>
    </row>
    <row r="163" spans="1:124" s="231" customFormat="1" ht="16.5" customHeight="1" thickBot="1" x14ac:dyDescent="0.3">
      <c r="A163" s="232"/>
      <c r="B163" s="250"/>
      <c r="C163" s="250"/>
      <c r="D163" s="250"/>
      <c r="E163" s="232"/>
      <c r="F163" s="387">
        <f t="shared" ca="1" si="244"/>
        <v>2017</v>
      </c>
      <c r="G163" s="387" t="str">
        <f t="shared" ca="1" si="240"/>
        <v>maj</v>
      </c>
      <c r="H163" s="70"/>
      <c r="I163" s="109">
        <f t="shared" si="241"/>
        <v>0</v>
      </c>
      <c r="J163" s="388"/>
      <c r="K163" s="23"/>
      <c r="L163" s="445">
        <f t="shared" si="242"/>
        <v>0</v>
      </c>
      <c r="M163" s="388"/>
      <c r="N163" s="23"/>
      <c r="O163" s="445">
        <f t="shared" si="243"/>
        <v>0</v>
      </c>
      <c r="P163" s="388"/>
      <c r="Q163" s="73"/>
      <c r="R163" s="73"/>
      <c r="S163" s="73"/>
      <c r="T163" s="73"/>
      <c r="U163" s="73"/>
      <c r="V163" s="73"/>
      <c r="W163" s="232"/>
      <c r="X163" s="233"/>
      <c r="Y163" s="252">
        <f>IF('Indata byggnad och BBR krav'!$C$18=0,0,(IF(AND(J$155=$Y$150, $J$154=$Y$151),I170,0)+IF(AND($M$155=$Y$150, $M$154=$Y$151),L170,0)+IF(AND($P$155=$Y$150, $P$154=$Y$151),O170,0)))</f>
        <v>0</v>
      </c>
      <c r="Z163" s="261">
        <f>IF('Indata byggnad och BBR krav'!$C$18=0,0,(IF(AND(J$155=$Y$150, $J$154=$Z$151),I170,0)+IF(AND($M$155=$Y$150, $M$154=$Z$151),L170,0)+IF(AND($P$155=$Y$150, $P$154=$Z$151),O170,0)))</f>
        <v>0</v>
      </c>
      <c r="AA163" s="261">
        <f>IF('Indata byggnad och BBR krav'!$C$18=0,0,(IF(AND(J$155=$Y$150, $J$154=$AA$151),I170,0)+IF(AND($M$155=$Y$150, $M$154=$AA$151),L170,0)+IF(AND($P$155=$Y$150, $P$154=$AA$151),O170,0)))</f>
        <v>0</v>
      </c>
      <c r="AB163" s="364">
        <f t="shared" si="237"/>
        <v>0</v>
      </c>
      <c r="AC163" s="233"/>
      <c r="AD163" s="254">
        <f t="shared" si="231"/>
        <v>0</v>
      </c>
      <c r="AE163" s="254">
        <f t="shared" si="232"/>
        <v>0</v>
      </c>
      <c r="AF163" s="254">
        <f t="shared" si="233"/>
        <v>0</v>
      </c>
      <c r="AG163" s="364">
        <f t="shared" si="234"/>
        <v>0</v>
      </c>
      <c r="AH163" s="265"/>
      <c r="AI163" s="233"/>
      <c r="AJ163" s="254">
        <f>IF('Indata byggnad och BBR krav'!$C$17=0,0,IF(AND($AJ$151="El",$D$107="Ingår i mätdata hushållsel"),AD163-AO116,AD163))</f>
        <v>0</v>
      </c>
      <c r="AK163" s="254">
        <f>IF('Indata byggnad och BBR krav'!$C$17=0,0,IF(AND($AK$151="El",$D$107="Ingår i mätdata hushållsel"),AE163-AO116,AE163))</f>
        <v>0</v>
      </c>
      <c r="AL163" s="254">
        <f>IF('Indata byggnad och BBR krav'!$C$17=0,0,IF(AND(AL162="El",$D$107="Ingår i mätdata hushållsel"),AF163-AO116,AF163))</f>
        <v>0</v>
      </c>
      <c r="AM163" s="364">
        <f t="shared" si="235"/>
        <v>0</v>
      </c>
      <c r="AN163" s="366" t="str">
        <f t="shared" si="238"/>
        <v/>
      </c>
      <c r="AO163" s="265"/>
      <c r="AP163" s="265"/>
      <c r="AQ163" s="265"/>
      <c r="AR163" s="265"/>
      <c r="AS163" s="265"/>
      <c r="AT163" s="265"/>
      <c r="AU163" s="265"/>
      <c r="AV163" s="265"/>
      <c r="AW163" s="265"/>
      <c r="AX163" s="265"/>
      <c r="AY163" s="31"/>
      <c r="AZ163" s="31"/>
      <c r="BA163" s="234"/>
      <c r="BB163" s="83">
        <f t="shared" si="239"/>
        <v>0</v>
      </c>
      <c r="BC163" s="83">
        <f t="shared" si="239"/>
        <v>0</v>
      </c>
      <c r="BD163" s="83">
        <f t="shared" si="239"/>
        <v>0</v>
      </c>
      <c r="BE163" s="83">
        <f t="shared" si="236"/>
        <v>0</v>
      </c>
      <c r="BF163" s="234"/>
      <c r="BG163" s="234"/>
      <c r="BH163" s="234"/>
      <c r="BI163" s="234"/>
      <c r="BJ163" s="234"/>
      <c r="BK163" s="234"/>
      <c r="BL163" s="234"/>
      <c r="BM163" s="234"/>
      <c r="BN163" s="234"/>
      <c r="BO163" s="234"/>
      <c r="BP163" s="234"/>
      <c r="BQ163" s="234"/>
      <c r="BR163" s="234"/>
      <c r="BS163" s="234"/>
      <c r="BT163" s="234"/>
      <c r="BU163" s="234"/>
      <c r="BV163" s="121"/>
      <c r="BW163" s="234"/>
      <c r="BX163" s="234"/>
      <c r="BY163" s="234"/>
      <c r="BZ163" s="234"/>
      <c r="CA163" s="234"/>
      <c r="CB163" s="234"/>
      <c r="CC163" s="234"/>
      <c r="CD163" s="234"/>
      <c r="CE163" s="234"/>
      <c r="CF163" s="234"/>
      <c r="CG163" s="234"/>
      <c r="CH163" s="234"/>
      <c r="CI163" s="234"/>
      <c r="CJ163" s="234"/>
      <c r="CK163" s="234"/>
      <c r="CL163" s="234"/>
      <c r="CM163" s="234"/>
      <c r="CN163" s="234"/>
      <c r="CO163" s="234"/>
      <c r="CP163" s="234"/>
      <c r="CQ163" s="234"/>
      <c r="CR163" s="234"/>
      <c r="CS163" s="31"/>
      <c r="CT163" s="234"/>
      <c r="CU163" s="234"/>
      <c r="CV163" s="234"/>
      <c r="CW163" s="234"/>
      <c r="CX163" s="234"/>
      <c r="CY163" s="234"/>
      <c r="CZ163" s="234"/>
      <c r="DA163" s="234"/>
      <c r="DB163" s="234"/>
      <c r="DC163" s="234"/>
      <c r="DD163" s="234"/>
      <c r="DE163" s="234"/>
      <c r="DF163" s="234"/>
      <c r="DG163" s="234"/>
      <c r="DH163" s="234"/>
      <c r="DI163" s="234"/>
      <c r="DJ163" s="234"/>
      <c r="DK163" s="234"/>
      <c r="DL163" s="234"/>
      <c r="DM163" s="234"/>
      <c r="DN163" s="234"/>
      <c r="DO163" s="234"/>
      <c r="DP163" s="234"/>
      <c r="DQ163" s="234"/>
      <c r="DR163" s="234"/>
      <c r="DS163" s="234"/>
      <c r="DT163" s="234"/>
    </row>
    <row r="164" spans="1:124" s="231" customFormat="1" ht="16.5" customHeight="1" thickTop="1" thickBot="1" x14ac:dyDescent="0.3">
      <c r="A164" s="232"/>
      <c r="B164" s="250"/>
      <c r="C164" s="250"/>
      <c r="D164" s="250"/>
      <c r="E164" s="232"/>
      <c r="F164" s="387">
        <f t="shared" ca="1" si="244"/>
        <v>2017</v>
      </c>
      <c r="G164" s="387" t="str">
        <f t="shared" ca="1" si="240"/>
        <v xml:space="preserve">jun </v>
      </c>
      <c r="H164" s="70"/>
      <c r="I164" s="109">
        <f t="shared" si="241"/>
        <v>0</v>
      </c>
      <c r="J164" s="388"/>
      <c r="K164" s="23"/>
      <c r="L164" s="445">
        <f t="shared" si="242"/>
        <v>0</v>
      </c>
      <c r="M164" s="388"/>
      <c r="N164" s="23"/>
      <c r="O164" s="445">
        <f t="shared" si="243"/>
        <v>0</v>
      </c>
      <c r="P164" s="388"/>
      <c r="Q164" s="73"/>
      <c r="R164" s="73"/>
      <c r="S164" s="73"/>
      <c r="T164" s="73"/>
      <c r="U164" s="73"/>
      <c r="V164" s="73"/>
      <c r="W164" s="232"/>
      <c r="X164" s="236" t="s">
        <v>1098</v>
      </c>
      <c r="Y164" s="256">
        <f>SUM(Y152:Y163)</f>
        <v>0</v>
      </c>
      <c r="Z164" s="116">
        <f>SUM(Z152:Z163)</f>
        <v>0</v>
      </c>
      <c r="AA164" s="118">
        <f>SUM(AA152:AA163)</f>
        <v>0</v>
      </c>
      <c r="AB164" s="260">
        <f>SUM(AB152:AB163)</f>
        <v>0</v>
      </c>
      <c r="AC164" s="233"/>
      <c r="AD164" s="256">
        <f>SUM(AD152:AD163)</f>
        <v>0</v>
      </c>
      <c r="AE164" s="256">
        <f>SUM(AE152:AE163)</f>
        <v>0</v>
      </c>
      <c r="AF164" s="118">
        <f>SUM(AF152:AF163)</f>
        <v>0</v>
      </c>
      <c r="AG164" s="105">
        <f>SUM(AG152:AG163)</f>
        <v>0</v>
      </c>
      <c r="AH164" s="265"/>
      <c r="AI164" s="233"/>
      <c r="AJ164" s="256">
        <f>SUM(AJ152:AJ163)</f>
        <v>0</v>
      </c>
      <c r="AK164" s="256">
        <f>SUM(AK152:AK163)</f>
        <v>0</v>
      </c>
      <c r="AL164" s="118">
        <f>SUM(AL152:AL163)</f>
        <v>0</v>
      </c>
      <c r="AM164" s="105">
        <f>SUM(AM152:AM163)</f>
        <v>0</v>
      </c>
      <c r="AN164" s="265"/>
      <c r="AO164" s="265"/>
      <c r="AP164" s="265"/>
      <c r="AQ164" s="265"/>
      <c r="AR164" s="265"/>
      <c r="AS164" s="265"/>
      <c r="AT164" s="265"/>
      <c r="AU164" s="265"/>
      <c r="AV164" s="265"/>
      <c r="AW164" s="265"/>
      <c r="AX164" s="265"/>
      <c r="AY164" s="31"/>
      <c r="AZ164" s="31"/>
      <c r="BA164" s="41" t="s">
        <v>1098</v>
      </c>
      <c r="BB164" s="85">
        <f>SUM(BB152:BB163)</f>
        <v>0</v>
      </c>
      <c r="BC164" s="113">
        <f>SUM(BC152:BC163)</f>
        <v>0</v>
      </c>
      <c r="BD164" s="113">
        <f>SUM(BD152:BD163)</f>
        <v>0</v>
      </c>
      <c r="BE164" s="85">
        <f>SUM(BE152:BE163)</f>
        <v>0</v>
      </c>
      <c r="BF164" s="234"/>
      <c r="BG164" s="234"/>
      <c r="BH164" s="234"/>
      <c r="BI164" s="234"/>
      <c r="BJ164" s="234"/>
      <c r="BK164" s="234"/>
      <c r="BL164" s="234"/>
      <c r="BM164" s="234"/>
      <c r="BN164" s="234"/>
      <c r="BO164" s="234"/>
      <c r="BP164" s="234"/>
      <c r="BQ164" s="234"/>
      <c r="BR164" s="234"/>
      <c r="BS164" s="234"/>
      <c r="BT164" s="234"/>
      <c r="BU164" s="234"/>
      <c r="BV164" s="234"/>
      <c r="BW164" s="234"/>
      <c r="BX164" s="234"/>
      <c r="BY164" s="234"/>
      <c r="BZ164" s="234"/>
      <c r="CA164" s="234"/>
      <c r="CB164" s="234"/>
      <c r="CC164" s="234"/>
      <c r="CD164" s="234"/>
      <c r="CE164" s="234"/>
      <c r="CF164" s="234"/>
      <c r="CG164" s="234"/>
      <c r="CH164" s="234"/>
      <c r="CI164" s="234"/>
      <c r="CJ164" s="234"/>
      <c r="CK164" s="234"/>
      <c r="CL164" s="234"/>
      <c r="CM164" s="234"/>
      <c r="CN164" s="234"/>
      <c r="CO164" s="234"/>
      <c r="CP164" s="234"/>
      <c r="CQ164" s="234"/>
      <c r="CR164" s="234"/>
      <c r="CS164" s="31"/>
      <c r="CT164" s="234"/>
      <c r="CU164" s="234"/>
      <c r="CV164" s="234"/>
      <c r="CW164" s="234"/>
      <c r="CX164" s="234"/>
      <c r="CY164" s="234"/>
      <c r="CZ164" s="234"/>
      <c r="DA164" s="234"/>
      <c r="DB164" s="234"/>
      <c r="DC164" s="234"/>
      <c r="DD164" s="234"/>
      <c r="DE164" s="234"/>
      <c r="DF164" s="234"/>
      <c r="DG164" s="234"/>
      <c r="DH164" s="234"/>
      <c r="DI164" s="234"/>
      <c r="DJ164" s="234"/>
      <c r="DK164" s="234"/>
      <c r="DL164" s="234"/>
      <c r="DM164" s="234"/>
      <c r="DN164" s="234"/>
      <c r="DO164" s="234"/>
      <c r="DP164" s="234"/>
      <c r="DQ164" s="234"/>
      <c r="DR164" s="234"/>
      <c r="DS164" s="234"/>
      <c r="DT164" s="234"/>
    </row>
    <row r="165" spans="1:124" s="231" customFormat="1" ht="16.5" customHeight="1" thickBot="1" x14ac:dyDescent="0.3">
      <c r="A165" s="232"/>
      <c r="B165" s="250"/>
      <c r="C165" s="250"/>
      <c r="D165" s="250"/>
      <c r="E165" s="232"/>
      <c r="F165" s="387">
        <f t="shared" ca="1" si="244"/>
        <v>2017</v>
      </c>
      <c r="G165" s="387" t="str">
        <f t="shared" ca="1" si="240"/>
        <v>jul</v>
      </c>
      <c r="H165" s="70"/>
      <c r="I165" s="109">
        <f t="shared" si="241"/>
        <v>0</v>
      </c>
      <c r="J165" s="388"/>
      <c r="K165" s="23"/>
      <c r="L165" s="445">
        <f t="shared" si="242"/>
        <v>0</v>
      </c>
      <c r="M165" s="388"/>
      <c r="N165" s="23"/>
      <c r="O165" s="445">
        <f t="shared" si="243"/>
        <v>0</v>
      </c>
      <c r="P165" s="388"/>
      <c r="Q165" s="73"/>
      <c r="R165" s="73"/>
      <c r="S165" s="73"/>
      <c r="T165" s="73"/>
      <c r="U165" s="73"/>
      <c r="V165" s="73"/>
      <c r="W165" s="232"/>
      <c r="X165" s="233"/>
      <c r="Y165" s="276"/>
      <c r="Z165" s="233"/>
      <c r="AA165" s="236" t="s">
        <v>1374</v>
      </c>
      <c r="AB165" s="306">
        <f>IF('Indata byggnad och BBR krav'!$C$18&gt;0,AB164*1000/('Indata byggnad och BBR krav'!$C$16*'Indata byggnad och BBR krav'!$C$18/100),0)</f>
        <v>0</v>
      </c>
      <c r="AC165" s="284" t="s">
        <v>1375</v>
      </c>
      <c r="AD165" s="266"/>
      <c r="AE165" s="266"/>
      <c r="AF165" s="266"/>
      <c r="AG165" s="265"/>
      <c r="AH165" s="265"/>
      <c r="AI165" s="265"/>
      <c r="AJ165" s="265"/>
      <c r="AK165" s="265"/>
      <c r="AL165" s="265"/>
      <c r="AM165" s="265"/>
      <c r="AN165" s="265"/>
      <c r="AO165" s="265"/>
      <c r="AP165" s="265"/>
      <c r="AQ165" s="265"/>
      <c r="AR165" s="265"/>
      <c r="AS165" s="265"/>
      <c r="AT165" s="265"/>
      <c r="AU165" s="265"/>
      <c r="AV165" s="265"/>
      <c r="AW165" s="265"/>
      <c r="AX165" s="265"/>
      <c r="AY165" s="31"/>
      <c r="AZ165" s="31"/>
      <c r="BA165" s="49"/>
      <c r="BB165" s="49"/>
      <c r="BC165" s="49"/>
      <c r="BD165" s="49"/>
      <c r="BE165" s="49"/>
      <c r="BF165" s="234"/>
      <c r="BG165" s="234"/>
      <c r="BH165" s="234"/>
      <c r="BI165" s="234"/>
      <c r="BJ165" s="234"/>
      <c r="BK165" s="234"/>
      <c r="BL165" s="234"/>
      <c r="BM165" s="234"/>
      <c r="BN165" s="234"/>
      <c r="BO165" s="234"/>
      <c r="BP165" s="234"/>
      <c r="BQ165" s="234"/>
      <c r="BR165" s="234"/>
      <c r="BS165" s="234"/>
      <c r="BT165" s="234"/>
      <c r="BU165" s="234"/>
      <c r="BV165" s="234"/>
      <c r="BW165" s="234"/>
      <c r="BX165" s="234"/>
      <c r="BY165" s="234"/>
      <c r="BZ165" s="234"/>
      <c r="CA165" s="234"/>
      <c r="CB165" s="234"/>
      <c r="CC165" s="234"/>
      <c r="CD165" s="234"/>
      <c r="CE165" s="234"/>
      <c r="CF165" s="234"/>
      <c r="CG165" s="234"/>
      <c r="CH165" s="234"/>
      <c r="CI165" s="234"/>
      <c r="CJ165" s="234"/>
      <c r="CK165" s="234"/>
      <c r="CL165" s="234"/>
      <c r="CM165" s="234"/>
      <c r="CN165" s="234"/>
      <c r="CO165" s="234"/>
      <c r="CP165" s="234"/>
      <c r="CQ165" s="234"/>
      <c r="CR165" s="234"/>
      <c r="CS165" s="31"/>
      <c r="CT165" s="234"/>
      <c r="CU165" s="234"/>
      <c r="CV165" s="234"/>
      <c r="CW165" s="234"/>
      <c r="CX165" s="234"/>
      <c r="CY165" s="234"/>
      <c r="CZ165" s="234"/>
      <c r="DA165" s="234"/>
      <c r="DB165" s="234"/>
      <c r="DC165" s="234"/>
      <c r="DD165" s="234"/>
      <c r="DE165" s="234"/>
      <c r="DF165" s="234"/>
      <c r="DG165" s="234"/>
      <c r="DH165" s="234"/>
      <c r="DI165" s="234"/>
      <c r="DJ165" s="234"/>
      <c r="DK165" s="234"/>
      <c r="DL165" s="234"/>
      <c r="DM165" s="234"/>
      <c r="DN165" s="234"/>
      <c r="DO165" s="234"/>
      <c r="DP165" s="234"/>
      <c r="DQ165" s="234"/>
      <c r="DR165" s="234"/>
      <c r="DS165" s="234"/>
      <c r="DT165" s="234"/>
    </row>
    <row r="166" spans="1:124" s="231" customFormat="1" ht="16.5" customHeight="1" thickBot="1" x14ac:dyDescent="0.3">
      <c r="A166" s="232"/>
      <c r="B166" s="250"/>
      <c r="C166" s="250"/>
      <c r="D166" s="250"/>
      <c r="E166" s="232"/>
      <c r="F166" s="387">
        <f t="shared" ca="1" si="244"/>
        <v>2017</v>
      </c>
      <c r="G166" s="387" t="str">
        <f t="shared" ca="1" si="240"/>
        <v>aug</v>
      </c>
      <c r="H166" s="70"/>
      <c r="I166" s="109">
        <f t="shared" si="241"/>
        <v>0</v>
      </c>
      <c r="J166" s="388"/>
      <c r="K166" s="23"/>
      <c r="L166" s="445">
        <f t="shared" si="242"/>
        <v>0</v>
      </c>
      <c r="M166" s="388"/>
      <c r="N166" s="23"/>
      <c r="O166" s="445">
        <f t="shared" si="243"/>
        <v>0</v>
      </c>
      <c r="P166" s="388"/>
      <c r="Q166" s="73"/>
      <c r="R166" s="73"/>
      <c r="S166" s="73"/>
      <c r="T166" s="73"/>
      <c r="U166" s="73"/>
      <c r="V166" s="73"/>
      <c r="W166" s="232"/>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31"/>
      <c r="AZ166" s="31"/>
      <c r="BA166" s="234"/>
      <c r="BB166" s="234"/>
      <c r="BC166" s="41" t="s">
        <v>1163</v>
      </c>
      <c r="BD166" s="260">
        <f>IF('Indata byggnad och BBR krav'!$C$17&gt;0,BE164*1000/('Indata byggnad och BBR krav'!$C$16*'Indata byggnad och BBR krav'!$C$17/100),0)</f>
        <v>0</v>
      </c>
      <c r="BE166" s="59" t="s">
        <v>1302</v>
      </c>
      <c r="BF166" s="234"/>
      <c r="BG166" s="234"/>
      <c r="BH166" s="234"/>
      <c r="BI166" s="234"/>
      <c r="BJ166" s="234"/>
      <c r="BK166" s="234"/>
      <c r="BL166" s="234"/>
      <c r="BM166" s="234"/>
      <c r="BN166" s="234"/>
      <c r="BO166" s="234"/>
      <c r="BP166" s="234"/>
      <c r="BQ166" s="234"/>
      <c r="BR166" s="234"/>
      <c r="BS166" s="234"/>
      <c r="BT166" s="234"/>
      <c r="BU166" s="234"/>
      <c r="BV166" s="234"/>
      <c r="BW166" s="234"/>
      <c r="BX166" s="234"/>
      <c r="BY166" s="234"/>
      <c r="BZ166" s="234"/>
      <c r="CA166" s="234"/>
      <c r="CB166" s="234"/>
      <c r="CC166" s="234"/>
      <c r="CD166" s="234"/>
      <c r="CE166" s="234"/>
      <c r="CF166" s="234"/>
      <c r="CG166" s="234"/>
      <c r="CH166" s="234"/>
      <c r="CI166" s="234"/>
      <c r="CJ166" s="234"/>
      <c r="CK166" s="234"/>
      <c r="CL166" s="234"/>
      <c r="CM166" s="234"/>
      <c r="CN166" s="234"/>
      <c r="CO166" s="234"/>
      <c r="CP166" s="234"/>
      <c r="CQ166" s="234"/>
      <c r="CR166" s="234"/>
      <c r="CS166" s="31"/>
      <c r="CT166" s="234"/>
      <c r="CU166" s="234"/>
      <c r="CV166" s="234"/>
      <c r="CW166" s="234"/>
      <c r="CX166" s="234"/>
      <c r="CY166" s="234"/>
      <c r="CZ166" s="234"/>
      <c r="DA166" s="234"/>
      <c r="DB166" s="234"/>
      <c r="DC166" s="234"/>
      <c r="DD166" s="234"/>
      <c r="DE166" s="234"/>
      <c r="DF166" s="234"/>
      <c r="DG166" s="234"/>
      <c r="DH166" s="234"/>
      <c r="DI166" s="234"/>
      <c r="DJ166" s="234"/>
      <c r="DK166" s="234"/>
      <c r="DL166" s="234"/>
      <c r="DM166" s="234"/>
      <c r="DN166" s="234"/>
      <c r="DO166" s="234"/>
      <c r="DP166" s="234"/>
      <c r="DQ166" s="234"/>
      <c r="DR166" s="234"/>
      <c r="DS166" s="234"/>
      <c r="DT166" s="234"/>
    </row>
    <row r="167" spans="1:124" s="231" customFormat="1" ht="16.5" customHeight="1" x14ac:dyDescent="0.25">
      <c r="A167" s="232"/>
      <c r="B167" s="250"/>
      <c r="C167" s="250"/>
      <c r="D167" s="250"/>
      <c r="E167" s="232"/>
      <c r="F167" s="387">
        <f t="shared" ca="1" si="244"/>
        <v>2017</v>
      </c>
      <c r="G167" s="387" t="str">
        <f t="shared" ca="1" si="240"/>
        <v>sept</v>
      </c>
      <c r="H167" s="70"/>
      <c r="I167" s="109">
        <f t="shared" si="241"/>
        <v>0</v>
      </c>
      <c r="J167" s="388"/>
      <c r="K167" s="23"/>
      <c r="L167" s="445">
        <f t="shared" si="242"/>
        <v>0</v>
      </c>
      <c r="M167" s="388"/>
      <c r="N167" s="23"/>
      <c r="O167" s="445">
        <f t="shared" si="243"/>
        <v>0</v>
      </c>
      <c r="P167" s="388"/>
      <c r="Q167" s="73"/>
      <c r="R167" s="73"/>
      <c r="S167" s="73"/>
      <c r="T167" s="73"/>
      <c r="U167" s="73"/>
      <c r="V167" s="73"/>
      <c r="W167" s="232"/>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31"/>
      <c r="AZ167" s="31"/>
      <c r="BA167" s="234"/>
      <c r="BB167" s="234"/>
      <c r="BC167" s="122" t="s">
        <v>1164</v>
      </c>
      <c r="BD167" s="85">
        <v>30</v>
      </c>
      <c r="BE167" s="49"/>
      <c r="BF167" s="234"/>
      <c r="BG167" s="234"/>
      <c r="BH167" s="234"/>
      <c r="BI167" s="234"/>
      <c r="BJ167" s="234"/>
      <c r="BK167" s="234"/>
      <c r="BL167" s="234"/>
      <c r="BM167" s="234"/>
      <c r="BN167" s="234"/>
      <c r="BO167" s="234"/>
      <c r="BP167" s="234"/>
      <c r="BQ167" s="234"/>
      <c r="BR167" s="234"/>
      <c r="BS167" s="234"/>
      <c r="BT167" s="234"/>
      <c r="BU167" s="234"/>
      <c r="BV167" s="234"/>
      <c r="BW167" s="234"/>
      <c r="BX167" s="234"/>
      <c r="BY167" s="234"/>
      <c r="BZ167" s="234"/>
      <c r="CA167" s="234"/>
      <c r="CB167" s="234"/>
      <c r="CC167" s="234"/>
      <c r="CD167" s="234"/>
      <c r="CE167" s="234"/>
      <c r="CF167" s="234"/>
      <c r="CG167" s="234"/>
      <c r="CH167" s="234"/>
      <c r="CI167" s="234"/>
      <c r="CJ167" s="234"/>
      <c r="CK167" s="234"/>
      <c r="CL167" s="234"/>
      <c r="CM167" s="234"/>
      <c r="CN167" s="234"/>
      <c r="CO167" s="234"/>
      <c r="CP167" s="234"/>
      <c r="CQ167" s="234"/>
      <c r="CR167" s="234"/>
      <c r="CS167" s="31"/>
      <c r="CT167" s="234"/>
      <c r="CU167" s="234"/>
      <c r="CV167" s="234"/>
      <c r="CW167" s="234"/>
      <c r="CX167" s="234"/>
      <c r="CY167" s="234"/>
      <c r="CZ167" s="234"/>
      <c r="DA167" s="234"/>
      <c r="DB167" s="234"/>
      <c r="DC167" s="234"/>
      <c r="DD167" s="234"/>
      <c r="DE167" s="234"/>
      <c r="DF167" s="234"/>
      <c r="DG167" s="234"/>
      <c r="DH167" s="234"/>
      <c r="DI167" s="234"/>
      <c r="DJ167" s="234"/>
      <c r="DK167" s="234"/>
      <c r="DL167" s="234"/>
      <c r="DM167" s="234"/>
      <c r="DN167" s="234"/>
      <c r="DO167" s="234"/>
      <c r="DP167" s="234"/>
      <c r="DQ167" s="234"/>
      <c r="DR167" s="234"/>
      <c r="DS167" s="234"/>
      <c r="DT167" s="234"/>
    </row>
    <row r="168" spans="1:124" s="231" customFormat="1" ht="16.5" customHeight="1" x14ac:dyDescent="0.25">
      <c r="A168" s="232"/>
      <c r="B168" s="250"/>
      <c r="C168" s="250"/>
      <c r="D168" s="250"/>
      <c r="E168" s="232"/>
      <c r="F168" s="387">
        <f t="shared" ca="1" si="244"/>
        <v>2017</v>
      </c>
      <c r="G168" s="387" t="str">
        <f t="shared" ca="1" si="240"/>
        <v>okt</v>
      </c>
      <c r="H168" s="70"/>
      <c r="I168" s="109">
        <f t="shared" si="241"/>
        <v>0</v>
      </c>
      <c r="J168" s="388"/>
      <c r="K168" s="23"/>
      <c r="L168" s="445">
        <f t="shared" si="242"/>
        <v>0</v>
      </c>
      <c r="M168" s="388"/>
      <c r="N168" s="23"/>
      <c r="O168" s="445">
        <f t="shared" si="243"/>
        <v>0</v>
      </c>
      <c r="P168" s="388"/>
      <c r="Q168" s="73"/>
      <c r="R168" s="73"/>
      <c r="S168" s="73"/>
      <c r="T168" s="73"/>
      <c r="U168" s="73"/>
      <c r="V168" s="73"/>
      <c r="W168" s="232"/>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31"/>
      <c r="AZ168" s="31"/>
      <c r="BA168" s="234"/>
      <c r="BB168" s="234"/>
      <c r="BC168" s="122" t="s">
        <v>1166</v>
      </c>
      <c r="BD168" s="47">
        <f>IF(BD166&gt;0,BD166-BD167,0)</f>
        <v>0</v>
      </c>
      <c r="BE168" s="49"/>
      <c r="BF168" s="234"/>
      <c r="BG168" s="234"/>
      <c r="BH168" s="234"/>
      <c r="BI168" s="234"/>
      <c r="BJ168" s="234"/>
      <c r="BK168" s="234"/>
      <c r="BL168" s="234"/>
      <c r="BM168" s="234"/>
      <c r="BN168" s="234"/>
      <c r="BO168" s="234"/>
      <c r="BP168" s="234"/>
      <c r="BQ168" s="234"/>
      <c r="BR168" s="234"/>
      <c r="BS168" s="234"/>
      <c r="BT168" s="234"/>
      <c r="BU168" s="31"/>
      <c r="BV168" s="31"/>
      <c r="BW168" s="31"/>
      <c r="BX168" s="31"/>
      <c r="BY168" s="234"/>
      <c r="BZ168" s="234"/>
      <c r="CA168" s="234"/>
      <c r="CB168" s="234"/>
      <c r="CC168" s="234"/>
      <c r="CD168" s="234"/>
      <c r="CE168" s="234"/>
      <c r="CF168" s="234"/>
      <c r="CG168" s="234"/>
      <c r="CH168" s="234"/>
      <c r="CI168" s="31"/>
      <c r="CJ168" s="31"/>
      <c r="CK168" s="31"/>
      <c r="CL168" s="31"/>
      <c r="CM168" s="31"/>
      <c r="CN168" s="31"/>
      <c r="CO168" s="31"/>
      <c r="CP168" s="31"/>
      <c r="CQ168" s="31"/>
      <c r="CR168" s="31"/>
      <c r="CS168" s="31"/>
      <c r="CT168" s="31"/>
      <c r="CU168" s="31"/>
      <c r="CV168" s="31"/>
      <c r="CW168" s="31"/>
      <c r="CX168" s="31"/>
      <c r="CY168" s="234"/>
      <c r="CZ168" s="234"/>
      <c r="DA168" s="234"/>
      <c r="DB168" s="234"/>
      <c r="DC168" s="234"/>
      <c r="DD168" s="234"/>
      <c r="DE168" s="234"/>
      <c r="DF168" s="234"/>
      <c r="DG168" s="234"/>
      <c r="DH168" s="234"/>
      <c r="DI168" s="234"/>
      <c r="DJ168" s="234"/>
      <c r="DK168" s="234"/>
      <c r="DL168" s="234"/>
      <c r="DM168" s="234"/>
      <c r="DN168" s="234"/>
      <c r="DO168" s="234"/>
      <c r="DP168" s="234"/>
      <c r="DQ168" s="234"/>
      <c r="DR168" s="234"/>
      <c r="DS168" s="234"/>
      <c r="DT168" s="234"/>
    </row>
    <row r="169" spans="1:124" s="231" customFormat="1" ht="16.5" customHeight="1" x14ac:dyDescent="0.25">
      <c r="A169" s="232"/>
      <c r="B169" s="250"/>
      <c r="C169" s="250"/>
      <c r="D169" s="250"/>
      <c r="E169" s="232"/>
      <c r="F169" s="387">
        <f t="shared" ca="1" si="244"/>
        <v>2017</v>
      </c>
      <c r="G169" s="387" t="str">
        <f t="shared" ca="1" si="240"/>
        <v>nov</v>
      </c>
      <c r="H169" s="70"/>
      <c r="I169" s="109">
        <f t="shared" si="241"/>
        <v>0</v>
      </c>
      <c r="J169" s="388"/>
      <c r="K169" s="23"/>
      <c r="L169" s="445">
        <f t="shared" si="242"/>
        <v>0</v>
      </c>
      <c r="M169" s="388"/>
      <c r="N169" s="23"/>
      <c r="O169" s="445">
        <f t="shared" si="243"/>
        <v>0</v>
      </c>
      <c r="P169" s="388"/>
      <c r="Q169" s="73"/>
      <c r="R169" s="73"/>
      <c r="S169" s="73"/>
      <c r="T169" s="73"/>
      <c r="U169" s="73"/>
      <c r="V169" s="73"/>
      <c r="W169" s="232"/>
      <c r="X169" s="266"/>
      <c r="Y169" s="242"/>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31"/>
      <c r="AZ169" s="31"/>
      <c r="BA169" s="31"/>
      <c r="BB169" s="31"/>
      <c r="BC169" s="122" t="s">
        <v>1165</v>
      </c>
      <c r="BD169" s="52" t="str">
        <f>IF(ABS(BD168)&gt;3,"Ja","Nej")</f>
        <v>Nej</v>
      </c>
      <c r="BE169" s="31"/>
      <c r="BF169" s="31"/>
      <c r="BG169" s="234"/>
      <c r="BH169" s="234"/>
      <c r="BI169" s="234"/>
      <c r="BJ169" s="234"/>
      <c r="BK169" s="234"/>
      <c r="BL169" s="31"/>
      <c r="BM169" s="31"/>
      <c r="BN169" s="31"/>
      <c r="BO169" s="31"/>
      <c r="BP169" s="31"/>
      <c r="BQ169" s="31"/>
      <c r="BR169" s="31"/>
      <c r="BS169" s="31"/>
      <c r="BT169" s="31"/>
      <c r="BU169" s="31"/>
      <c r="BV169" s="31"/>
      <c r="BW169" s="31"/>
      <c r="BX169" s="31"/>
      <c r="BY169" s="234"/>
      <c r="BZ169" s="234"/>
      <c r="CA169" s="234"/>
      <c r="CB169" s="234"/>
      <c r="CC169" s="234"/>
      <c r="CD169" s="234"/>
      <c r="CE169" s="234"/>
      <c r="CF169" s="234"/>
      <c r="CG169" s="234"/>
      <c r="CH169" s="234"/>
      <c r="CI169" s="31"/>
      <c r="CJ169" s="31"/>
      <c r="CK169" s="31"/>
      <c r="CL169" s="31"/>
      <c r="CM169" s="31"/>
      <c r="CN169" s="31"/>
      <c r="CO169" s="31"/>
      <c r="CP169" s="31"/>
      <c r="CQ169" s="31"/>
      <c r="CR169" s="31"/>
      <c r="CS169" s="31"/>
      <c r="CT169" s="31"/>
      <c r="CU169" s="31"/>
      <c r="CV169" s="31"/>
      <c r="CW169" s="31"/>
      <c r="CX169" s="31"/>
      <c r="CY169" s="234"/>
      <c r="CZ169" s="234"/>
      <c r="DA169" s="234"/>
      <c r="DB169" s="234"/>
      <c r="DC169" s="234"/>
      <c r="DD169" s="234"/>
      <c r="DE169" s="234"/>
      <c r="DF169" s="234"/>
      <c r="DG169" s="234"/>
      <c r="DH169" s="234"/>
      <c r="DI169" s="234"/>
      <c r="DJ169" s="234"/>
      <c r="DK169" s="234"/>
      <c r="DL169" s="234"/>
      <c r="DM169" s="234"/>
      <c r="DN169" s="234"/>
      <c r="DO169" s="234"/>
      <c r="DP169" s="234"/>
      <c r="DQ169" s="234"/>
      <c r="DR169" s="234"/>
      <c r="DS169" s="234"/>
      <c r="DT169" s="234"/>
    </row>
    <row r="170" spans="1:124" s="231" customFormat="1" ht="16.5" customHeight="1" x14ac:dyDescent="0.25">
      <c r="A170" s="232"/>
      <c r="B170" s="250"/>
      <c r="C170" s="250"/>
      <c r="D170" s="250"/>
      <c r="E170" s="232"/>
      <c r="F170" s="387">
        <f t="shared" ca="1" si="244"/>
        <v>2017</v>
      </c>
      <c r="G170" s="387" t="str">
        <f t="shared" ca="1" si="240"/>
        <v>dec</v>
      </c>
      <c r="H170" s="70"/>
      <c r="I170" s="109">
        <f t="shared" si="241"/>
        <v>0</v>
      </c>
      <c r="J170" s="388"/>
      <c r="K170" s="23"/>
      <c r="L170" s="445">
        <f t="shared" si="242"/>
        <v>0</v>
      </c>
      <c r="M170" s="388"/>
      <c r="N170" s="23"/>
      <c r="O170" s="445">
        <f t="shared" si="243"/>
        <v>0</v>
      </c>
      <c r="P170" s="388"/>
      <c r="Q170" s="73"/>
      <c r="R170" s="73"/>
      <c r="S170" s="73"/>
      <c r="T170" s="73"/>
      <c r="U170" s="73"/>
      <c r="V170" s="73"/>
      <c r="W170" s="232"/>
      <c r="X170" s="266"/>
      <c r="Y170" s="242"/>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31"/>
      <c r="AZ170" s="31"/>
      <c r="BA170" s="31"/>
      <c r="BB170" s="31"/>
      <c r="BC170" s="122" t="s">
        <v>1167</v>
      </c>
      <c r="BD170" s="46">
        <f ca="1">$BK$31</f>
        <v>2880</v>
      </c>
      <c r="BE170" s="123"/>
      <c r="BF170" s="124"/>
      <c r="BG170" s="234"/>
      <c r="BH170" s="234"/>
      <c r="BI170" s="234"/>
      <c r="BJ170" s="234"/>
      <c r="BK170" s="234"/>
      <c r="BL170" s="31"/>
      <c r="BM170" s="31"/>
      <c r="BN170" s="31"/>
      <c r="BO170" s="31"/>
      <c r="BP170" s="31"/>
      <c r="BQ170" s="31"/>
      <c r="BR170" s="31"/>
      <c r="BS170" s="31"/>
      <c r="BT170" s="31"/>
      <c r="BU170" s="31"/>
      <c r="BV170" s="31"/>
      <c r="BW170" s="31"/>
      <c r="BX170" s="31"/>
      <c r="BY170" s="234"/>
      <c r="BZ170" s="234"/>
      <c r="CA170" s="234"/>
      <c r="CB170" s="234"/>
      <c r="CC170" s="234"/>
      <c r="CD170" s="234"/>
      <c r="CE170" s="234"/>
      <c r="CF170" s="234"/>
      <c r="CG170" s="234"/>
      <c r="CH170" s="234"/>
      <c r="CI170" s="31"/>
      <c r="CJ170" s="31"/>
      <c r="CK170" s="31"/>
      <c r="CL170" s="31"/>
      <c r="CM170" s="31"/>
      <c r="CN170" s="31"/>
      <c r="CO170" s="31"/>
      <c r="CP170" s="31"/>
      <c r="CQ170" s="31"/>
      <c r="CR170" s="31"/>
      <c r="CS170" s="31"/>
      <c r="CT170" s="31"/>
      <c r="CU170" s="31"/>
      <c r="CV170" s="31"/>
      <c r="CW170" s="31"/>
      <c r="CX170" s="31"/>
      <c r="CY170" s="234"/>
      <c r="CZ170" s="234"/>
      <c r="DA170" s="234"/>
      <c r="DB170" s="234"/>
      <c r="DC170" s="234"/>
      <c r="DD170" s="234"/>
      <c r="DE170" s="234"/>
      <c r="DF170" s="234"/>
      <c r="DG170" s="234"/>
      <c r="DH170" s="234"/>
      <c r="DI170" s="234"/>
      <c r="DJ170" s="234"/>
      <c r="DK170" s="234"/>
      <c r="DL170" s="234"/>
      <c r="DM170" s="234"/>
      <c r="DN170" s="234"/>
      <c r="DO170" s="234"/>
      <c r="DP170" s="234"/>
      <c r="DQ170" s="234"/>
      <c r="DR170" s="234"/>
      <c r="DS170" s="234"/>
      <c r="DT170" s="234"/>
    </row>
    <row r="171" spans="1:124" s="231" customFormat="1" ht="16.5" customHeight="1" x14ac:dyDescent="0.25">
      <c r="A171" s="232"/>
      <c r="B171" s="250"/>
      <c r="C171" s="232"/>
      <c r="D171" s="232"/>
      <c r="E171" s="251"/>
      <c r="I171" s="269">
        <f>SUM(I159:I170)</f>
        <v>0</v>
      </c>
      <c r="J171" s="269">
        <f>SUM(J159:J170)</f>
        <v>0</v>
      </c>
      <c r="K171" s="60"/>
      <c r="L171" s="269">
        <f>SUM(L159:L170)</f>
        <v>0</v>
      </c>
      <c r="M171" s="269">
        <f>SUM(M159:M170)</f>
        <v>0</v>
      </c>
      <c r="N171" s="60"/>
      <c r="O171" s="269">
        <f>SUM(O159:O170)</f>
        <v>0</v>
      </c>
      <c r="P171" s="269">
        <f>SUM(P159:P170)</f>
        <v>0</v>
      </c>
      <c r="Q171" s="250"/>
      <c r="R171" s="250"/>
      <c r="S171" s="250"/>
      <c r="T171" s="250"/>
      <c r="U171" s="250"/>
      <c r="V171" s="250"/>
      <c r="W171" s="232"/>
      <c r="X171" s="266"/>
      <c r="Y171" s="266"/>
      <c r="Z171" s="266"/>
      <c r="AA171" s="266"/>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31"/>
      <c r="AZ171" s="31"/>
      <c r="BA171" s="31"/>
      <c r="BB171" s="31"/>
      <c r="BC171" s="41" t="s">
        <v>1203</v>
      </c>
      <c r="BD171" s="46">
        <f>IF(BD169="Ja",BD168*0.7*'Indata byggnad och BBR krav'!$C$16*('Indata byggnad och BBR krav'!$C$17/100)*(BD170/8760),0)</f>
        <v>0</v>
      </c>
      <c r="BE171" s="31"/>
      <c r="BF171" s="124"/>
      <c r="BG171" s="234"/>
      <c r="BH171" s="234"/>
      <c r="BI171" s="234"/>
      <c r="BJ171" s="234"/>
      <c r="BK171" s="234"/>
      <c r="BL171" s="31"/>
      <c r="BM171" s="31"/>
      <c r="BN171" s="31"/>
      <c r="BO171" s="31"/>
      <c r="BP171" s="31"/>
      <c r="BQ171" s="31"/>
      <c r="BR171" s="31"/>
      <c r="BS171" s="31"/>
      <c r="BT171" s="31"/>
      <c r="BU171" s="31"/>
      <c r="BV171" s="31"/>
      <c r="BW171" s="31"/>
      <c r="BX171" s="31"/>
      <c r="BY171" s="234"/>
      <c r="BZ171" s="234"/>
      <c r="CA171" s="234"/>
      <c r="CB171" s="234"/>
      <c r="CC171" s="234"/>
      <c r="CD171" s="234"/>
      <c r="CE171" s="234"/>
      <c r="CF171" s="234"/>
      <c r="CG171" s="234"/>
      <c r="CH171" s="234"/>
      <c r="CI171" s="31"/>
      <c r="CJ171" s="31"/>
      <c r="CK171" s="31"/>
      <c r="CL171" s="31"/>
      <c r="CM171" s="31"/>
      <c r="CN171" s="31"/>
      <c r="CO171" s="31"/>
      <c r="CP171" s="31"/>
      <c r="CQ171" s="31"/>
      <c r="CR171" s="31"/>
      <c r="CS171" s="31"/>
      <c r="CT171" s="31"/>
      <c r="CU171" s="31"/>
      <c r="CV171" s="31"/>
      <c r="CW171" s="31"/>
      <c r="CX171" s="31"/>
      <c r="CY171" s="234"/>
      <c r="CZ171" s="234"/>
      <c r="DA171" s="234"/>
      <c r="DB171" s="234"/>
      <c r="DC171" s="234"/>
      <c r="DD171" s="234"/>
      <c r="DE171" s="234"/>
      <c r="DF171" s="234"/>
      <c r="DG171" s="234"/>
      <c r="DH171" s="234"/>
      <c r="DI171" s="234"/>
      <c r="DJ171" s="234"/>
      <c r="DK171" s="234"/>
      <c r="DL171" s="234"/>
      <c r="DM171" s="234"/>
      <c r="DN171" s="234"/>
      <c r="DO171" s="234"/>
      <c r="DP171" s="234"/>
      <c r="DQ171" s="234"/>
      <c r="DR171" s="234"/>
      <c r="DS171" s="234"/>
      <c r="DT171" s="234"/>
    </row>
    <row r="172" spans="1:124" s="231" customFormat="1" ht="16.5" customHeight="1" x14ac:dyDescent="0.25">
      <c r="A172" s="232"/>
      <c r="B172" s="250"/>
      <c r="C172" s="232"/>
      <c r="D172" s="232"/>
      <c r="E172" s="251"/>
      <c r="G172" s="367" t="str">
        <f>IF(OR(AN153="Fel i indata",AN154="Fel i indata",AN155="Fel i indata",AN156="Fel i indata",AN157="Fel i indata",AN158="Fel i indata",AN159="Fel i indata",AN160="Fel i indata",AN161="Fel i indata",AN162="Fel i indata",AN163="Fel i indata",AN152="Fel i indata"),"Fel i indata","")</f>
        <v/>
      </c>
      <c r="I172" s="221" t="str">
        <f>IF(G172="Fel i indata","OBS! Se över din indata, energi för hushållssenergi blir negativ efter avdrag för elgolvvärme om mätvärdena ingår i uppmätt hushållsenergi!","")</f>
        <v/>
      </c>
      <c r="J172" s="250"/>
      <c r="K172" s="250"/>
      <c r="M172" s="250"/>
      <c r="N172" s="250"/>
      <c r="O172" s="250"/>
      <c r="P172" s="250"/>
      <c r="Q172" s="250"/>
      <c r="R172" s="250"/>
      <c r="S172" s="250"/>
      <c r="T172" s="250"/>
      <c r="U172" s="250"/>
      <c r="V172" s="250"/>
      <c r="W172" s="232"/>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31"/>
      <c r="AZ172" s="31"/>
      <c r="BA172" s="31"/>
      <c r="BB172" s="31"/>
      <c r="BC172" s="31"/>
      <c r="BD172" s="31"/>
      <c r="BE172" s="31"/>
      <c r="BF172" s="31"/>
      <c r="BG172" s="234"/>
      <c r="BH172" s="234"/>
      <c r="BI172" s="234"/>
      <c r="BJ172" s="234"/>
      <c r="BK172" s="234"/>
      <c r="BL172" s="31"/>
      <c r="BM172" s="31"/>
      <c r="BN172" s="31"/>
      <c r="BO172" s="31"/>
      <c r="BP172" s="234"/>
      <c r="BQ172" s="234"/>
      <c r="BR172" s="234"/>
      <c r="BS172" s="234"/>
      <c r="BT172" s="234"/>
      <c r="BU172" s="234"/>
      <c r="BV172" s="234"/>
      <c r="BW172" s="234"/>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234"/>
      <c r="CZ172" s="234"/>
      <c r="DA172" s="234"/>
      <c r="DB172" s="234"/>
      <c r="DC172" s="234"/>
      <c r="DD172" s="234"/>
      <c r="DE172" s="234"/>
      <c r="DF172" s="234"/>
      <c r="DG172" s="234"/>
      <c r="DH172" s="234"/>
      <c r="DI172" s="234"/>
      <c r="DJ172" s="234"/>
      <c r="DK172" s="234"/>
      <c r="DL172" s="234"/>
      <c r="DM172" s="234"/>
      <c r="DN172" s="234"/>
      <c r="DO172" s="234"/>
      <c r="DP172" s="234"/>
      <c r="DQ172" s="234"/>
      <c r="DR172" s="234"/>
      <c r="DS172" s="234"/>
      <c r="DT172" s="234"/>
    </row>
    <row r="173" spans="1:124" s="231" customFormat="1" ht="16.5" customHeight="1" x14ac:dyDescent="0.25">
      <c r="A173" s="232"/>
      <c r="B173" s="250"/>
      <c r="C173" s="232"/>
      <c r="D173" s="232"/>
      <c r="E173" s="251"/>
      <c r="I173" s="250"/>
      <c r="J173" s="250"/>
      <c r="K173" s="250"/>
      <c r="L173" s="250"/>
      <c r="M173" s="250"/>
      <c r="N173" s="250"/>
      <c r="O173" s="250"/>
      <c r="P173" s="250"/>
      <c r="Q173" s="250"/>
      <c r="R173" s="250"/>
      <c r="S173" s="250"/>
      <c r="T173" s="250"/>
      <c r="U173" s="250"/>
      <c r="V173" s="250"/>
      <c r="W173" s="232"/>
      <c r="X173" s="266"/>
      <c r="Y173" s="266"/>
      <c r="Z173" s="266"/>
      <c r="AA173" s="266"/>
      <c r="AB173" s="266"/>
      <c r="AC173" s="266"/>
      <c r="AD173" s="266"/>
      <c r="AE173" s="266"/>
      <c r="AF173" s="266"/>
      <c r="AG173" s="266"/>
      <c r="AH173" s="266"/>
      <c r="AI173" s="266"/>
      <c r="AJ173" s="233"/>
      <c r="AK173" s="233"/>
      <c r="AL173" s="233"/>
      <c r="AM173" s="266"/>
      <c r="AN173" s="266"/>
      <c r="AO173" s="266"/>
      <c r="AP173" s="266"/>
      <c r="AQ173" s="266"/>
      <c r="AR173" s="266"/>
      <c r="AS173" s="266"/>
      <c r="AT173" s="266"/>
      <c r="AU173" s="266"/>
      <c r="AV173" s="266"/>
      <c r="AW173" s="266"/>
      <c r="AX173" s="266"/>
      <c r="AY173" s="234"/>
      <c r="AZ173" s="234"/>
      <c r="BA173" s="234"/>
      <c r="BB173" s="234"/>
      <c r="BC173" s="234"/>
      <c r="BD173" s="234"/>
      <c r="BE173" s="234"/>
      <c r="BF173" s="234"/>
      <c r="BG173" s="234"/>
      <c r="BH173" s="234"/>
      <c r="BI173" s="234"/>
      <c r="BJ173" s="234"/>
      <c r="BK173" s="234"/>
      <c r="BL173" s="31"/>
      <c r="BM173" s="31"/>
      <c r="BN173" s="31"/>
      <c r="BO173" s="31"/>
      <c r="BP173" s="234"/>
      <c r="BQ173" s="234"/>
      <c r="BR173" s="234"/>
      <c r="BS173" s="234"/>
      <c r="BT173" s="234"/>
      <c r="BU173" s="234"/>
      <c r="BV173" s="234"/>
      <c r="BW173" s="234"/>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234"/>
      <c r="CZ173" s="234"/>
      <c r="DA173" s="234"/>
      <c r="DB173" s="234"/>
      <c r="DC173" s="234"/>
      <c r="DD173" s="234"/>
      <c r="DE173" s="234"/>
      <c r="DF173" s="234"/>
      <c r="DG173" s="234"/>
      <c r="DH173" s="234"/>
      <c r="DI173" s="234"/>
      <c r="DJ173" s="234"/>
      <c r="DK173" s="234"/>
      <c r="DL173" s="234"/>
      <c r="DM173" s="234"/>
      <c r="DN173" s="234"/>
      <c r="DO173" s="234"/>
      <c r="DP173" s="234"/>
      <c r="DQ173" s="234"/>
      <c r="DR173" s="234"/>
      <c r="DS173" s="234"/>
      <c r="DT173" s="234"/>
    </row>
    <row r="174" spans="1:124" s="231" customFormat="1" ht="16.5" customHeight="1" x14ac:dyDescent="0.25">
      <c r="A174" s="232"/>
      <c r="B174" s="398">
        <v>7</v>
      </c>
      <c r="C174" s="399" t="s">
        <v>1350</v>
      </c>
      <c r="D174" s="400"/>
      <c r="E174" s="400"/>
      <c r="F174" s="385"/>
      <c r="G174" s="385"/>
      <c r="H174" s="385"/>
      <c r="I174" s="385"/>
      <c r="J174" s="384"/>
      <c r="K174" s="384"/>
      <c r="L174" s="384"/>
      <c r="M174" s="385"/>
      <c r="N174" s="385"/>
      <c r="O174" s="385"/>
      <c r="P174" s="385"/>
      <c r="Q174" s="385"/>
      <c r="R174" s="385"/>
      <c r="S174" s="385"/>
      <c r="T174" s="385"/>
      <c r="U174" s="385"/>
      <c r="V174" s="385"/>
      <c r="W174" s="386"/>
      <c r="X174" s="266"/>
      <c r="Y174" s="266"/>
      <c r="Z174" s="266"/>
      <c r="AA174" s="266"/>
      <c r="AB174" s="266"/>
      <c r="AC174" s="266"/>
      <c r="AD174" s="266"/>
      <c r="AE174" s="266"/>
      <c r="AF174" s="266"/>
      <c r="AG174" s="266"/>
      <c r="AH174" s="266"/>
      <c r="AI174" s="266"/>
      <c r="AJ174" s="233"/>
      <c r="AK174" s="233"/>
      <c r="AL174" s="233"/>
      <c r="AM174" s="266"/>
      <c r="AN174" s="266"/>
      <c r="AO174" s="266"/>
      <c r="AP174" s="266"/>
      <c r="AQ174" s="266"/>
      <c r="AR174" s="266"/>
      <c r="AS174" s="266"/>
      <c r="AT174" s="266"/>
      <c r="AU174" s="266"/>
      <c r="AV174" s="266"/>
      <c r="AW174" s="266"/>
      <c r="AX174" s="266"/>
      <c r="AY174" s="31"/>
      <c r="AZ174" s="31"/>
      <c r="BA174" s="31"/>
      <c r="BB174" s="31"/>
      <c r="BC174" s="31"/>
      <c r="BD174" s="31"/>
      <c r="BE174" s="31"/>
      <c r="BF174" s="31"/>
      <c r="BG174" s="31"/>
      <c r="BH174" s="31"/>
      <c r="BI174" s="31"/>
      <c r="BJ174" s="31"/>
      <c r="BK174" s="31"/>
      <c r="BL174" s="31"/>
      <c r="BM174" s="31"/>
      <c r="BN174" s="31"/>
      <c r="BO174" s="31"/>
      <c r="BP174" s="234"/>
      <c r="BQ174" s="234"/>
      <c r="BR174" s="234"/>
      <c r="BS174" s="234"/>
      <c r="BT174" s="234"/>
      <c r="BU174" s="234"/>
      <c r="BV174" s="234"/>
      <c r="BW174" s="234"/>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234"/>
      <c r="CZ174" s="234"/>
      <c r="DA174" s="234"/>
      <c r="DB174" s="234"/>
      <c r="DC174" s="234"/>
      <c r="DD174" s="234"/>
      <c r="DE174" s="234"/>
      <c r="DF174" s="234"/>
      <c r="DG174" s="234"/>
      <c r="DH174" s="234"/>
      <c r="DI174" s="234"/>
      <c r="DJ174" s="234"/>
      <c r="DK174" s="234"/>
      <c r="DL174" s="234"/>
      <c r="DM174" s="234"/>
      <c r="DN174" s="234"/>
      <c r="DO174" s="234"/>
      <c r="DP174" s="234"/>
      <c r="DQ174" s="234"/>
      <c r="DR174" s="234"/>
      <c r="DS174" s="234"/>
      <c r="DT174" s="234"/>
    </row>
    <row r="175" spans="1:124" s="231" customFormat="1" ht="16.5" hidden="1" customHeight="1" x14ac:dyDescent="0.25">
      <c r="A175" s="232"/>
      <c r="B175" s="232"/>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66"/>
      <c r="Y175" s="266"/>
      <c r="Z175" s="266"/>
      <c r="AA175" s="266"/>
      <c r="AB175" s="266"/>
      <c r="AC175" s="266"/>
      <c r="AD175" s="266"/>
      <c r="AE175" s="266"/>
      <c r="AF175" s="266"/>
      <c r="AG175" s="266"/>
      <c r="AH175" s="266"/>
      <c r="AI175" s="266"/>
      <c r="AJ175" s="233"/>
      <c r="AK175" s="233"/>
      <c r="AL175" s="233"/>
      <c r="AM175" s="266"/>
      <c r="AN175" s="266"/>
      <c r="AO175" s="266"/>
      <c r="AP175" s="266"/>
      <c r="AQ175" s="266"/>
      <c r="AR175" s="266"/>
      <c r="AS175" s="266"/>
      <c r="AT175" s="266"/>
      <c r="AU175" s="266"/>
      <c r="AV175" s="266"/>
      <c r="AW175" s="266"/>
      <c r="AX175" s="266"/>
      <c r="AY175" s="31"/>
      <c r="AZ175" s="31"/>
      <c r="BA175" s="31"/>
      <c r="BB175" s="31"/>
      <c r="BC175" s="31"/>
      <c r="BD175" s="31"/>
      <c r="BE175" s="31"/>
      <c r="BF175" s="31"/>
      <c r="BG175" s="31"/>
      <c r="BH175" s="31"/>
      <c r="BI175" s="31"/>
      <c r="BJ175" s="31"/>
      <c r="BK175" s="31"/>
      <c r="BL175" s="31"/>
      <c r="BM175" s="31"/>
      <c r="BN175" s="31"/>
      <c r="BO175" s="31"/>
      <c r="BP175" s="234"/>
      <c r="BQ175" s="234"/>
      <c r="BR175" s="234"/>
      <c r="BS175" s="234"/>
      <c r="BT175" s="234"/>
      <c r="BU175" s="234"/>
      <c r="BV175" s="234"/>
      <c r="BW175" s="234"/>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234"/>
      <c r="CZ175" s="234"/>
      <c r="DA175" s="234"/>
      <c r="DB175" s="234"/>
      <c r="DC175" s="234"/>
      <c r="DD175" s="234"/>
      <c r="DE175" s="234"/>
      <c r="DF175" s="234"/>
      <c r="DG175" s="234"/>
      <c r="DH175" s="234"/>
      <c r="DI175" s="234"/>
      <c r="DJ175" s="234"/>
      <c r="DK175" s="234"/>
      <c r="DL175" s="234"/>
      <c r="DM175" s="234"/>
      <c r="DN175" s="234"/>
      <c r="DO175" s="234"/>
      <c r="DP175" s="234"/>
      <c r="DQ175" s="234"/>
      <c r="DR175" s="234"/>
      <c r="DS175" s="234"/>
      <c r="DT175" s="234"/>
    </row>
    <row r="176" spans="1:124" s="231" customFormat="1" ht="21.75" customHeight="1" x14ac:dyDescent="0.25">
      <c r="A176" s="232"/>
      <c r="B176" s="232"/>
      <c r="C176" s="93"/>
      <c r="D176" s="60"/>
      <c r="E176" s="60"/>
      <c r="F176" s="217" t="s">
        <v>1356</v>
      </c>
      <c r="G176" s="250"/>
      <c r="H176" s="250"/>
      <c r="I176" s="232"/>
      <c r="J176" s="232"/>
      <c r="K176" s="232"/>
      <c r="L176" s="232"/>
      <c r="M176" s="232"/>
      <c r="N176" s="232"/>
      <c r="O176" s="232"/>
      <c r="P176" s="232"/>
      <c r="Q176" s="232"/>
      <c r="R176" s="232"/>
      <c r="S176" s="232"/>
      <c r="T176" s="232"/>
      <c r="U176" s="232"/>
      <c r="V176" s="232"/>
      <c r="W176" s="232"/>
      <c r="X176" s="266"/>
      <c r="Y176" s="266"/>
      <c r="Z176" s="266"/>
      <c r="AA176" s="266"/>
      <c r="AB176" s="266"/>
      <c r="AC176" s="266"/>
      <c r="AD176" s="266"/>
      <c r="AE176" s="266"/>
      <c r="AF176" s="266"/>
      <c r="AG176" s="266"/>
      <c r="AH176" s="266"/>
      <c r="AI176" s="266"/>
      <c r="AJ176" s="233"/>
      <c r="AK176" s="233"/>
      <c r="AL176" s="233"/>
      <c r="AM176" s="266"/>
      <c r="AN176" s="266"/>
      <c r="AO176" s="266"/>
      <c r="AP176" s="266"/>
      <c r="AQ176" s="266"/>
      <c r="AR176" s="266"/>
      <c r="AS176" s="266"/>
      <c r="AT176" s="266"/>
      <c r="AU176" s="266"/>
      <c r="AV176" s="266"/>
      <c r="AW176" s="266"/>
      <c r="AX176" s="266"/>
      <c r="AY176" s="31"/>
      <c r="AZ176" s="31"/>
      <c r="BA176" s="31"/>
      <c r="BB176" s="31"/>
      <c r="BC176" s="31"/>
      <c r="BD176" s="31"/>
      <c r="BE176" s="31"/>
      <c r="BF176" s="31"/>
      <c r="BG176" s="31"/>
      <c r="BH176" s="31"/>
      <c r="BI176" s="31"/>
      <c r="BJ176" s="31"/>
      <c r="BK176" s="31"/>
      <c r="BL176" s="31"/>
      <c r="BM176" s="31"/>
      <c r="BN176" s="31"/>
      <c r="BO176" s="31"/>
      <c r="BP176" s="234"/>
      <c r="BQ176" s="234"/>
      <c r="BR176" s="234"/>
      <c r="BS176" s="234"/>
      <c r="BT176" s="234"/>
      <c r="BU176" s="234"/>
      <c r="BV176" s="234"/>
      <c r="BW176" s="234"/>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234"/>
      <c r="CZ176" s="234"/>
      <c r="DA176" s="234"/>
      <c r="DB176" s="234"/>
      <c r="DC176" s="234"/>
      <c r="DD176" s="234"/>
      <c r="DE176" s="234"/>
      <c r="DF176" s="234"/>
      <c r="DG176" s="234"/>
      <c r="DH176" s="234"/>
      <c r="DI176" s="234"/>
      <c r="DJ176" s="234"/>
      <c r="DK176" s="234"/>
      <c r="DL176" s="234"/>
      <c r="DM176" s="234"/>
      <c r="DN176" s="234"/>
      <c r="DO176" s="234"/>
      <c r="DP176" s="234"/>
      <c r="DQ176" s="234"/>
      <c r="DR176" s="234"/>
      <c r="DS176" s="234"/>
      <c r="DT176" s="234"/>
    </row>
    <row r="177" spans="1:124" s="231" customFormat="1" ht="17.25" customHeight="1" x14ac:dyDescent="0.25">
      <c r="A177" s="232"/>
      <c r="B177" s="232"/>
      <c r="C177" s="268" t="s">
        <v>1279</v>
      </c>
      <c r="D177" s="368" t="s">
        <v>1280</v>
      </c>
      <c r="E177" s="232"/>
      <c r="F177" s="518"/>
      <c r="G177" s="519"/>
      <c r="H177" s="519"/>
      <c r="I177" s="519"/>
      <c r="J177" s="519"/>
      <c r="K177" s="519"/>
      <c r="L177" s="520"/>
      <c r="M177" s="232"/>
      <c r="N177" s="232"/>
      <c r="O177" s="232"/>
      <c r="P177" s="232"/>
      <c r="Q177" s="232"/>
      <c r="R177" s="232"/>
      <c r="S177" s="232"/>
      <c r="T177" s="232"/>
      <c r="U177" s="232"/>
      <c r="V177" s="232"/>
      <c r="W177" s="232"/>
      <c r="X177" s="266"/>
      <c r="Y177" s="266"/>
      <c r="Z177" s="266"/>
      <c r="AA177" s="266"/>
      <c r="AB177" s="266"/>
      <c r="AC177" s="266"/>
      <c r="AD177" s="266"/>
      <c r="AE177" s="266"/>
      <c r="AF177" s="266"/>
      <c r="AG177" s="266"/>
      <c r="AH177" s="266"/>
      <c r="AI177" s="266"/>
      <c r="AJ177" s="233"/>
      <c r="AK177" s="233"/>
      <c r="AL177" s="233"/>
      <c r="AM177" s="266"/>
      <c r="AN177" s="266"/>
      <c r="AO177" s="266"/>
      <c r="AP177" s="266"/>
      <c r="AQ177" s="266"/>
      <c r="AR177" s="266"/>
      <c r="AS177" s="266"/>
      <c r="AT177" s="266"/>
      <c r="AU177" s="266"/>
      <c r="AV177" s="266"/>
      <c r="AW177" s="266"/>
      <c r="AX177" s="266"/>
      <c r="AY177" s="31"/>
      <c r="AZ177" s="31"/>
      <c r="BA177" s="31"/>
      <c r="BB177" s="31"/>
      <c r="BC177" s="31"/>
      <c r="BD177" s="31"/>
      <c r="BE177" s="31"/>
      <c r="BF177" s="31"/>
      <c r="BG177" s="31"/>
      <c r="BH177" s="31"/>
      <c r="BI177" s="31"/>
      <c r="BJ177" s="31"/>
      <c r="BK177" s="31"/>
      <c r="BL177" s="31"/>
      <c r="BM177" s="31"/>
      <c r="BN177" s="31"/>
      <c r="BO177" s="31"/>
      <c r="BP177" s="234"/>
      <c r="BQ177" s="234"/>
      <c r="BR177" s="234"/>
      <c r="BS177" s="234"/>
      <c r="BT177" s="234"/>
      <c r="BU177" s="234"/>
      <c r="BV177" s="234"/>
      <c r="BW177" s="234"/>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234"/>
      <c r="CZ177" s="234"/>
      <c r="DA177" s="234"/>
      <c r="DB177" s="234"/>
      <c r="DC177" s="234"/>
      <c r="DD177" s="234"/>
      <c r="DE177" s="234"/>
      <c r="DF177" s="234"/>
      <c r="DG177" s="234"/>
      <c r="DH177" s="234"/>
      <c r="DI177" s="234"/>
      <c r="DJ177" s="234"/>
      <c r="DK177" s="234"/>
      <c r="DL177" s="234"/>
      <c r="DM177" s="234"/>
      <c r="DN177" s="234"/>
      <c r="DO177" s="234"/>
      <c r="DP177" s="234"/>
      <c r="DQ177" s="234"/>
      <c r="DR177" s="234"/>
      <c r="DS177" s="234"/>
      <c r="DT177" s="234"/>
    </row>
    <row r="178" spans="1:124" s="231" customFormat="1" ht="17.25" customHeight="1" x14ac:dyDescent="0.25">
      <c r="A178" s="232"/>
      <c r="B178" s="232"/>
      <c r="C178" s="232"/>
      <c r="D178" s="232"/>
      <c r="E178" s="232"/>
      <c r="F178" s="521"/>
      <c r="G178" s="522"/>
      <c r="H178" s="522"/>
      <c r="I178" s="522"/>
      <c r="J178" s="522"/>
      <c r="K178" s="522"/>
      <c r="L178" s="523"/>
      <c r="M178" s="232"/>
      <c r="N178" s="232"/>
      <c r="O178" s="232"/>
      <c r="P178" s="232"/>
      <c r="Q178" s="232"/>
      <c r="R178" s="232"/>
      <c r="S178" s="232"/>
      <c r="T178" s="232"/>
      <c r="U178" s="232"/>
      <c r="V178" s="232"/>
      <c r="W178" s="232"/>
      <c r="X178" s="266"/>
      <c r="Y178" s="266"/>
      <c r="Z178" s="266"/>
      <c r="AA178" s="266"/>
      <c r="AB178" s="266"/>
      <c r="AC178" s="266"/>
      <c r="AD178" s="266"/>
      <c r="AE178" s="266"/>
      <c r="AF178" s="266"/>
      <c r="AG178" s="266"/>
      <c r="AH178" s="266"/>
      <c r="AI178" s="266"/>
      <c r="AJ178" s="233"/>
      <c r="AK178" s="233"/>
      <c r="AL178" s="233"/>
      <c r="AM178" s="266"/>
      <c r="AN178" s="266"/>
      <c r="AO178" s="266"/>
      <c r="AP178" s="266"/>
      <c r="AQ178" s="266"/>
      <c r="AR178" s="266"/>
      <c r="AS178" s="266"/>
      <c r="AT178" s="266"/>
      <c r="AU178" s="266"/>
      <c r="AV178" s="266"/>
      <c r="AW178" s="266"/>
      <c r="AX178" s="266"/>
      <c r="AY178" s="31"/>
      <c r="AZ178" s="31"/>
      <c r="BA178" s="31"/>
      <c r="BB178" s="31"/>
      <c r="BC178" s="31"/>
      <c r="BD178" s="31"/>
      <c r="BE178" s="31"/>
      <c r="BF178" s="31"/>
      <c r="BG178" s="31"/>
      <c r="BH178" s="31"/>
      <c r="BI178" s="31"/>
      <c r="BJ178" s="31"/>
      <c r="BK178" s="31"/>
      <c r="BL178" s="31"/>
      <c r="BM178" s="31"/>
      <c r="BN178" s="31"/>
      <c r="BO178" s="31"/>
      <c r="BP178" s="234"/>
      <c r="BQ178" s="234"/>
      <c r="BR178" s="234"/>
      <c r="BS178" s="234"/>
      <c r="BT178" s="234"/>
      <c r="BU178" s="234"/>
      <c r="BV178" s="234"/>
      <c r="BW178" s="234"/>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234"/>
      <c r="CZ178" s="234"/>
      <c r="DA178" s="234"/>
      <c r="DB178" s="234"/>
      <c r="DC178" s="234"/>
      <c r="DD178" s="234"/>
      <c r="DE178" s="234"/>
      <c r="DF178" s="234"/>
      <c r="DG178" s="234"/>
      <c r="DH178" s="234"/>
      <c r="DI178" s="234"/>
      <c r="DJ178" s="234"/>
      <c r="DK178" s="234"/>
      <c r="DL178" s="234"/>
      <c r="DM178" s="234"/>
      <c r="DN178" s="234"/>
      <c r="DO178" s="234"/>
      <c r="DP178" s="234"/>
      <c r="DQ178" s="234"/>
      <c r="DR178" s="234"/>
      <c r="DS178" s="234"/>
      <c r="DT178" s="234"/>
    </row>
    <row r="179" spans="1:124" s="231" customFormat="1" ht="17.25" customHeight="1" x14ac:dyDescent="0.25">
      <c r="A179" s="232"/>
      <c r="B179" s="232"/>
      <c r="C179" s="268" t="s">
        <v>1171</v>
      </c>
      <c r="D179" s="368" t="s">
        <v>1071</v>
      </c>
      <c r="E179" s="232"/>
      <c r="F179" s="521"/>
      <c r="G179" s="522"/>
      <c r="H179" s="522"/>
      <c r="I179" s="522"/>
      <c r="J179" s="522"/>
      <c r="K179" s="522"/>
      <c r="L179" s="523"/>
      <c r="M179" s="232"/>
      <c r="N179" s="232"/>
      <c r="O179" s="232"/>
      <c r="P179" s="232"/>
      <c r="Q179" s="232"/>
      <c r="R179" s="232"/>
      <c r="S179" s="232"/>
      <c r="T179" s="232"/>
      <c r="U179" s="232"/>
      <c r="V179" s="232"/>
      <c r="W179" s="232"/>
      <c r="X179" s="266"/>
      <c r="Y179" s="266"/>
      <c r="Z179" s="266"/>
      <c r="AA179" s="266"/>
      <c r="AB179" s="266"/>
      <c r="AC179" s="266"/>
      <c r="AD179" s="266"/>
      <c r="AE179" s="266"/>
      <c r="AF179" s="266"/>
      <c r="AG179" s="266"/>
      <c r="AH179" s="266"/>
      <c r="AI179" s="266"/>
      <c r="AJ179" s="233"/>
      <c r="AK179" s="233"/>
      <c r="AL179" s="233"/>
      <c r="AM179" s="266"/>
      <c r="AN179" s="266"/>
      <c r="AO179" s="266"/>
      <c r="AP179" s="266"/>
      <c r="AQ179" s="266"/>
      <c r="AR179" s="266"/>
      <c r="AS179" s="266"/>
      <c r="AT179" s="266"/>
      <c r="AU179" s="266"/>
      <c r="AV179" s="266"/>
      <c r="AW179" s="266"/>
      <c r="AX179" s="266"/>
      <c r="AY179" s="31"/>
      <c r="AZ179" s="31"/>
      <c r="BA179" s="31"/>
      <c r="BB179" s="31"/>
      <c r="BC179" s="31"/>
      <c r="BD179" s="31"/>
      <c r="BE179" s="31"/>
      <c r="BF179" s="31"/>
      <c r="BG179" s="31"/>
      <c r="BH179" s="31"/>
      <c r="BI179" s="31"/>
      <c r="BJ179" s="31"/>
      <c r="BK179" s="31"/>
      <c r="BL179" s="31"/>
      <c r="BM179" s="31"/>
      <c r="BN179" s="31"/>
      <c r="BO179" s="31"/>
      <c r="BP179" s="234"/>
      <c r="BQ179" s="234"/>
      <c r="BR179" s="234"/>
      <c r="BS179" s="234"/>
      <c r="BT179" s="234"/>
      <c r="BU179" s="234"/>
      <c r="BV179" s="234"/>
      <c r="BW179" s="234"/>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234"/>
      <c r="CZ179" s="234"/>
      <c r="DA179" s="234"/>
      <c r="DB179" s="234"/>
      <c r="DC179" s="234"/>
      <c r="DD179" s="234"/>
      <c r="DE179" s="234"/>
      <c r="DF179" s="234"/>
      <c r="DG179" s="234"/>
      <c r="DH179" s="234"/>
      <c r="DI179" s="234"/>
      <c r="DJ179" s="234"/>
      <c r="DK179" s="234"/>
      <c r="DL179" s="234"/>
      <c r="DM179" s="234"/>
      <c r="DN179" s="234"/>
      <c r="DO179" s="234"/>
      <c r="DP179" s="234"/>
      <c r="DQ179" s="234"/>
      <c r="DR179" s="234"/>
      <c r="DS179" s="234"/>
      <c r="DT179" s="234"/>
    </row>
    <row r="180" spans="1:124" s="231" customFormat="1" ht="17.25" customHeight="1" x14ac:dyDescent="0.25">
      <c r="A180" s="232"/>
      <c r="B180" s="232"/>
      <c r="C180" s="268" t="s">
        <v>1172</v>
      </c>
      <c r="D180" s="368" t="s">
        <v>1062</v>
      </c>
      <c r="E180" s="232"/>
      <c r="F180" s="521"/>
      <c r="G180" s="522"/>
      <c r="H180" s="522"/>
      <c r="I180" s="522"/>
      <c r="J180" s="522"/>
      <c r="K180" s="522"/>
      <c r="L180" s="523"/>
      <c r="M180" s="232"/>
      <c r="N180" s="232"/>
      <c r="O180" s="232"/>
      <c r="P180" s="232"/>
      <c r="Q180" s="232"/>
      <c r="R180" s="232"/>
      <c r="S180" s="232"/>
      <c r="T180" s="232"/>
      <c r="U180" s="232"/>
      <c r="V180" s="232"/>
      <c r="W180" s="232"/>
      <c r="X180" s="266"/>
      <c r="Y180" s="266"/>
      <c r="Z180" s="266"/>
      <c r="AA180" s="266"/>
      <c r="AB180" s="266"/>
      <c r="AC180" s="266"/>
      <c r="AD180" s="266"/>
      <c r="AE180" s="266"/>
      <c r="AF180" s="266"/>
      <c r="AG180" s="266"/>
      <c r="AH180" s="266"/>
      <c r="AI180" s="266"/>
      <c r="AJ180" s="233"/>
      <c r="AK180" s="233"/>
      <c r="AL180" s="233"/>
      <c r="AM180" s="266"/>
      <c r="AN180" s="266"/>
      <c r="AO180" s="266"/>
      <c r="AP180" s="266"/>
      <c r="AQ180" s="266"/>
      <c r="AR180" s="266"/>
      <c r="AS180" s="266"/>
      <c r="AT180" s="266"/>
      <c r="AU180" s="266"/>
      <c r="AV180" s="266"/>
      <c r="AW180" s="266"/>
      <c r="AX180" s="266"/>
      <c r="AY180" s="31"/>
      <c r="AZ180" s="31"/>
      <c r="BA180" s="31"/>
      <c r="BB180" s="31"/>
      <c r="BC180" s="31"/>
      <c r="BD180" s="31"/>
      <c r="BE180" s="31"/>
      <c r="BF180" s="31"/>
      <c r="BG180" s="31"/>
      <c r="BH180" s="31"/>
      <c r="BI180" s="31"/>
      <c r="BJ180" s="31"/>
      <c r="BK180" s="31"/>
      <c r="BL180" s="31"/>
      <c r="BM180" s="31"/>
      <c r="BN180" s="31"/>
      <c r="BO180" s="31"/>
      <c r="BP180" s="234"/>
      <c r="BQ180" s="234"/>
      <c r="BR180" s="234"/>
      <c r="BS180" s="234"/>
      <c r="BT180" s="234"/>
      <c r="BU180" s="234"/>
      <c r="BV180" s="234"/>
      <c r="BW180" s="234"/>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234"/>
      <c r="CZ180" s="234"/>
      <c r="DA180" s="234"/>
      <c r="DB180" s="234"/>
      <c r="DC180" s="234"/>
      <c r="DD180" s="234"/>
      <c r="DE180" s="234"/>
      <c r="DF180" s="234"/>
      <c r="DG180" s="234"/>
      <c r="DH180" s="234"/>
      <c r="DI180" s="234"/>
      <c r="DJ180" s="234"/>
      <c r="DK180" s="234"/>
      <c r="DL180" s="234"/>
      <c r="DM180" s="234"/>
      <c r="DN180" s="234"/>
      <c r="DO180" s="234"/>
      <c r="DP180" s="234"/>
      <c r="DQ180" s="234"/>
      <c r="DR180" s="234"/>
      <c r="DS180" s="234"/>
      <c r="DT180" s="234"/>
    </row>
    <row r="181" spans="1:124" s="231" customFormat="1" ht="17.25" customHeight="1" x14ac:dyDescent="0.25">
      <c r="A181" s="232"/>
      <c r="B181" s="232"/>
      <c r="C181" s="232"/>
      <c r="D181" s="232"/>
      <c r="E181" s="232"/>
      <c r="F181" s="524"/>
      <c r="G181" s="525"/>
      <c r="H181" s="525"/>
      <c r="I181" s="525"/>
      <c r="J181" s="525"/>
      <c r="K181" s="525"/>
      <c r="L181" s="526"/>
      <c r="M181" s="232"/>
      <c r="N181" s="232"/>
      <c r="O181" s="232"/>
      <c r="P181" s="232"/>
      <c r="Q181" s="232"/>
      <c r="R181" s="232"/>
      <c r="S181" s="232"/>
      <c r="T181" s="232"/>
      <c r="U181" s="232"/>
      <c r="V181" s="232"/>
      <c r="W181" s="232"/>
      <c r="X181" s="266"/>
      <c r="Y181" s="266"/>
      <c r="Z181" s="266"/>
      <c r="AA181" s="266"/>
      <c r="AB181" s="266"/>
      <c r="AC181" s="266"/>
      <c r="AD181" s="266"/>
      <c r="AE181" s="266"/>
      <c r="AF181" s="266"/>
      <c r="AG181" s="266"/>
      <c r="AH181" s="266"/>
      <c r="AI181" s="266"/>
      <c r="AJ181" s="233"/>
      <c r="AK181" s="233"/>
      <c r="AL181" s="233"/>
      <c r="AM181" s="266"/>
      <c r="AN181" s="266"/>
      <c r="AO181" s="266"/>
      <c r="AP181" s="266"/>
      <c r="AQ181" s="266"/>
      <c r="AR181" s="266"/>
      <c r="AS181" s="266"/>
      <c r="AT181" s="266"/>
      <c r="AU181" s="266"/>
      <c r="AV181" s="266"/>
      <c r="AW181" s="266"/>
      <c r="AX181" s="266"/>
      <c r="AY181" s="31"/>
      <c r="AZ181" s="31"/>
      <c r="BA181" s="31"/>
      <c r="BB181" s="31"/>
      <c r="BC181" s="31"/>
      <c r="BD181" s="31"/>
      <c r="BE181" s="31"/>
      <c r="BF181" s="31"/>
      <c r="BG181" s="31"/>
      <c r="BH181" s="31"/>
      <c r="BI181" s="31"/>
      <c r="BJ181" s="31"/>
      <c r="BK181" s="31"/>
      <c r="BL181" s="31"/>
      <c r="BM181" s="31"/>
      <c r="BN181" s="31"/>
      <c r="BO181" s="31"/>
      <c r="BP181" s="234"/>
      <c r="BQ181" s="234"/>
      <c r="BR181" s="234"/>
      <c r="BS181" s="234"/>
      <c r="BT181" s="234"/>
      <c r="BU181" s="234"/>
      <c r="BV181" s="234"/>
      <c r="BW181" s="234"/>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234"/>
      <c r="CZ181" s="234"/>
      <c r="DA181" s="234"/>
      <c r="DB181" s="234"/>
      <c r="DC181" s="234"/>
      <c r="DD181" s="234"/>
      <c r="DE181" s="234"/>
      <c r="DF181" s="234"/>
      <c r="DG181" s="234"/>
      <c r="DH181" s="234"/>
      <c r="DI181" s="234"/>
      <c r="DJ181" s="234"/>
      <c r="DK181" s="234"/>
      <c r="DL181" s="234"/>
      <c r="DM181" s="234"/>
      <c r="DN181" s="234"/>
      <c r="DO181" s="234"/>
      <c r="DP181" s="234"/>
      <c r="DQ181" s="234"/>
      <c r="DR181" s="234"/>
      <c r="DS181" s="234"/>
      <c r="DT181" s="234"/>
    </row>
    <row r="182" spans="1:124" s="231" customFormat="1" ht="17.25" customHeight="1" x14ac:dyDescent="0.25">
      <c r="A182" s="232"/>
      <c r="B182" s="232"/>
      <c r="C182" s="268" t="s">
        <v>1092</v>
      </c>
      <c r="D182" s="395"/>
      <c r="E182" s="232"/>
      <c r="M182" s="232"/>
      <c r="N182" s="232"/>
      <c r="O182" s="232"/>
      <c r="P182" s="232"/>
      <c r="Q182" s="232"/>
      <c r="R182" s="232"/>
      <c r="S182" s="232"/>
      <c r="T182" s="232"/>
      <c r="U182" s="232"/>
      <c r="V182" s="232"/>
      <c r="W182" s="232"/>
      <c r="X182" s="266"/>
      <c r="Y182" s="266"/>
      <c r="Z182" s="266"/>
      <c r="AA182" s="266"/>
      <c r="AB182" s="266"/>
      <c r="AC182" s="266"/>
      <c r="AD182" s="266"/>
      <c r="AE182" s="266"/>
      <c r="AF182" s="266"/>
      <c r="AG182" s="266"/>
      <c r="AH182" s="266"/>
      <c r="AI182" s="266"/>
      <c r="AJ182" s="233"/>
      <c r="AK182" s="233"/>
      <c r="AL182" s="233"/>
      <c r="AM182" s="266"/>
      <c r="AN182" s="266"/>
      <c r="AO182" s="266"/>
      <c r="AP182" s="266"/>
      <c r="AQ182" s="266"/>
      <c r="AR182" s="266"/>
      <c r="AS182" s="266"/>
      <c r="AT182" s="266"/>
      <c r="AU182" s="266"/>
      <c r="AV182" s="266"/>
      <c r="AW182" s="266"/>
      <c r="AX182" s="266"/>
      <c r="AY182" s="31"/>
      <c r="AZ182" s="31"/>
      <c r="BA182" s="31"/>
      <c r="BB182" s="31"/>
      <c r="BC182" s="31"/>
      <c r="BD182" s="31"/>
      <c r="BE182" s="31"/>
      <c r="BF182" s="31"/>
      <c r="BG182" s="31"/>
      <c r="BH182" s="31"/>
      <c r="BI182" s="31"/>
      <c r="BJ182" s="31"/>
      <c r="BK182" s="31"/>
      <c r="BL182" s="31"/>
      <c r="BM182" s="31"/>
      <c r="BN182" s="31"/>
      <c r="BO182" s="31"/>
      <c r="BP182" s="234"/>
      <c r="BQ182" s="234"/>
      <c r="BR182" s="234"/>
      <c r="BS182" s="234"/>
      <c r="BT182" s="234"/>
      <c r="BU182" s="234"/>
      <c r="BV182" s="234"/>
      <c r="BW182" s="234"/>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234"/>
      <c r="CZ182" s="234"/>
      <c r="DA182" s="234"/>
      <c r="DB182" s="234"/>
      <c r="DC182" s="234"/>
      <c r="DD182" s="234"/>
      <c r="DE182" s="234"/>
      <c r="DF182" s="234"/>
      <c r="DG182" s="234"/>
      <c r="DH182" s="234"/>
      <c r="DI182" s="234"/>
      <c r="DJ182" s="234"/>
      <c r="DK182" s="234"/>
      <c r="DL182" s="234"/>
      <c r="DM182" s="234"/>
      <c r="DN182" s="234"/>
      <c r="DO182" s="234"/>
      <c r="DP182" s="234"/>
      <c r="DQ182" s="234"/>
      <c r="DR182" s="234"/>
      <c r="DS182" s="234"/>
      <c r="DT182" s="234"/>
    </row>
    <row r="183" spans="1:124" s="231" customFormat="1" ht="17.25" customHeight="1" x14ac:dyDescent="0.35">
      <c r="A183" s="232"/>
      <c r="B183" s="232"/>
      <c r="C183" s="268" t="s">
        <v>1351</v>
      </c>
      <c r="D183" s="372"/>
      <c r="E183" s="232"/>
      <c r="M183" s="232"/>
      <c r="N183" s="232"/>
      <c r="O183" s="232"/>
      <c r="P183" s="232"/>
      <c r="Q183" s="232"/>
      <c r="R183" s="232"/>
      <c r="S183" s="232"/>
      <c r="T183" s="232"/>
      <c r="U183" s="232"/>
      <c r="V183" s="232"/>
      <c r="W183" s="232"/>
      <c r="X183" s="266"/>
      <c r="Y183" s="266"/>
      <c r="Z183" s="266"/>
      <c r="AA183" s="266"/>
      <c r="AB183" s="266"/>
      <c r="AC183" s="266"/>
      <c r="AD183" s="266"/>
      <c r="AE183" s="266"/>
      <c r="AF183" s="266"/>
      <c r="AG183" s="266"/>
      <c r="AH183" s="266"/>
      <c r="AI183" s="266"/>
      <c r="AJ183" s="233"/>
      <c r="AK183" s="233"/>
      <c r="AL183" s="233"/>
      <c r="AM183" s="266"/>
      <c r="AN183" s="266"/>
      <c r="AO183" s="266"/>
      <c r="AP183" s="266"/>
      <c r="AQ183" s="266"/>
      <c r="AR183" s="266"/>
      <c r="AS183" s="266"/>
      <c r="AT183" s="266"/>
      <c r="AU183" s="266"/>
      <c r="AV183" s="266"/>
      <c r="AW183" s="266"/>
      <c r="AX183" s="266"/>
      <c r="AY183" s="31"/>
      <c r="AZ183" s="31"/>
      <c r="BA183" s="31"/>
      <c r="BB183" s="31"/>
      <c r="BC183" s="31"/>
      <c r="BD183" s="31"/>
      <c r="BE183" s="31"/>
      <c r="BF183" s="31"/>
      <c r="BG183" s="31"/>
      <c r="BH183" s="31"/>
      <c r="BI183" s="31"/>
      <c r="BJ183" s="31"/>
      <c r="BK183" s="31"/>
      <c r="BL183" s="31"/>
      <c r="BM183" s="31"/>
      <c r="BN183" s="31"/>
      <c r="BO183" s="31"/>
      <c r="BP183" s="234"/>
      <c r="BQ183" s="234"/>
      <c r="BR183" s="234"/>
      <c r="BS183" s="234"/>
      <c r="BT183" s="234"/>
      <c r="BU183" s="234"/>
      <c r="BV183" s="234"/>
      <c r="BW183" s="234"/>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234"/>
      <c r="CZ183" s="234"/>
      <c r="DA183" s="234"/>
      <c r="DB183" s="234"/>
      <c r="DC183" s="234"/>
      <c r="DD183" s="234"/>
      <c r="DE183" s="234"/>
      <c r="DF183" s="234"/>
      <c r="DG183" s="234"/>
      <c r="DH183" s="234"/>
      <c r="DI183" s="234"/>
      <c r="DJ183" s="234"/>
      <c r="DK183" s="234"/>
      <c r="DL183" s="234"/>
      <c r="DM183" s="234"/>
      <c r="DN183" s="234"/>
      <c r="DO183" s="234"/>
      <c r="DP183" s="234"/>
      <c r="DQ183" s="234"/>
      <c r="DR183" s="234"/>
      <c r="DS183" s="234"/>
      <c r="DT183" s="234"/>
    </row>
    <row r="184" spans="1:124" s="231" customFormat="1" ht="17.25" customHeight="1" x14ac:dyDescent="0.25">
      <c r="A184" s="232"/>
      <c r="B184" s="232"/>
      <c r="C184" s="134" t="s">
        <v>1352</v>
      </c>
      <c r="D184" s="368"/>
      <c r="E184" s="232"/>
      <c r="F184" s="250"/>
      <c r="G184" s="37"/>
      <c r="H184" s="37"/>
      <c r="I184" s="37"/>
      <c r="J184" s="37"/>
      <c r="K184" s="37"/>
      <c r="L184" s="37"/>
      <c r="M184" s="232"/>
      <c r="N184" s="232"/>
      <c r="O184" s="232"/>
      <c r="P184" s="232"/>
      <c r="Q184" s="232"/>
      <c r="R184" s="232"/>
      <c r="S184" s="232"/>
      <c r="T184" s="232"/>
      <c r="U184" s="232"/>
      <c r="V184" s="232"/>
      <c r="W184" s="232"/>
      <c r="X184" s="266"/>
      <c r="Y184" s="266"/>
      <c r="Z184" s="266"/>
      <c r="AA184" s="266"/>
      <c r="AB184" s="266"/>
      <c r="AC184" s="266"/>
      <c r="AD184" s="266"/>
      <c r="AE184" s="266"/>
      <c r="AF184" s="266"/>
      <c r="AG184" s="266"/>
      <c r="AH184" s="266"/>
      <c r="AI184" s="266"/>
      <c r="AJ184" s="233"/>
      <c r="AK184" s="233"/>
      <c r="AL184" s="233"/>
      <c r="AM184" s="266"/>
      <c r="AN184" s="266"/>
      <c r="AO184" s="266"/>
      <c r="AP184" s="266"/>
      <c r="AQ184" s="266"/>
      <c r="AR184" s="266"/>
      <c r="AS184" s="266"/>
      <c r="AT184" s="266"/>
      <c r="AU184" s="266"/>
      <c r="AV184" s="266"/>
      <c r="AW184" s="266"/>
      <c r="AX184" s="266"/>
      <c r="AY184" s="31"/>
      <c r="AZ184" s="31"/>
      <c r="BA184" s="31"/>
      <c r="BB184" s="31"/>
      <c r="BC184" s="31"/>
      <c r="BD184" s="31"/>
      <c r="BE184" s="31"/>
      <c r="BF184" s="31"/>
      <c r="BG184" s="31"/>
      <c r="BH184" s="31"/>
      <c r="BI184" s="31"/>
      <c r="BJ184" s="31"/>
      <c r="BK184" s="31"/>
      <c r="BL184" s="31"/>
      <c r="BM184" s="31"/>
      <c r="BN184" s="31"/>
      <c r="BO184" s="31"/>
      <c r="BP184" s="234"/>
      <c r="BQ184" s="234"/>
      <c r="BR184" s="234"/>
      <c r="BS184" s="234"/>
      <c r="BT184" s="234"/>
      <c r="BU184" s="234"/>
      <c r="BV184" s="234"/>
      <c r="BW184" s="234"/>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234"/>
      <c r="CZ184" s="234"/>
      <c r="DA184" s="234"/>
      <c r="DB184" s="234"/>
      <c r="DC184" s="234"/>
      <c r="DD184" s="234"/>
      <c r="DE184" s="234"/>
      <c r="DF184" s="234"/>
      <c r="DG184" s="234"/>
      <c r="DH184" s="234"/>
      <c r="DI184" s="234"/>
      <c r="DJ184" s="234"/>
      <c r="DK184" s="234"/>
      <c r="DL184" s="234"/>
      <c r="DM184" s="234"/>
      <c r="DN184" s="234"/>
      <c r="DO184" s="234"/>
      <c r="DP184" s="234"/>
      <c r="DQ184" s="234"/>
      <c r="DR184" s="234"/>
      <c r="DS184" s="234"/>
      <c r="DT184" s="234"/>
    </row>
    <row r="185" spans="1:124" s="231" customFormat="1" ht="17.25" customHeight="1" x14ac:dyDescent="0.25">
      <c r="A185" s="232"/>
      <c r="B185" s="232"/>
      <c r="C185" s="232"/>
      <c r="D185" s="37"/>
      <c r="E185" s="232"/>
      <c r="F185" s="232"/>
      <c r="G185" s="232"/>
      <c r="H185" s="232"/>
      <c r="I185" s="232"/>
      <c r="J185" s="232"/>
      <c r="K185" s="232"/>
      <c r="L185" s="232"/>
      <c r="M185" s="232"/>
      <c r="N185" s="232"/>
      <c r="O185" s="232"/>
      <c r="P185" s="232"/>
      <c r="Q185" s="232"/>
      <c r="R185" s="232"/>
      <c r="S185" s="232"/>
      <c r="T185" s="232"/>
      <c r="U185" s="232"/>
      <c r="V185" s="232"/>
      <c r="W185" s="232"/>
      <c r="X185" s="266"/>
      <c r="Y185" s="266"/>
      <c r="Z185" s="266"/>
      <c r="AA185" s="266"/>
      <c r="AB185" s="266"/>
      <c r="AC185" s="266"/>
      <c r="AD185" s="266"/>
      <c r="AE185" s="266"/>
      <c r="AF185" s="266"/>
      <c r="AG185" s="266"/>
      <c r="AH185" s="266"/>
      <c r="AI185" s="266"/>
      <c r="AJ185" s="233"/>
      <c r="AK185" s="233"/>
      <c r="AL185" s="233"/>
      <c r="AM185" s="266"/>
      <c r="AN185" s="266"/>
      <c r="AO185" s="266"/>
      <c r="AP185" s="266"/>
      <c r="AQ185" s="266"/>
      <c r="AR185" s="266"/>
      <c r="AS185" s="266"/>
      <c r="AT185" s="266"/>
      <c r="AU185" s="266"/>
      <c r="AV185" s="266"/>
      <c r="AW185" s="266"/>
      <c r="AX185" s="266"/>
      <c r="AY185" s="31"/>
      <c r="AZ185" s="31"/>
      <c r="BA185" s="31"/>
      <c r="BB185" s="31"/>
      <c r="BC185" s="31"/>
      <c r="BD185" s="31"/>
      <c r="BE185" s="31"/>
      <c r="BF185" s="31"/>
      <c r="BG185" s="31"/>
      <c r="BH185" s="31"/>
      <c r="BI185" s="31"/>
      <c r="BJ185" s="31"/>
      <c r="BK185" s="31"/>
      <c r="BL185" s="31"/>
      <c r="BM185" s="31"/>
      <c r="BN185" s="31"/>
      <c r="BO185" s="31"/>
      <c r="BP185" s="234"/>
      <c r="BQ185" s="234"/>
      <c r="BR185" s="234"/>
      <c r="BS185" s="234"/>
      <c r="BT185" s="234"/>
      <c r="BU185" s="234"/>
      <c r="BV185" s="234"/>
      <c r="BW185" s="234"/>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234"/>
      <c r="CZ185" s="234"/>
      <c r="DA185" s="234"/>
      <c r="DB185" s="234"/>
      <c r="DC185" s="234"/>
      <c r="DD185" s="234"/>
      <c r="DE185" s="234"/>
      <c r="DF185" s="234"/>
      <c r="DG185" s="234"/>
      <c r="DH185" s="234"/>
      <c r="DI185" s="234"/>
      <c r="DJ185" s="234"/>
      <c r="DK185" s="234"/>
      <c r="DL185" s="234"/>
      <c r="DM185" s="234"/>
      <c r="DN185" s="234"/>
      <c r="DO185" s="234"/>
      <c r="DP185" s="234"/>
      <c r="DQ185" s="234"/>
      <c r="DR185" s="234"/>
      <c r="DS185" s="234"/>
      <c r="DT185" s="234"/>
    </row>
    <row r="186" spans="1:124" s="231" customFormat="1" ht="17.25" customHeight="1" x14ac:dyDescent="0.25">
      <c r="A186" s="232"/>
      <c r="B186" s="232"/>
      <c r="C186" s="268" t="s">
        <v>1092</v>
      </c>
      <c r="D186" s="395"/>
      <c r="E186" s="232"/>
      <c r="F186" s="232"/>
      <c r="G186" s="232"/>
      <c r="H186" s="232"/>
      <c r="I186" s="232"/>
      <c r="J186" s="232"/>
      <c r="K186" s="232"/>
      <c r="L186" s="232"/>
      <c r="M186" s="232"/>
      <c r="N186" s="232"/>
      <c r="O186" s="232"/>
      <c r="P186" s="232"/>
      <c r="Q186" s="232"/>
      <c r="R186" s="232"/>
      <c r="S186" s="232"/>
      <c r="T186" s="232"/>
      <c r="U186" s="232"/>
      <c r="V186" s="232"/>
      <c r="W186" s="232"/>
      <c r="X186" s="266"/>
      <c r="Y186" s="266"/>
      <c r="Z186" s="266"/>
      <c r="AA186" s="266"/>
      <c r="AB186" s="266"/>
      <c r="AC186" s="266"/>
      <c r="AD186" s="266"/>
      <c r="AE186" s="266"/>
      <c r="AF186" s="266"/>
      <c r="AG186" s="266"/>
      <c r="AH186" s="266"/>
      <c r="AI186" s="266"/>
      <c r="AJ186" s="233"/>
      <c r="AK186" s="233"/>
      <c r="AL186" s="233"/>
      <c r="AM186" s="266"/>
      <c r="AN186" s="266"/>
      <c r="AO186" s="266"/>
      <c r="AP186" s="266"/>
      <c r="AQ186" s="266"/>
      <c r="AR186" s="266"/>
      <c r="AS186" s="266"/>
      <c r="AT186" s="266"/>
      <c r="AU186" s="266"/>
      <c r="AV186" s="266"/>
      <c r="AW186" s="266"/>
      <c r="AX186" s="266"/>
      <c r="AY186" s="31"/>
      <c r="AZ186" s="31"/>
      <c r="BA186" s="31"/>
      <c r="BB186" s="31"/>
      <c r="BC186" s="31"/>
      <c r="BD186" s="31"/>
      <c r="BE186" s="31"/>
      <c r="BF186" s="31"/>
      <c r="BG186" s="31"/>
      <c r="BH186" s="31"/>
      <c r="BI186" s="31"/>
      <c r="BJ186" s="31"/>
      <c r="BK186" s="31"/>
      <c r="BL186" s="31"/>
      <c r="BM186" s="31"/>
      <c r="BN186" s="31"/>
      <c r="BO186" s="31"/>
      <c r="BP186" s="234"/>
      <c r="BQ186" s="234"/>
      <c r="BR186" s="234"/>
      <c r="BS186" s="234"/>
      <c r="BT186" s="234"/>
      <c r="BU186" s="234"/>
      <c r="BV186" s="234"/>
      <c r="BW186" s="234"/>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234"/>
      <c r="CZ186" s="234"/>
      <c r="DA186" s="234"/>
      <c r="DB186" s="234"/>
      <c r="DC186" s="234"/>
      <c r="DD186" s="234"/>
      <c r="DE186" s="234"/>
      <c r="DF186" s="234"/>
      <c r="DG186" s="234"/>
      <c r="DH186" s="234"/>
      <c r="DI186" s="234"/>
      <c r="DJ186" s="234"/>
      <c r="DK186" s="234"/>
      <c r="DL186" s="234"/>
      <c r="DM186" s="234"/>
      <c r="DN186" s="234"/>
      <c r="DO186" s="234"/>
      <c r="DP186" s="234"/>
      <c r="DQ186" s="234"/>
      <c r="DR186" s="234"/>
      <c r="DS186" s="234"/>
      <c r="DT186" s="234"/>
    </row>
    <row r="187" spans="1:124" s="231" customFormat="1" ht="17.25" customHeight="1" x14ac:dyDescent="0.35">
      <c r="A187" s="232"/>
      <c r="B187" s="232"/>
      <c r="C187" s="268" t="s">
        <v>1351</v>
      </c>
      <c r="D187" s="372"/>
      <c r="E187" s="232"/>
      <c r="F187" s="120"/>
      <c r="G187" s="232"/>
      <c r="H187" s="232"/>
      <c r="I187" s="232"/>
      <c r="J187" s="232"/>
      <c r="K187" s="232"/>
      <c r="L187" s="232"/>
      <c r="M187" s="232"/>
      <c r="N187" s="232"/>
      <c r="O187" s="232"/>
      <c r="P187" s="232"/>
      <c r="Q187" s="232"/>
      <c r="R187" s="232"/>
      <c r="S187" s="232"/>
      <c r="T187" s="232"/>
      <c r="U187" s="232"/>
      <c r="V187" s="232"/>
      <c r="W187" s="232"/>
      <c r="X187" s="266"/>
      <c r="Y187" s="266"/>
      <c r="Z187" s="266"/>
      <c r="AA187" s="266"/>
      <c r="AB187" s="266"/>
      <c r="AC187" s="266"/>
      <c r="AD187" s="266"/>
      <c r="AE187" s="266"/>
      <c r="AF187" s="266"/>
      <c r="AG187" s="266"/>
      <c r="AH187" s="266"/>
      <c r="AI187" s="266"/>
      <c r="AJ187" s="233"/>
      <c r="AK187" s="233"/>
      <c r="AL187" s="233"/>
      <c r="AM187" s="266"/>
      <c r="AN187" s="266"/>
      <c r="AO187" s="266"/>
      <c r="AP187" s="266"/>
      <c r="AQ187" s="266"/>
      <c r="AR187" s="266"/>
      <c r="AS187" s="266"/>
      <c r="AT187" s="266"/>
      <c r="AU187" s="266"/>
      <c r="AV187" s="266"/>
      <c r="AW187" s="266"/>
      <c r="AX187" s="266"/>
      <c r="AY187" s="31"/>
      <c r="AZ187" s="31"/>
      <c r="BA187" s="31"/>
      <c r="BB187" s="31"/>
      <c r="BC187" s="31"/>
      <c r="BD187" s="31"/>
      <c r="BE187" s="31"/>
      <c r="BF187" s="31"/>
      <c r="BG187" s="31"/>
      <c r="BH187" s="31"/>
      <c r="BI187" s="31"/>
      <c r="BJ187" s="31"/>
      <c r="BK187" s="31"/>
      <c r="BL187" s="31"/>
      <c r="BM187" s="31"/>
      <c r="BN187" s="31"/>
      <c r="BO187" s="31"/>
      <c r="BP187" s="234"/>
      <c r="BQ187" s="234"/>
      <c r="BR187" s="234"/>
      <c r="BS187" s="234"/>
      <c r="BT187" s="234"/>
      <c r="BU187" s="234"/>
      <c r="BV187" s="234"/>
      <c r="BW187" s="234"/>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234"/>
      <c r="CZ187" s="234"/>
      <c r="DA187" s="234"/>
      <c r="DB187" s="234"/>
      <c r="DC187" s="234"/>
      <c r="DD187" s="234"/>
      <c r="DE187" s="234"/>
      <c r="DF187" s="234"/>
      <c r="DG187" s="234"/>
      <c r="DH187" s="234"/>
      <c r="DI187" s="234"/>
      <c r="DJ187" s="234"/>
      <c r="DK187" s="234"/>
      <c r="DL187" s="234"/>
      <c r="DM187" s="234"/>
      <c r="DN187" s="234"/>
      <c r="DO187" s="234"/>
      <c r="DP187" s="234"/>
      <c r="DQ187" s="234"/>
      <c r="DR187" s="234"/>
      <c r="DS187" s="234"/>
      <c r="DT187" s="234"/>
    </row>
    <row r="188" spans="1:124" s="231" customFormat="1" ht="17.25" customHeight="1" x14ac:dyDescent="0.25">
      <c r="A188" s="232"/>
      <c r="B188" s="232"/>
      <c r="C188" s="134" t="s">
        <v>1352</v>
      </c>
      <c r="D188" s="368"/>
      <c r="E188" s="232"/>
      <c r="F188" s="232"/>
      <c r="G188" s="232"/>
      <c r="H188" s="232"/>
      <c r="I188" s="232"/>
      <c r="J188" s="232"/>
      <c r="K188" s="232"/>
      <c r="L188" s="232"/>
      <c r="M188" s="232"/>
      <c r="N188" s="232"/>
      <c r="O188" s="232"/>
      <c r="P188" s="232"/>
      <c r="Q188" s="232"/>
      <c r="R188" s="232"/>
      <c r="S188" s="232"/>
      <c r="T188" s="232"/>
      <c r="U188" s="232"/>
      <c r="V188" s="232"/>
      <c r="W188" s="232"/>
      <c r="X188" s="266"/>
      <c r="Y188" s="266"/>
      <c r="Z188" s="266"/>
      <c r="AA188" s="266"/>
      <c r="AB188" s="266"/>
      <c r="AC188" s="266"/>
      <c r="AD188" s="266"/>
      <c r="AE188" s="266"/>
      <c r="AF188" s="266"/>
      <c r="AG188" s="266"/>
      <c r="AH188" s="266"/>
      <c r="AI188" s="266"/>
      <c r="AJ188" s="233"/>
      <c r="AK188" s="233"/>
      <c r="AL188" s="233"/>
      <c r="AM188" s="266"/>
      <c r="AN188" s="266"/>
      <c r="AO188" s="266"/>
      <c r="AP188" s="266"/>
      <c r="AQ188" s="266"/>
      <c r="AR188" s="266"/>
      <c r="AS188" s="266"/>
      <c r="AT188" s="266"/>
      <c r="AU188" s="266"/>
      <c r="AV188" s="266"/>
      <c r="AW188" s="266"/>
      <c r="AX188" s="266"/>
      <c r="AY188" s="31"/>
      <c r="AZ188" s="31"/>
      <c r="BA188" s="31"/>
      <c r="BB188" s="31"/>
      <c r="BC188" s="31"/>
      <c r="BD188" s="31"/>
      <c r="BE188" s="31"/>
      <c r="BF188" s="31"/>
      <c r="BG188" s="31"/>
      <c r="BH188" s="31"/>
      <c r="BI188" s="31"/>
      <c r="BJ188" s="31"/>
      <c r="BK188" s="31"/>
      <c r="BL188" s="31"/>
      <c r="BM188" s="31"/>
      <c r="BN188" s="31"/>
      <c r="BO188" s="31"/>
      <c r="BP188" s="135"/>
      <c r="BQ188" s="136"/>
      <c r="BR188" s="31"/>
      <c r="BS188" s="31"/>
      <c r="BT188" s="31"/>
      <c r="BU188" s="135"/>
      <c r="BV188" s="136"/>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234"/>
      <c r="CZ188" s="234"/>
      <c r="DA188" s="234"/>
      <c r="DB188" s="234"/>
      <c r="DC188" s="234"/>
      <c r="DD188" s="234"/>
      <c r="DE188" s="234"/>
      <c r="DF188" s="234"/>
      <c r="DG188" s="234"/>
      <c r="DH188" s="234"/>
      <c r="DI188" s="234"/>
      <c r="DJ188" s="234"/>
      <c r="DK188" s="234"/>
      <c r="DL188" s="234"/>
      <c r="DM188" s="234"/>
      <c r="DN188" s="234"/>
      <c r="DO188" s="234"/>
      <c r="DP188" s="234"/>
      <c r="DQ188" s="234"/>
      <c r="DR188" s="234"/>
      <c r="DS188" s="234"/>
      <c r="DT188" s="234"/>
    </row>
    <row r="189" spans="1:124" s="231" customFormat="1" ht="17.25" customHeight="1" x14ac:dyDescent="0.25">
      <c r="A189" s="232"/>
      <c r="B189" s="232"/>
      <c r="C189" s="232"/>
      <c r="D189" s="37"/>
      <c r="E189" s="232"/>
      <c r="F189" s="232"/>
      <c r="G189" s="232"/>
      <c r="H189" s="232"/>
      <c r="I189" s="232"/>
      <c r="J189" s="232"/>
      <c r="K189" s="232"/>
      <c r="L189" s="232"/>
      <c r="M189" s="232"/>
      <c r="N189" s="232"/>
      <c r="O189" s="232"/>
      <c r="P189" s="232"/>
      <c r="Q189" s="232"/>
      <c r="R189" s="232"/>
      <c r="S189" s="232"/>
      <c r="T189" s="232"/>
      <c r="U189" s="232"/>
      <c r="V189" s="232"/>
      <c r="W189" s="232"/>
      <c r="X189" s="266"/>
      <c r="Y189" s="266"/>
      <c r="Z189" s="266"/>
      <c r="AA189" s="266"/>
      <c r="AB189" s="266"/>
      <c r="AC189" s="266"/>
      <c r="AD189" s="266"/>
      <c r="AE189" s="266"/>
      <c r="AF189" s="266"/>
      <c r="AG189" s="266"/>
      <c r="AH189" s="266"/>
      <c r="AI189" s="266"/>
      <c r="AJ189" s="233"/>
      <c r="AK189" s="233"/>
      <c r="AL189" s="233"/>
      <c r="AM189" s="266"/>
      <c r="AN189" s="266"/>
      <c r="AO189" s="266"/>
      <c r="AP189" s="266"/>
      <c r="AQ189" s="266"/>
      <c r="AR189" s="266"/>
      <c r="AS189" s="266"/>
      <c r="AT189" s="266"/>
      <c r="AU189" s="266"/>
      <c r="AV189" s="266"/>
      <c r="AW189" s="266"/>
      <c r="AX189" s="266"/>
      <c r="AY189" s="31"/>
      <c r="AZ189" s="31"/>
      <c r="BA189" s="31"/>
      <c r="BB189" s="31"/>
      <c r="BC189" s="31"/>
      <c r="BD189" s="31"/>
      <c r="BE189" s="31"/>
      <c r="BF189" s="31"/>
      <c r="BG189" s="31"/>
      <c r="BH189" s="31"/>
      <c r="BI189" s="31"/>
      <c r="BJ189" s="31"/>
      <c r="BK189" s="31"/>
      <c r="BL189" s="31"/>
      <c r="BM189" s="31"/>
      <c r="BN189" s="31"/>
      <c r="BO189" s="31"/>
      <c r="BP189" s="135"/>
      <c r="BQ189" s="136"/>
      <c r="BR189" s="31"/>
      <c r="BS189" s="31"/>
      <c r="BT189" s="31"/>
      <c r="BU189" s="31"/>
      <c r="BV189" s="31"/>
      <c r="BW189" s="31"/>
      <c r="BX189" s="31"/>
      <c r="BY189" s="31"/>
      <c r="BZ189" s="31"/>
      <c r="CA189" s="135"/>
      <c r="CB189" s="136"/>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234"/>
      <c r="DF189" s="234"/>
      <c r="DG189" s="234"/>
      <c r="DH189" s="234"/>
      <c r="DI189" s="234"/>
      <c r="DJ189" s="234"/>
      <c r="DK189" s="234"/>
      <c r="DL189" s="31"/>
      <c r="DM189" s="31"/>
      <c r="DN189" s="234"/>
      <c r="DO189" s="234"/>
      <c r="DP189" s="234"/>
      <c r="DQ189" s="234"/>
      <c r="DR189" s="234"/>
      <c r="DS189" s="234"/>
      <c r="DT189" s="234"/>
    </row>
    <row r="190" spans="1:124" s="231" customFormat="1" ht="17.25" customHeight="1" x14ac:dyDescent="0.25">
      <c r="A190" s="232"/>
      <c r="B190" s="232"/>
      <c r="C190" s="268" t="s">
        <v>1092</v>
      </c>
      <c r="D190" s="395"/>
      <c r="E190" s="232"/>
      <c r="F190" s="232"/>
      <c r="G190" s="232"/>
      <c r="H190" s="232"/>
      <c r="I190" s="232"/>
      <c r="J190" s="232"/>
      <c r="K190" s="232"/>
      <c r="L190" s="232"/>
      <c r="M190" s="232"/>
      <c r="N190" s="232"/>
      <c r="O190" s="232"/>
      <c r="P190" s="232"/>
      <c r="Q190" s="232"/>
      <c r="R190" s="232"/>
      <c r="S190" s="232"/>
      <c r="T190" s="232"/>
      <c r="U190" s="232"/>
      <c r="V190" s="232"/>
      <c r="W190" s="232"/>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31"/>
      <c r="AZ190" s="31"/>
      <c r="BA190" s="31"/>
      <c r="BB190" s="31"/>
      <c r="BC190" s="31"/>
      <c r="BD190" s="31"/>
      <c r="BE190" s="31"/>
      <c r="BF190" s="31"/>
      <c r="BG190" s="31"/>
      <c r="BH190" s="31"/>
      <c r="BI190" s="31"/>
      <c r="BJ190" s="31"/>
      <c r="BK190" s="31"/>
      <c r="BL190" s="31"/>
      <c r="BM190" s="31"/>
      <c r="BN190" s="31"/>
      <c r="BO190" s="31"/>
      <c r="BP190" s="135"/>
      <c r="BQ190" s="136"/>
      <c r="BR190" s="31"/>
      <c r="BS190" s="31"/>
      <c r="BT190" s="31"/>
      <c r="BU190" s="31"/>
      <c r="BV190" s="31"/>
      <c r="BW190" s="31"/>
      <c r="BX190" s="31"/>
      <c r="BY190" s="31"/>
      <c r="BZ190" s="31"/>
      <c r="CA190" s="135"/>
      <c r="CB190" s="136"/>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234"/>
      <c r="DF190" s="234"/>
      <c r="DG190" s="234"/>
      <c r="DH190" s="234"/>
      <c r="DI190" s="234"/>
      <c r="DJ190" s="234"/>
      <c r="DK190" s="234"/>
      <c r="DL190" s="31"/>
      <c r="DM190" s="31"/>
      <c r="DN190" s="234"/>
      <c r="DO190" s="234"/>
      <c r="DP190" s="234"/>
      <c r="DQ190" s="234"/>
      <c r="DR190" s="234"/>
      <c r="DS190" s="234"/>
      <c r="DT190" s="234"/>
    </row>
    <row r="191" spans="1:124" s="231" customFormat="1" ht="17.25" customHeight="1" x14ac:dyDescent="0.35">
      <c r="A191" s="232"/>
      <c r="B191" s="232"/>
      <c r="C191" s="268" t="s">
        <v>1351</v>
      </c>
      <c r="D191" s="372"/>
      <c r="E191" s="232"/>
      <c r="F191" s="232"/>
      <c r="G191" s="232"/>
      <c r="H191" s="232"/>
      <c r="I191" s="232"/>
      <c r="J191" s="232"/>
      <c r="K191" s="232"/>
      <c r="L191" s="232"/>
      <c r="M191" s="232"/>
      <c r="N191" s="232"/>
      <c r="O191" s="232"/>
      <c r="P191" s="232"/>
      <c r="Q191" s="232"/>
      <c r="R191" s="232"/>
      <c r="S191" s="232"/>
      <c r="T191" s="232"/>
      <c r="U191" s="232"/>
      <c r="V191" s="232"/>
      <c r="W191" s="232"/>
      <c r="X191" s="233"/>
      <c r="Y191" s="233"/>
      <c r="Z191" s="233"/>
      <c r="AA191" s="233"/>
      <c r="AB191" s="233"/>
      <c r="AC191" s="233"/>
      <c r="AD191" s="233"/>
      <c r="AE191" s="233"/>
      <c r="AF191" s="233"/>
      <c r="AG191" s="233"/>
      <c r="AH191" s="266"/>
      <c r="AI191" s="266"/>
      <c r="AJ191" s="266"/>
      <c r="AK191" s="266"/>
      <c r="AL191" s="266"/>
      <c r="AM191" s="266"/>
      <c r="AN191" s="266"/>
      <c r="AO191" s="266"/>
      <c r="AP191" s="266"/>
      <c r="AQ191" s="266"/>
      <c r="AR191" s="266"/>
      <c r="AS191" s="266"/>
      <c r="AT191" s="266"/>
      <c r="AU191" s="266"/>
      <c r="AV191" s="266"/>
      <c r="AW191" s="266"/>
      <c r="AX191" s="266"/>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234"/>
      <c r="DE191" s="234"/>
      <c r="DF191" s="234"/>
      <c r="DG191" s="234"/>
      <c r="DH191" s="234"/>
      <c r="DI191" s="234"/>
      <c r="DJ191" s="234"/>
      <c r="DK191" s="234"/>
      <c r="DL191" s="31"/>
      <c r="DM191" s="234"/>
      <c r="DN191" s="234"/>
      <c r="DO191" s="234"/>
      <c r="DP191" s="234"/>
      <c r="DQ191" s="234"/>
      <c r="DR191" s="234"/>
      <c r="DS191" s="234"/>
      <c r="DT191" s="234"/>
    </row>
    <row r="192" spans="1:124" s="231" customFormat="1" ht="17.25" customHeight="1" x14ac:dyDescent="0.25">
      <c r="A192" s="232"/>
      <c r="B192" s="232"/>
      <c r="C192" s="134" t="s">
        <v>1352</v>
      </c>
      <c r="D192" s="368"/>
      <c r="E192" s="232"/>
      <c r="F192" s="232"/>
      <c r="G192" s="232"/>
      <c r="H192" s="232"/>
      <c r="I192" s="232"/>
      <c r="J192" s="232"/>
      <c r="K192" s="232"/>
      <c r="L192" s="232"/>
      <c r="M192" s="232"/>
      <c r="N192" s="232"/>
      <c r="O192" s="232"/>
      <c r="P192" s="232"/>
      <c r="Q192" s="232"/>
      <c r="R192" s="232"/>
      <c r="S192" s="232"/>
      <c r="T192" s="232"/>
      <c r="U192" s="232"/>
      <c r="V192" s="232"/>
      <c r="W192" s="232"/>
      <c r="X192" s="233"/>
      <c r="Y192" s="233"/>
      <c r="Z192" s="233"/>
      <c r="AA192" s="233"/>
      <c r="AB192" s="233"/>
      <c r="AC192" s="233"/>
      <c r="AD192" s="233"/>
      <c r="AE192" s="233"/>
      <c r="AF192" s="233"/>
      <c r="AG192" s="233"/>
      <c r="AH192" s="266"/>
      <c r="AI192" s="266"/>
      <c r="AJ192" s="266"/>
      <c r="AK192" s="266"/>
      <c r="AL192" s="266"/>
      <c r="AM192" s="266"/>
      <c r="AN192" s="266"/>
      <c r="AO192" s="266"/>
      <c r="AP192" s="266"/>
      <c r="AQ192" s="266"/>
      <c r="AR192" s="266"/>
      <c r="AS192" s="266"/>
      <c r="AT192" s="266"/>
      <c r="AU192" s="266"/>
      <c r="AV192" s="266"/>
      <c r="AW192" s="266"/>
      <c r="AX192" s="266"/>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234"/>
      <c r="DE192" s="234"/>
      <c r="DF192" s="234"/>
      <c r="DG192" s="234"/>
      <c r="DH192" s="234"/>
      <c r="DI192" s="234"/>
      <c r="DJ192" s="234"/>
      <c r="DK192" s="234"/>
      <c r="DL192" s="31"/>
      <c r="DM192" s="234"/>
      <c r="DN192" s="234"/>
      <c r="DO192" s="234"/>
      <c r="DP192" s="234"/>
      <c r="DQ192" s="234"/>
      <c r="DR192" s="234"/>
      <c r="DS192" s="234"/>
      <c r="DT192" s="234"/>
    </row>
    <row r="193" spans="1:156" s="231" customFormat="1" ht="17.25" customHeight="1" x14ac:dyDescent="0.25">
      <c r="A193" s="232"/>
      <c r="B193" s="232"/>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3"/>
      <c r="Y193" s="233"/>
      <c r="Z193" s="233"/>
      <c r="AA193" s="233"/>
      <c r="AB193" s="233"/>
      <c r="AC193" s="233"/>
      <c r="AD193" s="233"/>
      <c r="AE193" s="233"/>
      <c r="AF193" s="233"/>
      <c r="AG193" s="233"/>
      <c r="AH193" s="266"/>
      <c r="AI193" s="266"/>
      <c r="AJ193" s="266"/>
      <c r="AK193" s="266"/>
      <c r="AL193" s="266"/>
      <c r="AM193" s="266"/>
      <c r="AN193" s="266"/>
      <c r="AO193" s="266"/>
      <c r="AP193" s="266"/>
      <c r="AQ193" s="266"/>
      <c r="AR193" s="266"/>
      <c r="AS193" s="266"/>
      <c r="AT193" s="266"/>
      <c r="AU193" s="266"/>
      <c r="AV193" s="266"/>
      <c r="AW193" s="266"/>
      <c r="AX193" s="266"/>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234"/>
      <c r="DE193" s="234"/>
      <c r="DF193" s="234"/>
      <c r="DG193" s="234"/>
      <c r="DH193" s="234"/>
      <c r="DI193" s="234"/>
      <c r="DJ193" s="234"/>
      <c r="DK193" s="234"/>
      <c r="DL193" s="31"/>
      <c r="DM193" s="234"/>
      <c r="DN193" s="234"/>
      <c r="DO193" s="234"/>
      <c r="DP193" s="234"/>
      <c r="DQ193" s="234"/>
      <c r="DR193" s="234"/>
      <c r="DS193" s="234"/>
      <c r="DT193" s="234"/>
    </row>
    <row r="194" spans="1:156" s="231" customFormat="1" ht="17.25" customHeight="1" x14ac:dyDescent="0.25">
      <c r="A194" s="232"/>
      <c r="B194" s="232"/>
      <c r="C194" s="268" t="s">
        <v>1353</v>
      </c>
      <c r="D194" s="375" t="e">
        <f>('Indata byggnad och BBR krav'!$C$16*D183/100*D184+'Indata byggnad och BBR krav'!$C$16*D187/100*D188+'Indata byggnad och BBR krav'!$C$16*D191/100*D192)/'Indata byggnad och BBR krav'!$C$16</f>
        <v>#DIV/0!</v>
      </c>
      <c r="E194" s="232"/>
      <c r="F194" s="232"/>
      <c r="G194" s="232"/>
      <c r="H194" s="232"/>
      <c r="I194" s="232"/>
      <c r="J194" s="232"/>
      <c r="K194" s="232"/>
      <c r="L194" s="232"/>
      <c r="M194" s="232"/>
      <c r="N194" s="232"/>
      <c r="O194" s="232"/>
      <c r="P194" s="232"/>
      <c r="Q194" s="232"/>
      <c r="R194" s="232"/>
      <c r="S194" s="232"/>
      <c r="T194" s="232"/>
      <c r="U194" s="232"/>
      <c r="V194" s="232"/>
      <c r="W194" s="232"/>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234"/>
      <c r="DE194" s="234"/>
      <c r="DF194" s="234"/>
      <c r="DG194" s="234"/>
      <c r="DH194" s="234"/>
      <c r="DI194" s="234"/>
      <c r="DJ194" s="234"/>
      <c r="DK194" s="234"/>
      <c r="DL194" s="31"/>
      <c r="DM194" s="234"/>
      <c r="DN194" s="234"/>
      <c r="DO194" s="234"/>
      <c r="DP194" s="234"/>
      <c r="DQ194" s="234"/>
      <c r="DR194" s="234"/>
      <c r="DS194" s="234"/>
      <c r="DT194" s="234"/>
    </row>
    <row r="195" spans="1:156" s="231" customFormat="1" ht="17.25" customHeight="1" x14ac:dyDescent="0.25">
      <c r="A195" s="232"/>
      <c r="B195" s="232"/>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3"/>
      <c r="Y195" s="233"/>
      <c r="Z195" s="233"/>
      <c r="AA195" s="233"/>
      <c r="AB195" s="233"/>
      <c r="AC195" s="233"/>
      <c r="AD195" s="233"/>
      <c r="AE195" s="233"/>
      <c r="AF195" s="233"/>
      <c r="AG195" s="233"/>
      <c r="AH195" s="266"/>
      <c r="AI195" s="266"/>
      <c r="AJ195" s="266"/>
      <c r="AK195" s="266"/>
      <c r="AL195" s="266"/>
      <c r="AM195" s="266"/>
      <c r="AN195" s="266"/>
      <c r="AO195" s="266"/>
      <c r="AP195" s="266"/>
      <c r="AQ195" s="266"/>
      <c r="AR195" s="266"/>
      <c r="AS195" s="266"/>
      <c r="AT195" s="266"/>
      <c r="AU195" s="266"/>
      <c r="AV195" s="266"/>
      <c r="AW195" s="266"/>
      <c r="AX195" s="266"/>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row>
    <row r="196" spans="1:156" s="231" customFormat="1" ht="17.25" customHeight="1" x14ac:dyDescent="0.25">
      <c r="A196" s="232"/>
      <c r="B196" s="232"/>
      <c r="C196" s="365" t="s">
        <v>1354</v>
      </c>
      <c r="D196" s="389" t="str">
        <f>IF('Indata byggnad och BBR krav'!$C$17&gt;0,IF('Indata byggnad och BBR krav'!$C$20="JA",22,21),"")</f>
        <v/>
      </c>
      <c r="E196" s="232"/>
      <c r="F196" s="232"/>
      <c r="G196" s="232"/>
      <c r="H196" s="232"/>
      <c r="I196" s="232"/>
      <c r="J196" s="232"/>
      <c r="K196" s="232"/>
      <c r="L196" s="232"/>
      <c r="M196" s="232"/>
      <c r="N196" s="232"/>
      <c r="O196" s="232"/>
      <c r="P196" s="232"/>
      <c r="Q196" s="232"/>
      <c r="R196" s="232"/>
      <c r="S196" s="232"/>
      <c r="T196" s="232"/>
      <c r="U196" s="232"/>
      <c r="V196" s="232"/>
      <c r="W196" s="232"/>
      <c r="X196" s="233"/>
      <c r="Y196" s="233"/>
      <c r="Z196" s="233"/>
      <c r="AA196" s="233"/>
      <c r="AB196" s="233"/>
      <c r="AC196" s="233"/>
      <c r="AD196" s="233"/>
      <c r="AE196" s="233"/>
      <c r="AF196" s="233"/>
      <c r="AG196" s="233"/>
      <c r="AH196" s="266"/>
      <c r="AI196" s="266"/>
      <c r="AJ196" s="266"/>
      <c r="AK196" s="266"/>
      <c r="AL196" s="266"/>
      <c r="AM196" s="266"/>
      <c r="AN196" s="266"/>
      <c r="AO196" s="266"/>
      <c r="AP196" s="266"/>
      <c r="AQ196" s="266"/>
      <c r="AR196" s="266"/>
      <c r="AS196" s="266"/>
      <c r="AT196" s="266"/>
      <c r="AU196" s="266"/>
      <c r="AV196" s="266"/>
      <c r="AW196" s="266"/>
      <c r="AX196" s="266"/>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234"/>
      <c r="DE196" s="234"/>
      <c r="DF196" s="234"/>
      <c r="DG196" s="234"/>
      <c r="DH196" s="234"/>
      <c r="DI196" s="234"/>
      <c r="DJ196" s="234"/>
      <c r="DK196" s="234"/>
      <c r="DL196" s="31"/>
      <c r="DM196" s="234"/>
      <c r="DN196" s="234"/>
      <c r="DO196" s="234"/>
      <c r="DP196" s="234"/>
      <c r="DQ196" s="234"/>
      <c r="DR196" s="234"/>
      <c r="DS196" s="234"/>
      <c r="DT196" s="234"/>
    </row>
    <row r="197" spans="1:156" s="231" customFormat="1" ht="17.25" hidden="1" customHeight="1" x14ac:dyDescent="0.25">
      <c r="A197" s="232"/>
      <c r="B197" s="232"/>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3"/>
      <c r="Y197" s="233"/>
      <c r="Z197" s="233"/>
      <c r="AA197" s="233"/>
      <c r="AB197" s="233"/>
      <c r="AC197" s="233"/>
      <c r="AD197" s="233"/>
      <c r="AE197" s="233"/>
      <c r="AF197" s="233"/>
      <c r="AG197" s="233"/>
      <c r="AH197" s="266"/>
      <c r="AI197" s="266"/>
      <c r="AJ197" s="266"/>
      <c r="AK197" s="266"/>
      <c r="AL197" s="266"/>
      <c r="AM197" s="266"/>
      <c r="AN197" s="266"/>
      <c r="AO197" s="266"/>
      <c r="AP197" s="266"/>
      <c r="AQ197" s="266"/>
      <c r="AR197" s="266"/>
      <c r="AS197" s="266"/>
      <c r="AT197" s="266"/>
      <c r="AU197" s="266"/>
      <c r="AV197" s="266"/>
      <c r="AW197" s="266"/>
      <c r="AX197" s="266"/>
      <c r="AY197" s="31"/>
      <c r="AZ197" s="31"/>
      <c r="BA197" s="31"/>
      <c r="BB197" s="31"/>
      <c r="BC197" s="234"/>
      <c r="BD197" s="234"/>
      <c r="BE197" s="234"/>
      <c r="BF197" s="234"/>
      <c r="BG197" s="234"/>
      <c r="BH197" s="234"/>
      <c r="BI197" s="234"/>
      <c r="BJ197" s="234"/>
      <c r="BK197" s="31"/>
      <c r="BL197" s="31"/>
      <c r="BM197" s="31"/>
      <c r="BN197" s="31"/>
      <c r="BO197" s="31"/>
      <c r="BP197" s="234"/>
      <c r="BQ197" s="234"/>
      <c r="BR197" s="234"/>
      <c r="BS197" s="234"/>
      <c r="BT197" s="234"/>
      <c r="BU197" s="234"/>
      <c r="BV197" s="234"/>
      <c r="BW197" s="234"/>
      <c r="BX197" s="234"/>
      <c r="BY197" s="234"/>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234"/>
      <c r="DE197" s="234"/>
      <c r="DF197" s="234"/>
      <c r="DG197" s="234"/>
      <c r="DH197" s="234"/>
      <c r="DI197" s="234"/>
      <c r="DJ197" s="234"/>
      <c r="DK197" s="234"/>
      <c r="DL197" s="31"/>
      <c r="DM197" s="234"/>
      <c r="DN197" s="234"/>
      <c r="DO197" s="234"/>
      <c r="DP197" s="234"/>
      <c r="DQ197" s="234"/>
      <c r="DR197" s="234"/>
      <c r="DS197" s="234"/>
      <c r="DT197" s="234"/>
    </row>
    <row r="198" spans="1:156" s="231" customFormat="1" ht="17.25" customHeight="1" x14ac:dyDescent="0.25">
      <c r="A198" s="232"/>
      <c r="B198" s="232"/>
      <c r="C198" s="365" t="s">
        <v>1355</v>
      </c>
      <c r="D198" s="389">
        <v>21</v>
      </c>
      <c r="E198" s="232"/>
      <c r="F198" s="232"/>
      <c r="G198" s="232"/>
      <c r="H198" s="232"/>
      <c r="I198" s="232"/>
      <c r="J198" s="232"/>
      <c r="K198" s="232"/>
      <c r="L198" s="232"/>
      <c r="M198" s="232"/>
      <c r="N198" s="232"/>
      <c r="O198" s="232"/>
      <c r="P198" s="232"/>
      <c r="Q198" s="232"/>
      <c r="R198" s="232"/>
      <c r="S198" s="232"/>
      <c r="T198" s="232"/>
      <c r="U198" s="232"/>
      <c r="V198" s="232"/>
      <c r="W198" s="232"/>
      <c r="X198" s="233"/>
      <c r="Y198" s="233"/>
      <c r="Z198" s="233"/>
      <c r="AA198" s="233"/>
      <c r="AB198" s="233"/>
      <c r="AC198" s="233"/>
      <c r="AD198" s="233"/>
      <c r="AE198" s="233"/>
      <c r="AF198" s="233"/>
      <c r="AG198" s="233"/>
      <c r="AH198" s="266"/>
      <c r="AI198" s="266"/>
      <c r="AJ198" s="266"/>
      <c r="AK198" s="266"/>
      <c r="AL198" s="266"/>
      <c r="AM198" s="266"/>
      <c r="AN198" s="266"/>
      <c r="AO198" s="266"/>
      <c r="AP198" s="266"/>
      <c r="AQ198" s="266"/>
      <c r="AR198" s="266"/>
      <c r="AS198" s="266"/>
      <c r="AT198" s="266"/>
      <c r="AU198" s="266"/>
      <c r="AV198" s="266"/>
      <c r="AW198" s="266"/>
      <c r="AX198" s="266"/>
      <c r="AY198" s="31"/>
      <c r="AZ198" s="31"/>
      <c r="BA198" s="31"/>
      <c r="BB198" s="31"/>
      <c r="BC198" s="234"/>
      <c r="BD198" s="234"/>
      <c r="BE198" s="234"/>
      <c r="BF198" s="234"/>
      <c r="BG198" s="234"/>
      <c r="BH198" s="234"/>
      <c r="BI198" s="234"/>
      <c r="BJ198" s="234"/>
      <c r="BK198" s="31"/>
      <c r="BL198" s="31"/>
      <c r="BM198" s="31"/>
      <c r="BN198" s="31"/>
      <c r="BO198" s="31"/>
      <c r="BP198" s="234"/>
      <c r="BQ198" s="234"/>
      <c r="BR198" s="234"/>
      <c r="BS198" s="234"/>
      <c r="BT198" s="234"/>
      <c r="BU198" s="234"/>
      <c r="BV198" s="234"/>
      <c r="BW198" s="234"/>
      <c r="BX198" s="234"/>
      <c r="BY198" s="234"/>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234"/>
      <c r="DE198" s="234"/>
      <c r="DF198" s="234"/>
      <c r="DG198" s="234"/>
      <c r="DH198" s="234"/>
      <c r="DI198" s="234"/>
      <c r="DJ198" s="234"/>
      <c r="DK198" s="234"/>
      <c r="DL198" s="31"/>
      <c r="DM198" s="234"/>
      <c r="DN198" s="234"/>
      <c r="DO198" s="234"/>
      <c r="DP198" s="234"/>
      <c r="DQ198" s="234"/>
      <c r="DR198" s="234"/>
      <c r="DS198" s="234"/>
      <c r="DT198" s="234"/>
    </row>
    <row r="199" spans="1:156" s="232" customFormat="1" x14ac:dyDescent="0.25">
      <c r="X199" s="233"/>
      <c r="Y199" s="233"/>
      <c r="Z199" s="233"/>
      <c r="AA199" s="233"/>
      <c r="AB199" s="233"/>
      <c r="AC199" s="233"/>
      <c r="AD199" s="233"/>
      <c r="AE199" s="233"/>
      <c r="AF199" s="233"/>
      <c r="AG199" s="233"/>
      <c r="AH199" s="266"/>
      <c r="AI199" s="266"/>
      <c r="AJ199" s="266"/>
      <c r="AK199" s="266"/>
      <c r="AL199" s="266"/>
      <c r="AM199" s="266"/>
      <c r="AN199" s="266"/>
      <c r="AO199" s="266"/>
      <c r="AP199" s="266"/>
      <c r="AQ199" s="266"/>
      <c r="AR199" s="266"/>
      <c r="AS199" s="266"/>
      <c r="AT199" s="266"/>
      <c r="AU199" s="266"/>
      <c r="AV199" s="266"/>
      <c r="AW199" s="266"/>
      <c r="AX199" s="266"/>
      <c r="AY199" s="31"/>
      <c r="AZ199" s="31"/>
      <c r="BA199" s="31"/>
      <c r="BB199" s="31"/>
      <c r="BC199" s="234"/>
      <c r="BD199" s="234"/>
      <c r="BE199" s="234"/>
      <c r="BF199" s="234"/>
      <c r="BG199" s="234"/>
      <c r="BH199" s="234"/>
      <c r="BI199" s="234"/>
      <c r="BJ199" s="234"/>
      <c r="BK199" s="31"/>
      <c r="BL199" s="31"/>
      <c r="BM199" s="31"/>
      <c r="BN199" s="31"/>
      <c r="BO199" s="234"/>
      <c r="BP199" s="234"/>
      <c r="BQ199" s="234"/>
      <c r="BR199" s="234"/>
      <c r="BS199" s="234"/>
      <c r="BT199" s="234"/>
      <c r="BU199" s="234"/>
      <c r="BV199" s="234"/>
      <c r="BW199" s="234"/>
      <c r="BX199" s="234"/>
      <c r="BY199" s="234"/>
      <c r="BZ199" s="234"/>
      <c r="CA199" s="234"/>
      <c r="CB199" s="234"/>
      <c r="CC199" s="234"/>
      <c r="CD199" s="234"/>
      <c r="CE199" s="234"/>
      <c r="CF199" s="234"/>
      <c r="CG199" s="234"/>
      <c r="CH199" s="234"/>
      <c r="CI199" s="234"/>
      <c r="CJ199" s="234"/>
      <c r="CK199" s="234"/>
      <c r="CL199" s="234"/>
      <c r="CM199" s="234"/>
      <c r="CN199" s="234"/>
      <c r="CO199" s="234"/>
      <c r="CP199" s="234"/>
      <c r="CQ199" s="234"/>
      <c r="CR199" s="234"/>
      <c r="CS199" s="234"/>
      <c r="CT199" s="234"/>
      <c r="CU199" s="234"/>
      <c r="CV199" s="234"/>
      <c r="CW199" s="234"/>
      <c r="CX199" s="234"/>
      <c r="CY199" s="234"/>
      <c r="CZ199" s="31"/>
      <c r="DA199" s="31"/>
      <c r="DB199" s="31"/>
      <c r="DC199" s="31"/>
      <c r="DD199" s="234"/>
      <c r="DE199" s="234"/>
      <c r="DF199" s="234"/>
      <c r="DG199" s="234"/>
      <c r="DH199" s="234"/>
      <c r="DI199" s="234"/>
      <c r="DJ199" s="234"/>
      <c r="DK199" s="234"/>
      <c r="DL199" s="31"/>
      <c r="DM199" s="234"/>
      <c r="DN199" s="234"/>
      <c r="DO199" s="234"/>
      <c r="DP199" s="234"/>
      <c r="DQ199" s="234"/>
      <c r="DR199" s="234"/>
      <c r="DS199" s="234"/>
      <c r="DT199" s="234"/>
      <c r="DU199" s="231"/>
      <c r="DV199" s="231"/>
      <c r="DW199" s="231"/>
      <c r="DX199" s="231"/>
      <c r="DY199" s="231"/>
      <c r="DZ199" s="231"/>
      <c r="EA199" s="231"/>
      <c r="EB199" s="231"/>
      <c r="EC199" s="231"/>
      <c r="ED199" s="231"/>
      <c r="EE199" s="231"/>
      <c r="EF199" s="231"/>
      <c r="EG199" s="231"/>
      <c r="EH199" s="231"/>
      <c r="EI199" s="231"/>
      <c r="EJ199" s="231"/>
      <c r="EK199" s="231"/>
      <c r="EL199" s="231"/>
      <c r="EM199" s="231"/>
      <c r="EN199" s="231"/>
      <c r="EO199" s="231"/>
      <c r="EP199" s="231"/>
      <c r="EQ199" s="231"/>
      <c r="ER199" s="231"/>
      <c r="ES199" s="231"/>
      <c r="ET199" s="231"/>
      <c r="EU199" s="231"/>
      <c r="EV199" s="231"/>
      <c r="EW199" s="231"/>
      <c r="EX199" s="231"/>
      <c r="EY199" s="231"/>
      <c r="EZ199" s="231"/>
    </row>
    <row r="200" spans="1:156" s="231" customFormat="1" x14ac:dyDescent="0.25">
      <c r="A200" s="232"/>
      <c r="B200" s="232"/>
      <c r="C200" s="232"/>
      <c r="D200" s="120" t="str">
        <f>IF(D183="","",(IF(OR((D183+D187+D191)&lt;100,(D183+D187+D191)&gt;100),"OBS! Summan av areaandel av Atemp i % ska vara 100%!","")))</f>
        <v/>
      </c>
      <c r="E200" s="232"/>
      <c r="F200" s="232"/>
      <c r="G200" s="232"/>
      <c r="H200" s="232"/>
      <c r="I200" s="232"/>
      <c r="J200" s="232"/>
      <c r="K200" s="232"/>
      <c r="L200" s="232"/>
      <c r="M200" s="232"/>
      <c r="N200" s="232"/>
      <c r="O200" s="232"/>
      <c r="P200" s="232"/>
      <c r="Q200" s="232"/>
      <c r="R200" s="232"/>
      <c r="S200" s="232"/>
      <c r="T200" s="232"/>
      <c r="U200" s="232"/>
      <c r="V200" s="232"/>
      <c r="W200" s="232"/>
      <c r="X200" s="233"/>
      <c r="Y200" s="233"/>
      <c r="Z200" s="233"/>
      <c r="AA200" s="233"/>
      <c r="AB200" s="233"/>
      <c r="AC200" s="233"/>
      <c r="AD200" s="233"/>
      <c r="AE200" s="233"/>
      <c r="AF200" s="233"/>
      <c r="AG200" s="233"/>
      <c r="AH200" s="266"/>
      <c r="AI200" s="266"/>
      <c r="AJ200" s="266"/>
      <c r="AK200" s="233"/>
      <c r="AL200" s="233"/>
      <c r="AM200" s="233"/>
      <c r="AN200" s="233"/>
      <c r="AO200" s="233"/>
      <c r="AP200" s="233"/>
      <c r="AQ200" s="233"/>
      <c r="AR200" s="233"/>
      <c r="AS200" s="233"/>
      <c r="AT200" s="233"/>
      <c r="AU200" s="233"/>
      <c r="AV200" s="233"/>
      <c r="AW200" s="233"/>
      <c r="AX200" s="233"/>
      <c r="AY200" s="31"/>
      <c r="AZ200" s="31"/>
      <c r="BA200" s="31"/>
      <c r="BB200" s="31"/>
      <c r="BC200" s="234"/>
      <c r="BD200" s="234"/>
      <c r="BE200" s="234"/>
      <c r="BF200" s="234"/>
      <c r="BG200" s="234"/>
      <c r="BH200" s="234"/>
      <c r="BI200" s="234"/>
      <c r="BJ200" s="234"/>
      <c r="BK200" s="31"/>
      <c r="BL200" s="234"/>
      <c r="BM200" s="234"/>
      <c r="BN200" s="234"/>
      <c r="BO200" s="234"/>
      <c r="BP200" s="234"/>
      <c r="BQ200" s="234"/>
      <c r="BR200" s="234"/>
      <c r="BS200" s="234"/>
      <c r="BT200" s="234"/>
      <c r="BU200" s="234"/>
      <c r="BV200" s="234"/>
      <c r="BW200" s="234"/>
      <c r="BX200" s="234"/>
      <c r="BY200" s="234"/>
      <c r="BZ200" s="234"/>
      <c r="CA200" s="234"/>
      <c r="CB200" s="234"/>
      <c r="CC200" s="234"/>
      <c r="CD200" s="234"/>
      <c r="CE200" s="234"/>
      <c r="CF200" s="234"/>
      <c r="CG200" s="234"/>
      <c r="CH200" s="234"/>
      <c r="CI200" s="234"/>
      <c r="CJ200" s="234"/>
      <c r="CK200" s="234"/>
      <c r="CL200" s="234"/>
      <c r="CM200" s="234"/>
      <c r="CN200" s="234"/>
      <c r="CO200" s="234"/>
      <c r="CP200" s="234"/>
      <c r="CQ200" s="234"/>
      <c r="CR200" s="234"/>
      <c r="CS200" s="234"/>
      <c r="CT200" s="234"/>
      <c r="CU200" s="234"/>
      <c r="CV200" s="234"/>
      <c r="CW200" s="234"/>
      <c r="CX200" s="234"/>
      <c r="CY200" s="234"/>
      <c r="CZ200" s="234"/>
      <c r="DA200" s="234"/>
      <c r="DB200" s="234"/>
      <c r="DC200" s="234"/>
      <c r="DD200" s="234"/>
      <c r="DE200" s="234"/>
      <c r="DF200" s="234"/>
      <c r="DG200" s="234"/>
      <c r="DH200" s="234"/>
      <c r="DI200" s="234"/>
      <c r="DJ200" s="234"/>
      <c r="DK200" s="234"/>
      <c r="DL200" s="234"/>
      <c r="DM200" s="234"/>
      <c r="DN200" s="234"/>
      <c r="DO200" s="234"/>
      <c r="DP200" s="234"/>
      <c r="DQ200" s="234"/>
      <c r="DR200" s="234"/>
      <c r="DS200" s="234"/>
      <c r="DT200" s="234"/>
    </row>
    <row r="201" spans="1:156" s="231" customFormat="1" x14ac:dyDescent="0.25">
      <c r="A201" s="232"/>
      <c r="D201" s="235" t="str">
        <f>IF(D184="","",(IF(D194&lt;10,"OBS! Se över din indata, genomsnittlig inomhustemperatur kan inte vara lägre än 10 grader!","")))</f>
        <v/>
      </c>
      <c r="E201" s="232"/>
      <c r="H201" s="232"/>
      <c r="K201" s="232"/>
      <c r="N201" s="232"/>
      <c r="W201" s="232"/>
      <c r="X201" s="233"/>
      <c r="Y201" s="233"/>
      <c r="Z201" s="233"/>
      <c r="AA201" s="233"/>
      <c r="AB201" s="233"/>
      <c r="AC201" s="233"/>
      <c r="AD201" s="233"/>
      <c r="AE201" s="233"/>
      <c r="AF201" s="233"/>
      <c r="AG201" s="233"/>
      <c r="AH201" s="266"/>
      <c r="AI201" s="266"/>
      <c r="AJ201" s="266"/>
      <c r="AK201" s="233"/>
      <c r="AL201" s="233"/>
      <c r="AM201" s="233"/>
      <c r="AN201" s="233"/>
      <c r="AO201" s="233"/>
      <c r="AP201" s="233"/>
      <c r="AQ201" s="233"/>
      <c r="AR201" s="233"/>
      <c r="AS201" s="233"/>
      <c r="AT201" s="233"/>
      <c r="AU201" s="233"/>
      <c r="AV201" s="233"/>
      <c r="AW201" s="233"/>
      <c r="AX201" s="233"/>
      <c r="AY201" s="31"/>
      <c r="AZ201" s="31"/>
      <c r="BA201" s="31"/>
      <c r="BB201" s="31"/>
      <c r="BC201" s="234"/>
      <c r="BD201" s="234"/>
      <c r="BE201" s="310" t="s">
        <v>1418</v>
      </c>
      <c r="BF201" s="234"/>
      <c r="BG201" s="234"/>
      <c r="BH201" s="234"/>
      <c r="BI201" s="234"/>
      <c r="BJ201" s="234"/>
      <c r="BK201" s="31"/>
      <c r="BL201" s="234"/>
      <c r="BM201" s="234"/>
      <c r="BN201" s="234"/>
      <c r="BO201" s="234"/>
      <c r="BP201" s="234"/>
      <c r="BQ201" s="234"/>
      <c r="BR201" s="234"/>
      <c r="BS201" s="234"/>
      <c r="BT201" s="234"/>
      <c r="BU201" s="234"/>
      <c r="BV201" s="234"/>
      <c r="BW201" s="234"/>
      <c r="BX201" s="234"/>
      <c r="BY201" s="234"/>
      <c r="BZ201" s="234"/>
      <c r="CA201" s="234"/>
      <c r="CB201" s="234"/>
      <c r="CC201" s="234"/>
      <c r="CD201" s="234"/>
      <c r="CE201" s="234"/>
      <c r="CF201" s="234"/>
      <c r="CG201" s="234"/>
      <c r="CH201" s="234"/>
      <c r="CI201" s="234"/>
      <c r="CJ201" s="234"/>
      <c r="CK201" s="234"/>
      <c r="CL201" s="234"/>
      <c r="CM201" s="234"/>
      <c r="CN201" s="234"/>
      <c r="CO201" s="234"/>
      <c r="CP201" s="234"/>
      <c r="CQ201" s="234"/>
      <c r="CR201" s="234"/>
      <c r="CS201" s="234"/>
      <c r="CT201" s="234"/>
      <c r="CU201" s="234"/>
      <c r="CV201" s="234"/>
      <c r="CW201" s="234"/>
      <c r="CX201" s="234"/>
      <c r="CY201" s="234"/>
      <c r="CZ201" s="234"/>
      <c r="DA201" s="234"/>
      <c r="DB201" s="234"/>
      <c r="DC201" s="234"/>
      <c r="DD201" s="234"/>
      <c r="DE201" s="234"/>
      <c r="DF201" s="234"/>
      <c r="DG201" s="234"/>
      <c r="DH201" s="234"/>
      <c r="DI201" s="234"/>
      <c r="DJ201" s="234"/>
      <c r="DK201" s="234"/>
      <c r="DL201" s="234"/>
      <c r="DM201" s="234"/>
      <c r="DN201" s="234"/>
      <c r="DO201" s="234"/>
      <c r="DP201" s="234"/>
      <c r="DQ201" s="234"/>
      <c r="DR201" s="234"/>
      <c r="DS201" s="234"/>
      <c r="DT201" s="234"/>
      <c r="DU201" s="232"/>
      <c r="DV201" s="232"/>
      <c r="DW201" s="232"/>
      <c r="DX201" s="232"/>
      <c r="DY201" s="232"/>
      <c r="DZ201" s="232"/>
      <c r="EA201" s="232"/>
      <c r="EB201" s="232"/>
      <c r="EC201" s="232"/>
      <c r="ED201" s="232"/>
      <c r="EE201" s="232"/>
      <c r="EF201" s="232"/>
      <c r="EG201" s="232"/>
      <c r="EH201" s="232"/>
      <c r="EI201" s="232"/>
      <c r="EJ201" s="232"/>
      <c r="EK201" s="232"/>
      <c r="EL201" s="232"/>
      <c r="EM201" s="232"/>
      <c r="EN201" s="232"/>
      <c r="EO201" s="232"/>
      <c r="EP201" s="232"/>
      <c r="EQ201" s="232"/>
      <c r="ER201" s="232"/>
      <c r="ES201" s="232"/>
      <c r="ET201" s="232"/>
      <c r="EU201" s="232"/>
      <c r="EV201" s="232"/>
      <c r="EW201" s="232"/>
      <c r="EX201" s="232"/>
      <c r="EY201" s="232"/>
      <c r="EZ201" s="232"/>
    </row>
    <row r="202" spans="1:156" s="231" customFormat="1" x14ac:dyDescent="0.25">
      <c r="A202" s="232"/>
      <c r="H202" s="232"/>
      <c r="K202" s="232"/>
      <c r="N202" s="232"/>
      <c r="W202" s="232"/>
      <c r="X202" s="233"/>
      <c r="Y202" s="233"/>
      <c r="Z202" s="233"/>
      <c r="AA202" s="242"/>
      <c r="AB202" s="233"/>
      <c r="AC202" s="233"/>
      <c r="AD202" s="233"/>
      <c r="AE202" s="233"/>
      <c r="AF202" s="233"/>
      <c r="AG202" s="233"/>
      <c r="AH202" s="266"/>
      <c r="AI202" s="266"/>
      <c r="AJ202" s="266"/>
      <c r="AK202" s="233"/>
      <c r="AL202" s="233"/>
      <c r="AM202" s="233"/>
      <c r="AN202" s="233"/>
      <c r="AO202" s="233"/>
      <c r="AP202" s="233"/>
      <c r="AQ202" s="233"/>
      <c r="AR202" s="233"/>
      <c r="AS202" s="233"/>
      <c r="AT202" s="233"/>
      <c r="AU202" s="233"/>
      <c r="AV202" s="233"/>
      <c r="AW202" s="233"/>
      <c r="AX202" s="233"/>
      <c r="AY202" s="234"/>
      <c r="AZ202" s="234"/>
      <c r="BA202" s="234"/>
      <c r="BB202" s="234"/>
      <c r="BC202" s="234"/>
      <c r="BD202" s="234"/>
      <c r="BE202" s="234"/>
      <c r="BF202" s="234"/>
      <c r="BG202" s="234"/>
      <c r="BH202" s="234"/>
      <c r="BI202" s="234"/>
      <c r="BJ202" s="234"/>
      <c r="BK202" s="234"/>
      <c r="BL202" s="234"/>
      <c r="BM202" s="234"/>
      <c r="BN202" s="234"/>
      <c r="BO202" s="234"/>
      <c r="BP202" s="234"/>
      <c r="BQ202" s="234"/>
      <c r="BR202" s="234"/>
      <c r="BS202" s="234"/>
      <c r="BT202" s="234"/>
      <c r="BU202" s="234"/>
      <c r="BV202" s="234"/>
      <c r="BW202" s="234"/>
      <c r="BX202" s="234"/>
      <c r="BY202" s="234"/>
      <c r="BZ202" s="234"/>
      <c r="CA202" s="234"/>
      <c r="CB202" s="234"/>
      <c r="CC202" s="234"/>
      <c r="CD202" s="234"/>
      <c r="CE202" s="234"/>
      <c r="CF202" s="234"/>
      <c r="CG202" s="234"/>
      <c r="CH202" s="234"/>
      <c r="CI202" s="234"/>
      <c r="CJ202" s="234"/>
      <c r="CK202" s="234"/>
      <c r="CL202" s="234"/>
      <c r="CM202" s="234"/>
      <c r="CN202" s="234"/>
      <c r="CO202" s="234"/>
      <c r="CP202" s="234"/>
      <c r="CQ202" s="234"/>
      <c r="CR202" s="234"/>
      <c r="CS202" s="234"/>
      <c r="CT202" s="234"/>
      <c r="CU202" s="234"/>
      <c r="CV202" s="234"/>
      <c r="CW202" s="234"/>
      <c r="CX202" s="234"/>
      <c r="CY202" s="234"/>
      <c r="CZ202" s="234"/>
      <c r="DA202" s="234"/>
      <c r="DB202" s="234"/>
      <c r="DC202" s="234"/>
      <c r="DD202" s="234"/>
      <c r="DE202" s="234"/>
      <c r="DF202" s="234"/>
      <c r="DG202" s="234"/>
      <c r="DH202" s="234"/>
      <c r="DI202" s="234"/>
      <c r="DJ202" s="234"/>
      <c r="DK202" s="234"/>
      <c r="DL202" s="234"/>
      <c r="DM202" s="234"/>
      <c r="DN202" s="234"/>
      <c r="DO202" s="234"/>
      <c r="DP202" s="234"/>
      <c r="DQ202" s="234"/>
      <c r="DR202" s="234"/>
      <c r="DS202" s="234"/>
      <c r="DT202" s="234"/>
    </row>
    <row r="203" spans="1:156" s="231" customFormat="1" x14ac:dyDescent="0.25">
      <c r="A203" s="232"/>
      <c r="H203" s="232"/>
      <c r="K203" s="232"/>
      <c r="N203" s="232"/>
      <c r="W203" s="232"/>
      <c r="X203" s="266"/>
      <c r="Y203" s="266"/>
      <c r="Z203" s="266"/>
      <c r="AA203" s="187"/>
      <c r="AB203" s="266"/>
      <c r="AC203" s="128"/>
      <c r="AD203" s="266"/>
      <c r="AE203" s="266"/>
      <c r="AF203" s="266"/>
      <c r="AG203" s="266"/>
      <c r="AH203" s="266"/>
      <c r="AI203" s="266"/>
      <c r="AJ203" s="266"/>
      <c r="AK203" s="233"/>
      <c r="AL203" s="233"/>
      <c r="AM203" s="233"/>
      <c r="AN203" s="233"/>
      <c r="AO203" s="233"/>
      <c r="AP203" s="233"/>
      <c r="AQ203" s="233"/>
      <c r="AR203" s="233"/>
      <c r="AS203" s="233"/>
      <c r="AT203" s="233"/>
      <c r="AU203" s="233"/>
      <c r="AV203" s="233"/>
      <c r="AW203" s="233"/>
      <c r="AX203" s="233"/>
      <c r="AY203" s="234"/>
      <c r="AZ203" s="234"/>
      <c r="BA203" s="234"/>
      <c r="BB203" s="234"/>
      <c r="BC203" s="234"/>
      <c r="BD203" s="234"/>
      <c r="BE203" s="234"/>
      <c r="BF203" s="234"/>
      <c r="BG203" s="234"/>
      <c r="BH203" s="234"/>
      <c r="BI203" s="234"/>
      <c r="BJ203" s="234"/>
      <c r="BK203" s="234"/>
      <c r="BL203" s="234"/>
      <c r="BM203" s="234"/>
      <c r="BN203" s="234"/>
      <c r="BO203" s="234"/>
      <c r="BP203" s="234"/>
      <c r="BQ203" s="234"/>
      <c r="BR203" s="234"/>
      <c r="BS203" s="234"/>
      <c r="BT203" s="234"/>
      <c r="BU203" s="234"/>
      <c r="BV203" s="234"/>
      <c r="BW203" s="234"/>
      <c r="BX203" s="234"/>
      <c r="BY203" s="234"/>
      <c r="BZ203" s="234"/>
      <c r="CA203" s="234"/>
      <c r="CB203" s="234"/>
      <c r="CC203" s="234"/>
      <c r="CD203" s="234"/>
      <c r="CE203" s="234"/>
      <c r="CF203" s="234"/>
      <c r="CG203" s="234"/>
      <c r="CH203" s="234"/>
      <c r="CI203" s="234"/>
      <c r="CJ203" s="234"/>
      <c r="CK203" s="234"/>
      <c r="CL203" s="234"/>
      <c r="CM203" s="234"/>
      <c r="CN203" s="234"/>
      <c r="CO203" s="234"/>
      <c r="CP203" s="234"/>
      <c r="CQ203" s="234"/>
      <c r="CR203" s="234"/>
      <c r="CS203" s="234"/>
      <c r="CT203" s="234"/>
      <c r="CU203" s="234"/>
      <c r="CV203" s="234"/>
      <c r="CW203" s="234"/>
      <c r="CX203" s="234"/>
      <c r="CY203" s="234"/>
      <c r="CZ203" s="234"/>
      <c r="DA203" s="234"/>
      <c r="DB203" s="234"/>
      <c r="DC203" s="234"/>
      <c r="DD203" s="234"/>
      <c r="DE203" s="234"/>
      <c r="DF203" s="234"/>
      <c r="DG203" s="234"/>
      <c r="DH203" s="234"/>
      <c r="DI203" s="234"/>
      <c r="DJ203" s="234"/>
      <c r="DK203" s="234"/>
      <c r="DL203" s="234"/>
      <c r="DM203" s="234"/>
      <c r="DN203" s="234"/>
      <c r="DO203" s="234"/>
      <c r="DP203" s="234"/>
      <c r="DQ203" s="234"/>
      <c r="DR203" s="234"/>
      <c r="DS203" s="234"/>
      <c r="DT203" s="234"/>
    </row>
    <row r="204" spans="1:156" s="231" customFormat="1" x14ac:dyDescent="0.25">
      <c r="A204" s="232"/>
      <c r="H204" s="232"/>
      <c r="K204" s="232"/>
      <c r="N204" s="232"/>
      <c r="W204" s="232"/>
      <c r="X204" s="266"/>
      <c r="Y204" s="266"/>
      <c r="Z204" s="266"/>
      <c r="AA204" s="242" t="s">
        <v>1197</v>
      </c>
      <c r="AB204" s="266"/>
      <c r="AC204" s="266"/>
      <c r="AD204" s="266"/>
      <c r="AE204" s="266"/>
      <c r="AF204" s="267"/>
      <c r="AG204" s="266"/>
      <c r="AH204" s="233"/>
      <c r="AI204" s="233"/>
      <c r="AJ204" s="233"/>
      <c r="AK204" s="233"/>
      <c r="AL204" s="233"/>
      <c r="AM204" s="233"/>
      <c r="AN204" s="233"/>
      <c r="AO204" s="233"/>
      <c r="AP204" s="233"/>
      <c r="AQ204" s="233"/>
      <c r="AR204" s="233"/>
      <c r="AS204" s="233"/>
      <c r="AT204" s="233"/>
      <c r="AU204" s="233"/>
      <c r="AV204" s="233"/>
      <c r="AW204" s="233"/>
      <c r="AX204" s="233"/>
      <c r="AY204" s="234"/>
      <c r="AZ204" s="234"/>
      <c r="BA204" s="234"/>
      <c r="BB204" s="234"/>
      <c r="BC204" s="31"/>
      <c r="BD204" s="38"/>
      <c r="BE204" s="38" t="s">
        <v>1402</v>
      </c>
      <c r="BF204" s="31"/>
      <c r="BG204" s="137"/>
      <c r="BH204" s="31"/>
      <c r="BI204" s="31"/>
      <c r="BJ204" s="31"/>
      <c r="BK204" s="234"/>
      <c r="BL204" s="38" t="s">
        <v>1403</v>
      </c>
      <c r="BM204" s="234"/>
      <c r="BN204" s="234"/>
      <c r="BO204" s="234"/>
      <c r="BP204" s="234"/>
      <c r="BQ204" s="234"/>
      <c r="BR204" s="234"/>
      <c r="BS204" s="234"/>
      <c r="BT204" s="234"/>
      <c r="BU204" s="234"/>
      <c r="BV204" s="234"/>
      <c r="BW204" s="234"/>
      <c r="BX204" s="234"/>
      <c r="BY204" s="234"/>
      <c r="BZ204" s="234"/>
      <c r="CA204" s="234"/>
      <c r="CB204" s="234"/>
      <c r="CC204" s="234"/>
      <c r="CD204" s="234"/>
      <c r="CE204" s="234"/>
      <c r="CF204" s="234"/>
      <c r="CG204" s="234"/>
      <c r="CH204" s="234"/>
      <c r="CI204" s="234"/>
      <c r="CJ204" s="234"/>
      <c r="CK204" s="234"/>
      <c r="CL204" s="234"/>
      <c r="CM204" s="234"/>
      <c r="CN204" s="234"/>
      <c r="CO204" s="234"/>
      <c r="CP204" s="234"/>
      <c r="CQ204" s="234"/>
      <c r="CR204" s="234"/>
      <c r="CS204" s="234"/>
      <c r="CT204" s="234"/>
      <c r="CU204" s="234"/>
      <c r="CV204" s="234"/>
      <c r="CW204" s="234"/>
      <c r="CX204" s="234"/>
      <c r="CY204" s="234"/>
      <c r="CZ204" s="234"/>
      <c r="DA204" s="234"/>
      <c r="DB204" s="234"/>
      <c r="DC204" s="234"/>
      <c r="DD204" s="234"/>
      <c r="DE204" s="234"/>
      <c r="DF204" s="234"/>
      <c r="DG204" s="234"/>
      <c r="DH204" s="234"/>
      <c r="DI204" s="234"/>
      <c r="DJ204" s="234"/>
      <c r="DK204" s="234"/>
      <c r="DL204" s="234"/>
      <c r="DM204" s="234"/>
      <c r="DN204" s="234"/>
      <c r="DO204" s="234"/>
      <c r="DP204" s="234"/>
      <c r="DQ204" s="234"/>
      <c r="DR204" s="234"/>
      <c r="DS204" s="234"/>
      <c r="DT204" s="234"/>
    </row>
    <row r="205" spans="1:156" s="231" customFormat="1" x14ac:dyDescent="0.25">
      <c r="A205" s="232"/>
      <c r="H205" s="232"/>
      <c r="K205" s="232"/>
      <c r="N205" s="232"/>
      <c r="W205" s="232"/>
      <c r="X205" s="266"/>
      <c r="Y205" s="266"/>
      <c r="Z205" s="266"/>
      <c r="AA205" s="266"/>
      <c r="AB205" s="267"/>
      <c r="AC205" s="267"/>
      <c r="AD205" s="267"/>
      <c r="AE205" s="267"/>
      <c r="AF205" s="266"/>
      <c r="AG205" s="266"/>
      <c r="AH205" s="233"/>
      <c r="AI205" s="233"/>
      <c r="AJ205" s="233"/>
      <c r="AK205" s="233"/>
      <c r="AL205" s="233"/>
      <c r="AM205" s="233"/>
      <c r="AN205" s="233"/>
      <c r="AO205" s="233"/>
      <c r="AP205" s="233"/>
      <c r="AQ205" s="233"/>
      <c r="AR205" s="233"/>
      <c r="AS205" s="233"/>
      <c r="AT205" s="233"/>
      <c r="AU205" s="233"/>
      <c r="AV205" s="233"/>
      <c r="AW205" s="233"/>
      <c r="AX205" s="233"/>
      <c r="AY205" s="234"/>
      <c r="AZ205" s="234"/>
      <c r="BA205" s="234"/>
      <c r="BB205" s="234"/>
      <c r="BC205" s="31"/>
      <c r="BD205" s="31"/>
      <c r="BE205" s="31"/>
      <c r="BF205" s="31"/>
      <c r="BG205" s="31"/>
      <c r="BH205" s="31"/>
      <c r="BI205" s="31"/>
      <c r="BJ205" s="31"/>
      <c r="BK205" s="234"/>
      <c r="BL205" s="234"/>
      <c r="BM205" s="124" t="s">
        <v>1404</v>
      </c>
      <c r="BN205" s="234"/>
      <c r="BO205" s="234"/>
      <c r="BP205" s="234"/>
      <c r="BQ205" s="234"/>
      <c r="BR205" s="234"/>
      <c r="BS205" s="234"/>
      <c r="BT205" s="234"/>
      <c r="BU205" s="234"/>
      <c r="BV205" s="234"/>
      <c r="BW205" s="234"/>
      <c r="BX205" s="234"/>
      <c r="BY205" s="234"/>
      <c r="BZ205" s="234"/>
      <c r="CA205" s="234"/>
      <c r="CB205" s="234"/>
      <c r="CC205" s="234"/>
      <c r="CD205" s="234"/>
      <c r="CE205" s="234"/>
      <c r="CF205" s="234"/>
      <c r="CG205" s="234"/>
      <c r="CH205" s="234"/>
      <c r="CI205" s="234"/>
      <c r="CJ205" s="234"/>
      <c r="CK205" s="234"/>
      <c r="CL205" s="234"/>
      <c r="CM205" s="234"/>
      <c r="CN205" s="234"/>
      <c r="CO205" s="234"/>
      <c r="CP205" s="234"/>
      <c r="CQ205" s="234"/>
      <c r="CR205" s="234"/>
      <c r="CS205" s="234"/>
      <c r="CT205" s="234"/>
      <c r="CU205" s="234"/>
      <c r="CV205" s="234"/>
      <c r="CW205" s="234"/>
      <c r="CX205" s="234"/>
      <c r="CY205" s="234"/>
      <c r="CZ205" s="234"/>
      <c r="DA205" s="234"/>
      <c r="DB205" s="234"/>
      <c r="DC205" s="234"/>
      <c r="DD205" s="234"/>
      <c r="DE205" s="234"/>
      <c r="DF205" s="234"/>
      <c r="DG205" s="234"/>
      <c r="DH205" s="234"/>
      <c r="DI205" s="234"/>
      <c r="DJ205" s="234"/>
      <c r="DK205" s="234"/>
      <c r="DL205" s="234"/>
      <c r="DM205" s="234"/>
      <c r="DN205" s="234"/>
      <c r="DO205" s="234"/>
      <c r="DP205" s="234"/>
      <c r="DQ205" s="234"/>
      <c r="DR205" s="234"/>
      <c r="DS205" s="234"/>
      <c r="DT205" s="234"/>
    </row>
    <row r="206" spans="1:156" s="231" customFormat="1" x14ac:dyDescent="0.25">
      <c r="A206" s="232"/>
      <c r="H206" s="232"/>
      <c r="K206" s="232"/>
      <c r="N206" s="232"/>
      <c r="W206" s="232"/>
      <c r="X206" s="266"/>
      <c r="Y206" s="266"/>
      <c r="Z206" s="266"/>
      <c r="AA206" s="266"/>
      <c r="AB206" s="266"/>
      <c r="AC206" s="266"/>
      <c r="AD206" s="266"/>
      <c r="AE206" s="125" t="s">
        <v>1404</v>
      </c>
      <c r="AF206" s="266"/>
      <c r="AG206" s="266"/>
      <c r="AH206" s="233"/>
      <c r="AI206" s="233"/>
      <c r="AJ206" s="233"/>
      <c r="AK206" s="233"/>
      <c r="AL206" s="233"/>
      <c r="AM206" s="233"/>
      <c r="AN206" s="233"/>
      <c r="AO206" s="233"/>
      <c r="AP206" s="233"/>
      <c r="AQ206" s="233"/>
      <c r="AR206" s="233"/>
      <c r="AS206" s="233"/>
      <c r="AT206" s="233"/>
      <c r="AU206" s="233"/>
      <c r="AV206" s="233"/>
      <c r="AW206" s="233"/>
      <c r="AX206" s="233"/>
      <c r="AY206" s="234"/>
      <c r="AZ206" s="234"/>
      <c r="BA206" s="234"/>
      <c r="BB206" s="234"/>
      <c r="BC206" s="31"/>
      <c r="BD206" s="31"/>
      <c r="BE206" s="31"/>
      <c r="BF206" s="31"/>
      <c r="BG206" s="31"/>
      <c r="BH206" s="31"/>
      <c r="BI206" s="31"/>
      <c r="BJ206" s="31"/>
      <c r="BK206" s="234"/>
      <c r="BL206" s="234"/>
      <c r="BM206" s="234"/>
      <c r="BN206" s="234"/>
      <c r="BO206" s="234"/>
      <c r="BP206" s="234"/>
      <c r="BQ206" s="234"/>
      <c r="BR206" s="234"/>
      <c r="BS206" s="234"/>
      <c r="BT206" s="234"/>
      <c r="BU206" s="234"/>
      <c r="BV206" s="234"/>
      <c r="BW206" s="234"/>
      <c r="BX206" s="234"/>
      <c r="BY206" s="234"/>
      <c r="BZ206" s="234"/>
      <c r="CA206" s="234"/>
      <c r="CB206" s="234"/>
      <c r="CC206" s="234"/>
      <c r="CD206" s="234"/>
      <c r="CE206" s="234"/>
      <c r="CF206" s="234"/>
      <c r="CG206" s="234"/>
      <c r="CH206" s="234"/>
      <c r="CI206" s="234"/>
      <c r="CJ206" s="234"/>
      <c r="CK206" s="234"/>
      <c r="CL206" s="234"/>
      <c r="CM206" s="234"/>
      <c r="CN206" s="234"/>
      <c r="CO206" s="234"/>
      <c r="CP206" s="234"/>
      <c r="CQ206" s="234"/>
      <c r="CR206" s="234"/>
      <c r="CS206" s="234"/>
      <c r="CT206" s="234"/>
      <c r="CU206" s="234"/>
      <c r="CV206" s="234"/>
      <c r="CW206" s="234"/>
      <c r="CX206" s="234"/>
      <c r="CY206" s="234"/>
      <c r="CZ206" s="234"/>
      <c r="DA206" s="234"/>
      <c r="DB206" s="234"/>
      <c r="DC206" s="234"/>
      <c r="DD206" s="234"/>
      <c r="DE206" s="234"/>
      <c r="DF206" s="234"/>
      <c r="DG206" s="234"/>
      <c r="DH206" s="234"/>
      <c r="DI206" s="234"/>
      <c r="DJ206" s="234"/>
      <c r="DK206" s="234"/>
      <c r="DL206" s="234"/>
      <c r="DM206" s="234"/>
      <c r="DN206" s="234"/>
      <c r="DO206" s="234"/>
      <c r="DP206" s="234"/>
      <c r="DQ206" s="234"/>
      <c r="DR206" s="234"/>
      <c r="DS206" s="234"/>
      <c r="DT206" s="234"/>
    </row>
    <row r="207" spans="1:156" s="231" customFormat="1" ht="18.75" x14ac:dyDescent="0.25">
      <c r="A207" s="232"/>
      <c r="H207" s="232"/>
      <c r="K207" s="232"/>
      <c r="N207" s="232"/>
      <c r="W207" s="232"/>
      <c r="X207" s="266"/>
      <c r="Y207" s="266"/>
      <c r="Z207" s="138" t="s">
        <v>1147</v>
      </c>
      <c r="AA207" s="266"/>
      <c r="AB207" s="266"/>
      <c r="AC207" s="266"/>
      <c r="AD207" s="139" t="s">
        <v>27</v>
      </c>
      <c r="AE207" s="266"/>
      <c r="AF207" s="267"/>
      <c r="AG207" s="266"/>
      <c r="AH207" s="233"/>
      <c r="AI207" s="233"/>
      <c r="AJ207" s="233"/>
      <c r="AK207" s="233"/>
      <c r="AL207" s="233"/>
      <c r="AM207" s="233"/>
      <c r="AN207" s="233"/>
      <c r="AO207" s="233"/>
      <c r="AP207" s="233"/>
      <c r="AQ207" s="233"/>
      <c r="AR207" s="233"/>
      <c r="AS207" s="233"/>
      <c r="AT207" s="233"/>
      <c r="AU207" s="233"/>
      <c r="AV207" s="233"/>
      <c r="AW207" s="233"/>
      <c r="AX207" s="233"/>
      <c r="AY207" s="234"/>
      <c r="AZ207" s="234"/>
      <c r="BA207" s="234"/>
      <c r="BB207" s="234"/>
      <c r="BC207" s="290" t="s">
        <v>1417</v>
      </c>
      <c r="BD207" s="31"/>
      <c r="BE207" s="31"/>
      <c r="BF207" s="290"/>
      <c r="BG207" s="31"/>
      <c r="BH207" s="31"/>
      <c r="BI207" s="31"/>
      <c r="BJ207" s="290" t="s">
        <v>1417</v>
      </c>
      <c r="BK207" s="234"/>
      <c r="BL207" s="234"/>
      <c r="BM207" s="234"/>
      <c r="BN207" s="290"/>
      <c r="BO207" s="234"/>
      <c r="BP207" s="234"/>
      <c r="BQ207" s="234"/>
      <c r="BR207" s="234"/>
      <c r="BS207" s="234"/>
      <c r="BT207" s="234"/>
      <c r="BU207" s="234"/>
      <c r="BV207" s="234"/>
      <c r="BW207" s="234"/>
      <c r="BX207" s="234"/>
      <c r="BY207" s="234"/>
      <c r="BZ207" s="234"/>
      <c r="CA207" s="234"/>
      <c r="CB207" s="234"/>
      <c r="CC207" s="234"/>
      <c r="CD207" s="234"/>
      <c r="CE207" s="234"/>
      <c r="CF207" s="234"/>
      <c r="CG207" s="234"/>
      <c r="CH207" s="234"/>
      <c r="CI207" s="234"/>
      <c r="CJ207" s="234"/>
      <c r="CK207" s="234"/>
      <c r="CL207" s="234"/>
      <c r="CM207" s="234"/>
      <c r="CN207" s="234"/>
      <c r="CO207" s="234"/>
      <c r="CP207" s="234"/>
      <c r="CQ207" s="234"/>
      <c r="CR207" s="234"/>
      <c r="CS207" s="234"/>
      <c r="CT207" s="234"/>
      <c r="CU207" s="234"/>
      <c r="CV207" s="234"/>
      <c r="CW207" s="234"/>
      <c r="CX207" s="234"/>
      <c r="CY207" s="234"/>
      <c r="CZ207" s="234"/>
      <c r="DA207" s="234"/>
      <c r="DB207" s="234"/>
      <c r="DC207" s="234"/>
      <c r="DD207" s="234"/>
      <c r="DE207" s="234"/>
      <c r="DF207" s="234"/>
      <c r="DG207" s="234"/>
      <c r="DH207" s="234"/>
      <c r="DI207" s="234"/>
      <c r="DJ207" s="234"/>
      <c r="DK207" s="234"/>
      <c r="DL207" s="234"/>
      <c r="DM207" s="234"/>
      <c r="DN207" s="234"/>
      <c r="DO207" s="234"/>
      <c r="DP207" s="234"/>
      <c r="DQ207" s="234"/>
      <c r="DR207" s="234"/>
      <c r="DS207" s="234"/>
      <c r="DT207" s="234"/>
    </row>
    <row r="208" spans="1:156" s="231" customFormat="1" ht="18" x14ac:dyDescent="0.25">
      <c r="A208" s="232"/>
      <c r="H208" s="232"/>
      <c r="K208" s="232"/>
      <c r="N208" s="232"/>
      <c r="W208" s="232"/>
      <c r="X208" s="266"/>
      <c r="Y208" s="266"/>
      <c r="Z208" s="267"/>
      <c r="AA208" s="267"/>
      <c r="AB208" s="266"/>
      <c r="AC208" s="266"/>
      <c r="AD208" s="267"/>
      <c r="AE208" s="267"/>
      <c r="AF208" s="141"/>
      <c r="AG208" s="266"/>
      <c r="AH208" s="233"/>
      <c r="AI208" s="233"/>
      <c r="AJ208" s="233"/>
      <c r="AK208" s="233"/>
      <c r="AL208" s="233"/>
      <c r="AM208" s="233"/>
      <c r="AN208" s="233"/>
      <c r="AO208" s="233"/>
      <c r="AP208" s="233"/>
      <c r="AQ208" s="233"/>
      <c r="AR208" s="233"/>
      <c r="AS208" s="233"/>
      <c r="AT208" s="233"/>
      <c r="AU208" s="233"/>
      <c r="AV208" s="233"/>
      <c r="AW208" s="233"/>
      <c r="AX208" s="233"/>
      <c r="AY208" s="234"/>
      <c r="AZ208" s="234"/>
      <c r="BA208" s="234"/>
      <c r="BB208" s="234"/>
      <c r="BC208" s="140" t="s">
        <v>1131</v>
      </c>
      <c r="BD208" s="31"/>
      <c r="BE208" s="31"/>
      <c r="BF208" s="140" t="s">
        <v>1131</v>
      </c>
      <c r="BG208" s="31"/>
      <c r="BH208" s="31"/>
      <c r="BI208" s="234"/>
      <c r="BJ208" s="140" t="s">
        <v>28</v>
      </c>
      <c r="BK208" s="31"/>
      <c r="BL208" s="31"/>
      <c r="BM208" s="234"/>
      <c r="BN208" s="140" t="s">
        <v>28</v>
      </c>
      <c r="BO208" s="31"/>
      <c r="BP208" s="31"/>
      <c r="BQ208" s="234"/>
      <c r="BR208" s="234"/>
      <c r="BS208" s="234"/>
      <c r="BT208" s="234"/>
      <c r="BU208" s="234"/>
      <c r="BV208" s="234"/>
      <c r="BW208" s="234"/>
      <c r="BX208" s="234"/>
      <c r="BY208" s="234"/>
      <c r="BZ208" s="234"/>
      <c r="CA208" s="234"/>
      <c r="CB208" s="234"/>
      <c r="CC208" s="234"/>
      <c r="CD208" s="234"/>
      <c r="CE208" s="234"/>
      <c r="CF208" s="234"/>
      <c r="CG208" s="234"/>
      <c r="CH208" s="234"/>
      <c r="CI208" s="234"/>
      <c r="CJ208" s="234"/>
      <c r="CK208" s="234"/>
      <c r="CL208" s="234"/>
      <c r="CM208" s="234"/>
      <c r="CN208" s="234"/>
      <c r="CO208" s="234"/>
      <c r="CP208" s="234"/>
      <c r="CQ208" s="234"/>
      <c r="CR208" s="234"/>
      <c r="CS208" s="234"/>
      <c r="CT208" s="234"/>
      <c r="CU208" s="234"/>
      <c r="CV208" s="234"/>
      <c r="CW208" s="234"/>
      <c r="CX208" s="234"/>
      <c r="CY208" s="234"/>
      <c r="CZ208" s="234"/>
      <c r="DA208" s="234"/>
      <c r="DB208" s="234"/>
      <c r="DC208" s="234"/>
      <c r="DD208" s="234"/>
      <c r="DE208" s="234"/>
      <c r="DF208" s="234"/>
      <c r="DG208" s="234"/>
      <c r="DH208" s="234"/>
      <c r="DI208" s="234"/>
      <c r="DJ208" s="234"/>
      <c r="DK208" s="234"/>
      <c r="DL208" s="234"/>
      <c r="DM208" s="234"/>
      <c r="DN208" s="234"/>
      <c r="DO208" s="234"/>
      <c r="DP208" s="234"/>
      <c r="DQ208" s="234"/>
      <c r="DR208" s="234"/>
      <c r="DS208" s="234"/>
      <c r="DT208" s="234"/>
    </row>
    <row r="209" spans="1:124" s="231" customFormat="1" ht="15.75" x14ac:dyDescent="0.25">
      <c r="A209" s="232"/>
      <c r="H209" s="232"/>
      <c r="K209" s="232"/>
      <c r="N209" s="232"/>
      <c r="W209" s="232"/>
      <c r="X209" s="266"/>
      <c r="Y209" s="266"/>
      <c r="Z209" s="143" t="s">
        <v>21</v>
      </c>
      <c r="AA209" s="144" t="e">
        <f ca="1">AA211+AA212+AA213+AA214</f>
        <v>#DIV/0!</v>
      </c>
      <c r="AB209" s="266"/>
      <c r="AC209" s="266"/>
      <c r="AD209" s="145" t="s">
        <v>21</v>
      </c>
      <c r="AE209" s="146" t="e">
        <f ca="1">AE211+AE212+AE213+AE214</f>
        <v>#DIV/0!</v>
      </c>
      <c r="AF209" s="147"/>
      <c r="AG209" s="266"/>
      <c r="AH209" s="233"/>
      <c r="AI209" s="233"/>
      <c r="AJ209" s="233"/>
      <c r="AK209" s="233"/>
      <c r="AL209" s="233"/>
      <c r="AM209" s="233"/>
      <c r="AN209" s="233"/>
      <c r="AO209" s="233"/>
      <c r="AP209" s="233"/>
      <c r="AQ209" s="233"/>
      <c r="AR209" s="233"/>
      <c r="AS209" s="233"/>
      <c r="AT209" s="233"/>
      <c r="AU209" s="233"/>
      <c r="AV209" s="233"/>
      <c r="AW209" s="233"/>
      <c r="AX209" s="233"/>
      <c r="AY209" s="234"/>
      <c r="AZ209" s="234"/>
      <c r="BA209" s="234"/>
      <c r="BB209" s="234"/>
      <c r="BC209" s="142"/>
      <c r="BD209" s="142"/>
      <c r="BE209" s="31"/>
      <c r="BF209" s="142"/>
      <c r="BG209" s="142"/>
      <c r="BH209" s="31"/>
      <c r="BI209" s="234"/>
      <c r="BJ209" s="142"/>
      <c r="BK209" s="142"/>
      <c r="BL209" s="31"/>
      <c r="BM209" s="234"/>
      <c r="BN209" s="142"/>
      <c r="BO209" s="142"/>
      <c r="BP209" s="31"/>
      <c r="BQ209" s="234"/>
      <c r="BR209" s="234"/>
      <c r="BS209" s="234"/>
      <c r="BT209" s="234"/>
      <c r="BU209" s="234"/>
      <c r="BV209" s="234"/>
      <c r="BW209" s="234"/>
      <c r="BX209" s="234"/>
      <c r="BY209" s="234"/>
      <c r="BZ209" s="234"/>
      <c r="CA209" s="234"/>
      <c r="CB209" s="234"/>
      <c r="CC209" s="234"/>
      <c r="CD209" s="234"/>
      <c r="CE209" s="234"/>
      <c r="CF209" s="234"/>
      <c r="CG209" s="234"/>
      <c r="CH209" s="234"/>
      <c r="CI209" s="234"/>
      <c r="CJ209" s="234"/>
      <c r="CK209" s="234"/>
      <c r="CL209" s="234"/>
      <c r="CM209" s="234"/>
      <c r="CN209" s="234"/>
      <c r="CO209" s="234"/>
      <c r="CP209" s="234"/>
      <c r="CQ209" s="234"/>
      <c r="CR209" s="234"/>
      <c r="CS209" s="234"/>
      <c r="CT209" s="234"/>
      <c r="CU209" s="234"/>
      <c r="CV209" s="234"/>
      <c r="CW209" s="234"/>
      <c r="CX209" s="234"/>
      <c r="CY209" s="234"/>
      <c r="CZ209" s="234"/>
      <c r="DA209" s="234"/>
      <c r="DB209" s="234"/>
      <c r="DC209" s="234"/>
      <c r="DD209" s="234"/>
      <c r="DE209" s="234"/>
      <c r="DF209" s="234"/>
      <c r="DG209" s="234"/>
      <c r="DH209" s="234"/>
      <c r="DI209" s="234"/>
      <c r="DJ209" s="234"/>
      <c r="DK209" s="234"/>
      <c r="DL209" s="234"/>
      <c r="DM209" s="234"/>
      <c r="DN209" s="234"/>
      <c r="DO209" s="234"/>
      <c r="DP209" s="234"/>
      <c r="DQ209" s="234"/>
      <c r="DR209" s="234"/>
      <c r="DS209" s="234"/>
      <c r="DT209" s="234"/>
    </row>
    <row r="210" spans="1:124" s="231" customFormat="1" x14ac:dyDescent="0.25">
      <c r="A210" s="232"/>
      <c r="H210" s="232"/>
      <c r="K210" s="232"/>
      <c r="N210" s="232"/>
      <c r="W210" s="232"/>
      <c r="X210" s="266"/>
      <c r="Y210" s="266"/>
      <c r="Z210" s="151" t="s">
        <v>29</v>
      </c>
      <c r="AA210" s="152"/>
      <c r="AB210" s="266"/>
      <c r="AC210" s="266"/>
      <c r="AD210" s="151" t="s">
        <v>29</v>
      </c>
      <c r="AE210" s="153"/>
      <c r="AF210" s="141"/>
      <c r="AG210" s="266"/>
      <c r="AH210" s="233"/>
      <c r="AI210" s="233"/>
      <c r="AJ210" s="233"/>
      <c r="AK210" s="233"/>
      <c r="AL210" s="233"/>
      <c r="AM210" s="233"/>
      <c r="AN210" s="233"/>
      <c r="AO210" s="233"/>
      <c r="AP210" s="233"/>
      <c r="AQ210" s="233"/>
      <c r="AR210" s="233"/>
      <c r="AS210" s="233"/>
      <c r="AT210" s="233"/>
      <c r="AU210" s="233"/>
      <c r="AV210" s="233"/>
      <c r="AW210" s="233"/>
      <c r="AX210" s="233"/>
      <c r="AY210" s="234"/>
      <c r="AZ210" s="234"/>
      <c r="BA210" s="234"/>
      <c r="BB210" s="234"/>
      <c r="BC210" s="148" t="s">
        <v>21</v>
      </c>
      <c r="BD210" s="149" t="e">
        <f ca="1">BD212+BD213+BD214+BD215</f>
        <v>#DIV/0!</v>
      </c>
      <c r="BE210" s="31"/>
      <c r="BF210" s="148" t="s">
        <v>21</v>
      </c>
      <c r="BG210" s="149"/>
      <c r="BH210" s="31"/>
      <c r="BI210" s="234"/>
      <c r="BJ210" s="148" t="s">
        <v>21</v>
      </c>
      <c r="BK210" s="150" t="e">
        <f ca="1">BK212+BK213+BK214+BK215</f>
        <v>#DIV/0!</v>
      </c>
      <c r="BL210" s="31"/>
      <c r="BM210" s="234"/>
      <c r="BN210" s="148" t="s">
        <v>21</v>
      </c>
      <c r="BO210" s="150"/>
      <c r="BP210" s="31"/>
      <c r="BQ210" s="234"/>
      <c r="BR210" s="234"/>
      <c r="BS210" s="234"/>
      <c r="BT210" s="234"/>
      <c r="BU210" s="234"/>
      <c r="BV210" s="234"/>
      <c r="BW210" s="234"/>
      <c r="BX210" s="234"/>
      <c r="BY210" s="234"/>
      <c r="BZ210" s="234"/>
      <c r="CA210" s="234"/>
      <c r="CB210" s="234"/>
      <c r="CC210" s="234"/>
      <c r="CD210" s="234"/>
      <c r="CE210" s="234"/>
      <c r="CF210" s="234"/>
      <c r="CG210" s="234"/>
      <c r="CH210" s="234"/>
      <c r="CI210" s="234"/>
      <c r="CJ210" s="234"/>
      <c r="CK210" s="234"/>
      <c r="CL210" s="234"/>
      <c r="CM210" s="234"/>
      <c r="CN210" s="234"/>
      <c r="CO210" s="234"/>
      <c r="CP210" s="234"/>
      <c r="CQ210" s="234"/>
      <c r="CR210" s="234"/>
      <c r="CS210" s="234"/>
      <c r="CT210" s="234"/>
      <c r="CU210" s="234"/>
      <c r="CV210" s="234"/>
      <c r="CW210" s="234"/>
      <c r="CX210" s="234"/>
      <c r="CY210" s="234"/>
      <c r="CZ210" s="234"/>
      <c r="DA210" s="234"/>
      <c r="DB210" s="234"/>
      <c r="DC210" s="234"/>
      <c r="DD210" s="234"/>
      <c r="DE210" s="234"/>
      <c r="DF210" s="234"/>
      <c r="DG210" s="234"/>
      <c r="DH210" s="234"/>
      <c r="DI210" s="234"/>
      <c r="DJ210" s="234"/>
      <c r="DK210" s="234"/>
      <c r="DL210" s="234"/>
      <c r="DM210" s="234"/>
      <c r="DN210" s="234"/>
      <c r="DO210" s="234"/>
      <c r="DP210" s="234"/>
      <c r="DQ210" s="234"/>
      <c r="DR210" s="234"/>
      <c r="DS210" s="234"/>
      <c r="DT210" s="234"/>
    </row>
    <row r="211" spans="1:124" s="231" customFormat="1" ht="15.75" x14ac:dyDescent="0.25">
      <c r="A211" s="232"/>
      <c r="H211" s="232"/>
      <c r="K211" s="232"/>
      <c r="N211" s="232"/>
      <c r="W211" s="232"/>
      <c r="X211" s="266"/>
      <c r="Y211" s="266"/>
      <c r="Z211" s="157" t="s">
        <v>22</v>
      </c>
      <c r="AA211" s="158" t="e">
        <f ca="1">$AL$37+$AO$117</f>
        <v>#DIV/0!</v>
      </c>
      <c r="AB211" s="266"/>
      <c r="AC211" s="266"/>
      <c r="AD211" s="159" t="s">
        <v>22</v>
      </c>
      <c r="AE211" s="146" t="e">
        <f ca="1">AA211/'Indata byggnad och BBR krav'!$C$16*1000</f>
        <v>#DIV/0!</v>
      </c>
      <c r="AF211" s="271"/>
      <c r="AG211" s="266"/>
      <c r="AH211" s="233"/>
      <c r="AI211" s="233"/>
      <c r="AJ211" s="233"/>
      <c r="AK211" s="233"/>
      <c r="AL211" s="233"/>
      <c r="AM211" s="233"/>
      <c r="AN211" s="233"/>
      <c r="AO211" s="233"/>
      <c r="AP211" s="233"/>
      <c r="AQ211" s="233"/>
      <c r="AR211" s="233"/>
      <c r="AS211" s="233"/>
      <c r="AT211" s="233"/>
      <c r="AU211" s="233"/>
      <c r="AV211" s="233"/>
      <c r="AW211" s="233"/>
      <c r="AX211" s="233"/>
      <c r="AY211" s="234"/>
      <c r="AZ211" s="234"/>
      <c r="BA211" s="234"/>
      <c r="BB211" s="234"/>
      <c r="BC211" s="154" t="s">
        <v>29</v>
      </c>
      <c r="BD211" s="155"/>
      <c r="BE211" s="31"/>
      <c r="BF211" s="154" t="s">
        <v>29</v>
      </c>
      <c r="BG211" s="155"/>
      <c r="BH211" s="31"/>
      <c r="BI211" s="234"/>
      <c r="BJ211" s="154" t="s">
        <v>29</v>
      </c>
      <c r="BK211" s="156"/>
      <c r="BL211" s="31"/>
      <c r="BM211" s="234"/>
      <c r="BN211" s="154" t="s">
        <v>29</v>
      </c>
      <c r="BO211" s="156"/>
      <c r="BP211" s="31"/>
      <c r="BQ211" s="234"/>
      <c r="BR211" s="234"/>
      <c r="BS211" s="234"/>
      <c r="BT211" s="234"/>
      <c r="BU211" s="234"/>
      <c r="BV211" s="234"/>
      <c r="BW211" s="234"/>
      <c r="BX211" s="234"/>
      <c r="BY211" s="234"/>
      <c r="BZ211" s="234"/>
      <c r="CA211" s="234"/>
      <c r="CB211" s="234"/>
      <c r="CC211" s="234"/>
      <c r="CD211" s="234"/>
      <c r="CE211" s="234"/>
      <c r="CF211" s="234"/>
      <c r="CG211" s="234"/>
      <c r="CH211" s="234"/>
      <c r="CI211" s="234"/>
      <c r="CJ211" s="234"/>
      <c r="CK211" s="234"/>
      <c r="CL211" s="234"/>
      <c r="CM211" s="234"/>
      <c r="CN211" s="234"/>
      <c r="CO211" s="234"/>
      <c r="CP211" s="234"/>
      <c r="CQ211" s="234"/>
      <c r="CR211" s="234"/>
      <c r="CS211" s="234"/>
      <c r="CT211" s="234"/>
      <c r="CU211" s="234"/>
      <c r="CV211" s="234"/>
      <c r="CW211" s="234"/>
      <c r="CX211" s="234"/>
      <c r="CY211" s="234"/>
      <c r="CZ211" s="234"/>
      <c r="DA211" s="234"/>
      <c r="DB211" s="234"/>
      <c r="DC211" s="234"/>
      <c r="DD211" s="234"/>
      <c r="DE211" s="234"/>
      <c r="DF211" s="234"/>
      <c r="DG211" s="234"/>
      <c r="DH211" s="234"/>
      <c r="DI211" s="234"/>
      <c r="DJ211" s="234"/>
      <c r="DK211" s="234"/>
      <c r="DL211" s="234"/>
      <c r="DM211" s="234"/>
      <c r="DN211" s="234"/>
      <c r="DO211" s="234"/>
      <c r="DP211" s="234"/>
      <c r="DQ211" s="234"/>
      <c r="DR211" s="234"/>
      <c r="DS211" s="234"/>
      <c r="DT211" s="234"/>
    </row>
    <row r="212" spans="1:124" s="231" customFormat="1" ht="15.75" x14ac:dyDescent="0.25">
      <c r="A212" s="232"/>
      <c r="H212" s="232"/>
      <c r="K212" s="232"/>
      <c r="N212" s="232"/>
      <c r="W212" s="232"/>
      <c r="X212" s="233"/>
      <c r="Y212" s="266"/>
      <c r="Z212" s="157" t="s">
        <v>23</v>
      </c>
      <c r="AA212" s="158">
        <f>$AL$62</f>
        <v>0</v>
      </c>
      <c r="AB212" s="266"/>
      <c r="AC212" s="266"/>
      <c r="AD212" s="157" t="s">
        <v>23</v>
      </c>
      <c r="AE212" s="146" t="e">
        <f>AA212/'Indata byggnad och BBR krav'!$C$16*1000</f>
        <v>#DIV/0!</v>
      </c>
      <c r="AF212" s="271"/>
      <c r="AG212" s="266"/>
      <c r="AH212" s="233"/>
      <c r="AI212" s="233"/>
      <c r="AJ212" s="233"/>
      <c r="AK212" s="233"/>
      <c r="AL212" s="233"/>
      <c r="AM212" s="233"/>
      <c r="AN212" s="233"/>
      <c r="AO212" s="233"/>
      <c r="AP212" s="233"/>
      <c r="AQ212" s="233"/>
      <c r="AR212" s="233"/>
      <c r="AS212" s="233"/>
      <c r="AT212" s="233"/>
      <c r="AU212" s="233"/>
      <c r="AV212" s="233"/>
      <c r="AW212" s="233"/>
      <c r="AX212" s="233"/>
      <c r="AY212" s="234"/>
      <c r="AZ212" s="234"/>
      <c r="BA212" s="234"/>
      <c r="BB212" s="234"/>
      <c r="BC212" s="51" t="s">
        <v>22</v>
      </c>
      <c r="BD212" s="149" t="e">
        <f ca="1">$DI$40</f>
        <v>#DIV/0!</v>
      </c>
      <c r="BE212" s="31"/>
      <c r="BF212" s="51" t="s">
        <v>22</v>
      </c>
      <c r="BG212" s="149"/>
      <c r="BH212" s="31"/>
      <c r="BI212" s="234"/>
      <c r="BJ212" s="51" t="s">
        <v>22</v>
      </c>
      <c r="BK212" s="150" t="e">
        <f ca="1">BD212/'Indata byggnad och BBR krav'!$C$16*1000</f>
        <v>#DIV/0!</v>
      </c>
      <c r="BL212" s="31"/>
      <c r="BM212" s="234"/>
      <c r="BN212" s="51" t="s">
        <v>22</v>
      </c>
      <c r="BO212" s="150"/>
      <c r="BP212" s="31"/>
      <c r="BQ212" s="234"/>
      <c r="BR212" s="234"/>
      <c r="BS212" s="234"/>
      <c r="BT212" s="234"/>
      <c r="BU212" s="234"/>
      <c r="BV212" s="234"/>
      <c r="BW212" s="234"/>
      <c r="BX212" s="234"/>
      <c r="BY212" s="234"/>
      <c r="BZ212" s="234"/>
      <c r="CA212" s="234"/>
      <c r="CB212" s="234"/>
      <c r="CC212" s="234"/>
      <c r="CD212" s="234"/>
      <c r="CE212" s="234"/>
      <c r="CF212" s="234"/>
      <c r="CG212" s="234"/>
      <c r="CH212" s="234"/>
      <c r="CI212" s="234"/>
      <c r="CJ212" s="234"/>
      <c r="CK212" s="234"/>
      <c r="CL212" s="234"/>
      <c r="CM212" s="234"/>
      <c r="CN212" s="234"/>
      <c r="CO212" s="234"/>
      <c r="CP212" s="234"/>
      <c r="CQ212" s="234"/>
      <c r="CR212" s="234"/>
      <c r="CS212" s="234"/>
      <c r="CT212" s="234"/>
      <c r="CU212" s="234"/>
      <c r="CV212" s="234"/>
      <c r="CW212" s="234"/>
      <c r="CX212" s="234"/>
      <c r="CY212" s="234"/>
      <c r="CZ212" s="234"/>
      <c r="DA212" s="234"/>
      <c r="DB212" s="234"/>
      <c r="DC212" s="234"/>
      <c r="DD212" s="234"/>
      <c r="DE212" s="234"/>
      <c r="DF212" s="234"/>
      <c r="DG212" s="234"/>
      <c r="DH212" s="234"/>
      <c r="DI212" s="234"/>
      <c r="DJ212" s="234"/>
      <c r="DK212" s="234"/>
      <c r="DL212" s="234"/>
      <c r="DM212" s="234"/>
      <c r="DN212" s="234"/>
      <c r="DO212" s="234"/>
      <c r="DP212" s="234"/>
      <c r="DQ212" s="234"/>
      <c r="DR212" s="234"/>
      <c r="DS212" s="234"/>
      <c r="DT212" s="234"/>
    </row>
    <row r="213" spans="1:124" s="231" customFormat="1" ht="15.75" x14ac:dyDescent="0.25">
      <c r="A213" s="232"/>
      <c r="H213" s="232"/>
      <c r="K213" s="232"/>
      <c r="N213" s="232"/>
      <c r="W213" s="232"/>
      <c r="X213" s="233"/>
      <c r="Y213" s="266"/>
      <c r="Z213" s="157" t="s">
        <v>24</v>
      </c>
      <c r="AA213" s="158">
        <f>$AA$95</f>
        <v>0</v>
      </c>
      <c r="AB213" s="266"/>
      <c r="AC213" s="266"/>
      <c r="AD213" s="157" t="s">
        <v>24</v>
      </c>
      <c r="AE213" s="146" t="e">
        <f>AA213/'Indata byggnad och BBR krav'!$C$16*1000</f>
        <v>#DIV/0!</v>
      </c>
      <c r="AF213" s="271"/>
      <c r="AG213" s="266"/>
      <c r="AH213" s="233"/>
      <c r="AI213" s="233"/>
      <c r="AJ213" s="233"/>
      <c r="AK213" s="233"/>
      <c r="AL213" s="233"/>
      <c r="AM213" s="233"/>
      <c r="AN213" s="233"/>
      <c r="AO213" s="233"/>
      <c r="AP213" s="233"/>
      <c r="AQ213" s="233"/>
      <c r="AR213" s="233"/>
      <c r="AS213" s="233"/>
      <c r="AT213" s="233"/>
      <c r="AU213" s="233"/>
      <c r="AV213" s="233"/>
      <c r="AW213" s="233"/>
      <c r="AX213" s="233"/>
      <c r="AY213" s="234"/>
      <c r="AZ213" s="234"/>
      <c r="BA213" s="234"/>
      <c r="BB213" s="234"/>
      <c r="BC213" s="160" t="s">
        <v>23</v>
      </c>
      <c r="BD213" s="47">
        <f>$BG$59</f>
        <v>0</v>
      </c>
      <c r="BE213" s="31"/>
      <c r="BF213" s="160" t="s">
        <v>23</v>
      </c>
      <c r="BG213" s="47"/>
      <c r="BH213" s="31"/>
      <c r="BI213" s="234"/>
      <c r="BJ213" s="160" t="s">
        <v>23</v>
      </c>
      <c r="BK213" s="150" t="e">
        <f>BD213/'Indata byggnad och BBR krav'!$C$16*1000</f>
        <v>#DIV/0!</v>
      </c>
      <c r="BL213" s="31"/>
      <c r="BM213" s="234"/>
      <c r="BN213" s="160" t="s">
        <v>23</v>
      </c>
      <c r="BO213" s="150"/>
      <c r="BP213" s="31"/>
      <c r="BQ213" s="234"/>
      <c r="BR213" s="234"/>
      <c r="BS213" s="234"/>
      <c r="BT213" s="234"/>
      <c r="BU213" s="234"/>
      <c r="BV213" s="234"/>
      <c r="BW213" s="234"/>
      <c r="BX213" s="234"/>
      <c r="BY213" s="234"/>
      <c r="BZ213" s="234"/>
      <c r="CA213" s="234"/>
      <c r="CB213" s="234"/>
      <c r="CC213" s="234"/>
      <c r="CD213" s="234"/>
      <c r="CE213" s="234"/>
      <c r="CF213" s="234"/>
      <c r="CG213" s="234"/>
      <c r="CH213" s="234"/>
      <c r="CI213" s="234"/>
      <c r="CJ213" s="234"/>
      <c r="CK213" s="234"/>
      <c r="CL213" s="234"/>
      <c r="CM213" s="234"/>
      <c r="CN213" s="234"/>
      <c r="CO213" s="234"/>
      <c r="CP213" s="234"/>
      <c r="CQ213" s="234"/>
      <c r="CR213" s="234"/>
      <c r="CS213" s="234"/>
      <c r="CT213" s="234"/>
      <c r="CU213" s="234"/>
      <c r="CV213" s="234"/>
      <c r="CW213" s="234"/>
      <c r="CX213" s="234"/>
      <c r="CY213" s="234"/>
      <c r="CZ213" s="234"/>
      <c r="DA213" s="234"/>
      <c r="DB213" s="234"/>
      <c r="DC213" s="234"/>
      <c r="DD213" s="234"/>
      <c r="DE213" s="234"/>
      <c r="DF213" s="234"/>
      <c r="DG213" s="234"/>
      <c r="DH213" s="234"/>
      <c r="DI213" s="234"/>
      <c r="DJ213" s="234"/>
      <c r="DK213" s="234"/>
      <c r="DL213" s="234"/>
      <c r="DM213" s="234"/>
      <c r="DN213" s="234"/>
      <c r="DO213" s="234"/>
      <c r="DP213" s="234"/>
      <c r="DQ213" s="234"/>
      <c r="DR213" s="234"/>
      <c r="DS213" s="234"/>
      <c r="DT213" s="234"/>
    </row>
    <row r="214" spans="1:124" s="231" customFormat="1" ht="15.75" x14ac:dyDescent="0.25">
      <c r="A214" s="232"/>
      <c r="H214" s="232"/>
      <c r="K214" s="232"/>
      <c r="N214" s="232"/>
      <c r="W214" s="232"/>
      <c r="X214" s="233"/>
      <c r="Y214" s="266"/>
      <c r="Z214" s="157" t="s">
        <v>18</v>
      </c>
      <c r="AA214" s="158" t="e">
        <f ca="1">$AJ$117</f>
        <v>#DIV/0!</v>
      </c>
      <c r="AB214" s="266"/>
      <c r="AC214" s="266"/>
      <c r="AD214" s="157" t="s">
        <v>18</v>
      </c>
      <c r="AE214" s="146" t="e">
        <f ca="1">AA214/'Indata byggnad och BBR krav'!$C$16*1000</f>
        <v>#DIV/0!</v>
      </c>
      <c r="AF214" s="266"/>
      <c r="AG214" s="266"/>
      <c r="AH214" s="233"/>
      <c r="AI214" s="233"/>
      <c r="AJ214" s="233"/>
      <c r="AK214" s="233"/>
      <c r="AL214" s="233"/>
      <c r="AM214" s="233"/>
      <c r="AN214" s="233"/>
      <c r="AO214" s="233"/>
      <c r="AP214" s="233"/>
      <c r="AQ214" s="233"/>
      <c r="AR214" s="233"/>
      <c r="AS214" s="233"/>
      <c r="AT214" s="233"/>
      <c r="AU214" s="233"/>
      <c r="AV214" s="233"/>
      <c r="AW214" s="233"/>
      <c r="AX214" s="233"/>
      <c r="AY214" s="234"/>
      <c r="AZ214" s="234"/>
      <c r="BA214" s="234"/>
      <c r="BB214" s="234"/>
      <c r="BC214" s="160" t="s">
        <v>24</v>
      </c>
      <c r="BD214" s="47">
        <f>$BD$92</f>
        <v>0</v>
      </c>
      <c r="BE214" s="31"/>
      <c r="BF214" s="160" t="s">
        <v>24</v>
      </c>
      <c r="BG214" s="47"/>
      <c r="BH214" s="31"/>
      <c r="BI214" s="234"/>
      <c r="BJ214" s="160" t="s">
        <v>24</v>
      </c>
      <c r="BK214" s="150" t="e">
        <f>BD214/'Indata byggnad och BBR krav'!$C$16*1000</f>
        <v>#DIV/0!</v>
      </c>
      <c r="BL214" s="31"/>
      <c r="BM214" s="234"/>
      <c r="BN214" s="160" t="s">
        <v>24</v>
      </c>
      <c r="BO214" s="150"/>
      <c r="BP214" s="31"/>
      <c r="BQ214" s="234"/>
      <c r="BR214" s="234"/>
      <c r="BS214" s="234"/>
      <c r="BT214" s="234"/>
      <c r="BU214" s="234"/>
      <c r="BV214" s="234"/>
      <c r="BW214" s="234"/>
      <c r="BX214" s="234"/>
      <c r="BY214" s="234"/>
      <c r="BZ214" s="234"/>
      <c r="CA214" s="234"/>
      <c r="CB214" s="234"/>
      <c r="CC214" s="234"/>
      <c r="CD214" s="234"/>
      <c r="CE214" s="234"/>
      <c r="CF214" s="234"/>
      <c r="CG214" s="234"/>
      <c r="CH214" s="234"/>
      <c r="CI214" s="234"/>
      <c r="CJ214" s="234"/>
      <c r="CK214" s="234"/>
      <c r="CL214" s="234"/>
      <c r="CM214" s="234"/>
      <c r="CN214" s="234"/>
      <c r="CO214" s="234"/>
      <c r="CP214" s="234"/>
      <c r="CQ214" s="234"/>
      <c r="CR214" s="234"/>
      <c r="CS214" s="234"/>
      <c r="CT214" s="234"/>
      <c r="CU214" s="234"/>
      <c r="CV214" s="234"/>
      <c r="CW214" s="234"/>
      <c r="CX214" s="234"/>
      <c r="CY214" s="234"/>
      <c r="CZ214" s="234"/>
      <c r="DA214" s="234"/>
      <c r="DB214" s="234"/>
      <c r="DC214" s="234"/>
      <c r="DD214" s="234"/>
      <c r="DE214" s="234"/>
      <c r="DF214" s="234"/>
      <c r="DG214" s="234"/>
      <c r="DH214" s="234"/>
      <c r="DI214" s="234"/>
      <c r="DJ214" s="234"/>
      <c r="DK214" s="234"/>
      <c r="DL214" s="234"/>
      <c r="DM214" s="234"/>
      <c r="DN214" s="234"/>
      <c r="DO214" s="234"/>
      <c r="DP214" s="234"/>
      <c r="DQ214" s="234"/>
      <c r="DR214" s="234"/>
      <c r="DS214" s="234"/>
      <c r="DT214" s="234"/>
    </row>
    <row r="215" spans="1:124" s="231" customFormat="1" ht="15.75" x14ac:dyDescent="0.25">
      <c r="A215" s="232"/>
      <c r="H215" s="232"/>
      <c r="K215" s="232"/>
      <c r="N215" s="232"/>
      <c r="W215" s="232"/>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4"/>
      <c r="AZ215" s="234"/>
      <c r="BA215" s="234"/>
      <c r="BB215" s="234"/>
      <c r="BC215" s="160" t="s">
        <v>18</v>
      </c>
      <c r="BD215" s="47" t="e">
        <f ca="1">$BE$122</f>
        <v>#DIV/0!</v>
      </c>
      <c r="BE215" s="31"/>
      <c r="BF215" s="160" t="s">
        <v>18</v>
      </c>
      <c r="BG215" s="47"/>
      <c r="BH215" s="31"/>
      <c r="BI215" s="234"/>
      <c r="BJ215" s="160" t="s">
        <v>18</v>
      </c>
      <c r="BK215" s="150" t="e">
        <f ca="1">BD215/'Indata byggnad och BBR krav'!$C$16*1000</f>
        <v>#DIV/0!</v>
      </c>
      <c r="BL215" s="31"/>
      <c r="BM215" s="234"/>
      <c r="BN215" s="160" t="s">
        <v>18</v>
      </c>
      <c r="BO215" s="150"/>
      <c r="BP215" s="31"/>
      <c r="BQ215" s="234"/>
      <c r="BR215" s="234"/>
      <c r="BS215" s="234"/>
      <c r="BT215" s="234"/>
      <c r="BU215" s="234"/>
      <c r="BV215" s="234"/>
      <c r="BW215" s="234"/>
      <c r="BX215" s="234"/>
      <c r="BY215" s="234"/>
      <c r="BZ215" s="234"/>
      <c r="CA215" s="234"/>
      <c r="CB215" s="234"/>
      <c r="CC215" s="234"/>
      <c r="CD215" s="234"/>
      <c r="CE215" s="234"/>
      <c r="CF215" s="234"/>
      <c r="CG215" s="234"/>
      <c r="CH215" s="234"/>
      <c r="CI215" s="234"/>
      <c r="CJ215" s="234"/>
      <c r="CK215" s="234"/>
      <c r="CL215" s="234"/>
      <c r="CM215" s="234"/>
      <c r="CN215" s="234"/>
      <c r="CO215" s="234"/>
      <c r="CP215" s="234"/>
      <c r="CQ215" s="234"/>
      <c r="CR215" s="234"/>
      <c r="CS215" s="234"/>
      <c r="CT215" s="234"/>
      <c r="CU215" s="234"/>
      <c r="CV215" s="234"/>
      <c r="CW215" s="234"/>
      <c r="CX215" s="234"/>
      <c r="CY215" s="234"/>
      <c r="CZ215" s="234"/>
      <c r="DA215" s="234"/>
      <c r="DB215" s="234"/>
      <c r="DC215" s="234"/>
      <c r="DD215" s="234"/>
      <c r="DE215" s="234"/>
      <c r="DF215" s="234"/>
      <c r="DG215" s="234"/>
      <c r="DH215" s="234"/>
      <c r="DI215" s="234"/>
      <c r="DJ215" s="234"/>
      <c r="DK215" s="234"/>
      <c r="DL215" s="234"/>
      <c r="DM215" s="234"/>
      <c r="DN215" s="234"/>
      <c r="DO215" s="234"/>
      <c r="DP215" s="234"/>
      <c r="DQ215" s="234"/>
      <c r="DR215" s="234"/>
      <c r="DS215" s="234"/>
      <c r="DT215" s="234"/>
    </row>
    <row r="216" spans="1:124" s="231" customFormat="1" x14ac:dyDescent="0.25">
      <c r="A216" s="232"/>
      <c r="H216" s="232"/>
      <c r="K216" s="232"/>
      <c r="N216" s="232"/>
      <c r="W216" s="232"/>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4"/>
      <c r="AZ216" s="234"/>
      <c r="BA216" s="234"/>
      <c r="BB216" s="234"/>
      <c r="BC216" s="31"/>
      <c r="BD216" s="67"/>
      <c r="BE216" s="31"/>
      <c r="BF216" s="31"/>
      <c r="BG216" s="67"/>
      <c r="BH216" s="31"/>
      <c r="BI216" s="234"/>
      <c r="BJ216" s="31"/>
      <c r="BK216" s="49"/>
      <c r="BL216" s="31"/>
      <c r="BM216" s="234"/>
      <c r="BN216" s="31"/>
      <c r="BO216" s="49"/>
      <c r="BP216" s="31"/>
      <c r="BQ216" s="234"/>
      <c r="BR216" s="234"/>
      <c r="BS216" s="234"/>
      <c r="BT216" s="234"/>
      <c r="BU216" s="234"/>
      <c r="BV216" s="234"/>
      <c r="BW216" s="234"/>
      <c r="BX216" s="234"/>
      <c r="BY216" s="234"/>
      <c r="BZ216" s="234"/>
      <c r="CA216" s="234"/>
      <c r="CB216" s="234"/>
      <c r="CC216" s="234"/>
      <c r="CD216" s="234"/>
      <c r="CE216" s="234"/>
      <c r="CF216" s="234"/>
      <c r="CG216" s="234"/>
      <c r="CH216" s="234"/>
      <c r="CI216" s="234"/>
      <c r="CJ216" s="234"/>
      <c r="CK216" s="234"/>
      <c r="CL216" s="234"/>
      <c r="CM216" s="234"/>
      <c r="CN216" s="234"/>
      <c r="CO216" s="234"/>
      <c r="CP216" s="234"/>
      <c r="CQ216" s="234"/>
      <c r="CR216" s="234"/>
      <c r="CS216" s="234"/>
      <c r="CT216" s="234"/>
      <c r="CU216" s="234"/>
      <c r="CV216" s="234"/>
      <c r="CW216" s="234"/>
      <c r="CX216" s="234"/>
      <c r="CY216" s="234"/>
      <c r="CZ216" s="234"/>
      <c r="DA216" s="234"/>
      <c r="DB216" s="234"/>
      <c r="DC216" s="234"/>
      <c r="DD216" s="234"/>
      <c r="DE216" s="234"/>
      <c r="DF216" s="234"/>
      <c r="DG216" s="234"/>
      <c r="DH216" s="234"/>
      <c r="DI216" s="234"/>
      <c r="DJ216" s="234"/>
      <c r="DK216" s="234"/>
      <c r="DL216" s="234"/>
      <c r="DM216" s="234"/>
      <c r="DN216" s="234"/>
      <c r="DO216" s="234"/>
      <c r="DP216" s="234"/>
      <c r="DQ216" s="234"/>
      <c r="DR216" s="234"/>
      <c r="DS216" s="234"/>
      <c r="DT216" s="234"/>
    </row>
    <row r="217" spans="1:124" s="231" customFormat="1" x14ac:dyDescent="0.25">
      <c r="A217" s="232"/>
      <c r="H217" s="232"/>
      <c r="K217" s="232"/>
      <c r="N217" s="232"/>
      <c r="W217" s="232"/>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4"/>
      <c r="AZ217" s="234"/>
      <c r="BA217" s="234"/>
      <c r="BB217" s="234"/>
      <c r="BC217" s="31"/>
      <c r="BD217" s="67"/>
      <c r="BE217" s="31"/>
      <c r="BF217" s="31"/>
      <c r="BG217" s="67"/>
      <c r="BH217" s="31"/>
      <c r="BI217" s="234"/>
      <c r="BJ217" s="31"/>
      <c r="BK217" s="49"/>
      <c r="BL217" s="31"/>
      <c r="BM217" s="234"/>
      <c r="BN217" s="31"/>
      <c r="BO217" s="49"/>
      <c r="BP217" s="31"/>
      <c r="BQ217" s="234"/>
      <c r="BR217" s="234"/>
      <c r="BS217" s="234"/>
      <c r="BT217" s="234"/>
      <c r="BU217" s="234"/>
      <c r="BV217" s="234"/>
      <c r="BW217" s="234"/>
      <c r="BX217" s="234"/>
      <c r="BY217" s="234"/>
      <c r="BZ217" s="234"/>
      <c r="CA217" s="234"/>
      <c r="CB217" s="234"/>
      <c r="CC217" s="234"/>
      <c r="CD217" s="234"/>
      <c r="CE217" s="234"/>
      <c r="CF217" s="234"/>
      <c r="CG217" s="234"/>
      <c r="CH217" s="234"/>
      <c r="CI217" s="234"/>
      <c r="CJ217" s="234"/>
      <c r="CK217" s="234"/>
      <c r="CL217" s="234"/>
      <c r="CM217" s="234"/>
      <c r="CN217" s="234"/>
      <c r="CO217" s="234"/>
      <c r="CP217" s="234"/>
      <c r="CQ217" s="234"/>
      <c r="CR217" s="234"/>
      <c r="CS217" s="234"/>
      <c r="CT217" s="234"/>
      <c r="CU217" s="234"/>
      <c r="CV217" s="234"/>
      <c r="CW217" s="234"/>
      <c r="CX217" s="234"/>
      <c r="CY217" s="234"/>
      <c r="CZ217" s="234"/>
      <c r="DA217" s="234"/>
      <c r="DB217" s="234"/>
      <c r="DC217" s="234"/>
      <c r="DD217" s="234"/>
      <c r="DE217" s="234"/>
      <c r="DF217" s="234"/>
      <c r="DG217" s="234"/>
      <c r="DH217" s="234"/>
      <c r="DI217" s="234"/>
      <c r="DJ217" s="234"/>
      <c r="DK217" s="234"/>
      <c r="DL217" s="234"/>
      <c r="DM217" s="234"/>
      <c r="DN217" s="234"/>
      <c r="DO217" s="234"/>
      <c r="DP217" s="234"/>
      <c r="DQ217" s="234"/>
      <c r="DR217" s="234"/>
      <c r="DS217" s="234"/>
      <c r="DT217" s="234"/>
    </row>
    <row r="218" spans="1:124" s="231" customFormat="1" ht="18" x14ac:dyDescent="0.25">
      <c r="A218" s="232"/>
      <c r="H218" s="232"/>
      <c r="K218" s="232"/>
      <c r="N218" s="232"/>
      <c r="W218" s="232"/>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4"/>
      <c r="AZ218" s="234"/>
      <c r="BA218" s="234"/>
      <c r="BB218" s="234"/>
      <c r="BC218" s="135" t="s">
        <v>1434</v>
      </c>
      <c r="BD218" s="47" t="e">
        <f ca="1">$DI$42+$BG$60+$BD$93+$BE$123</f>
        <v>#DIV/0!</v>
      </c>
      <c r="BE218" s="31" t="s">
        <v>1238</v>
      </c>
      <c r="BF218" s="135"/>
      <c r="BG218" s="135"/>
      <c r="BH218" s="31"/>
      <c r="BI218" s="234"/>
      <c r="BJ218" s="135" t="s">
        <v>1111</v>
      </c>
      <c r="BK218" s="161" t="e">
        <f ca="1">BD218/'Indata byggnad och BBR krav'!$C$16*1000</f>
        <v>#DIV/0!</v>
      </c>
      <c r="BL218" s="31" t="s">
        <v>1238</v>
      </c>
      <c r="BM218" s="234"/>
      <c r="BN218" s="135"/>
      <c r="BO218" s="135"/>
      <c r="BP218" s="31"/>
      <c r="BQ218" s="234"/>
      <c r="BR218" s="234"/>
      <c r="BS218" s="234"/>
      <c r="BT218" s="234"/>
      <c r="BU218" s="234"/>
      <c r="BV218" s="234"/>
      <c r="BW218" s="234"/>
      <c r="BX218" s="234"/>
      <c r="BY218" s="234"/>
      <c r="BZ218" s="234"/>
      <c r="CA218" s="234"/>
      <c r="CB218" s="234"/>
      <c r="CC218" s="234"/>
      <c r="CD218" s="234"/>
      <c r="CE218" s="234"/>
      <c r="CF218" s="234"/>
      <c r="CG218" s="234"/>
      <c r="CH218" s="234"/>
      <c r="CI218" s="234"/>
      <c r="CJ218" s="234"/>
      <c r="CK218" s="234"/>
      <c r="CL218" s="234"/>
      <c r="CM218" s="234"/>
      <c r="CN218" s="234"/>
      <c r="CO218" s="234"/>
      <c r="CP218" s="234"/>
      <c r="CQ218" s="234"/>
      <c r="CR218" s="234"/>
      <c r="CS218" s="234"/>
      <c r="CT218" s="234"/>
      <c r="CU218" s="234"/>
      <c r="CV218" s="234"/>
      <c r="CW218" s="234"/>
      <c r="CX218" s="234"/>
      <c r="CY218" s="234"/>
      <c r="CZ218" s="234"/>
      <c r="DA218" s="234"/>
      <c r="DB218" s="234"/>
      <c r="DC218" s="234"/>
      <c r="DD218" s="234"/>
      <c r="DE218" s="234"/>
      <c r="DF218" s="234"/>
      <c r="DG218" s="234"/>
      <c r="DH218" s="234"/>
      <c r="DI218" s="234"/>
      <c r="DJ218" s="234"/>
      <c r="DK218" s="234"/>
      <c r="DL218" s="234"/>
      <c r="DM218" s="234"/>
      <c r="DN218" s="234"/>
      <c r="DO218" s="234"/>
      <c r="DP218" s="234"/>
      <c r="DQ218" s="234"/>
      <c r="DR218" s="234"/>
      <c r="DS218" s="234"/>
      <c r="DT218" s="234"/>
    </row>
    <row r="219" spans="1:124" s="231" customFormat="1" ht="18" x14ac:dyDescent="0.25">
      <c r="A219" s="232"/>
      <c r="H219" s="232"/>
      <c r="K219" s="232"/>
      <c r="N219" s="232"/>
      <c r="W219" s="232"/>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4"/>
      <c r="AZ219" s="234"/>
      <c r="BA219" s="234"/>
      <c r="BB219" s="234"/>
      <c r="BC219" s="135" t="s">
        <v>1434</v>
      </c>
      <c r="BD219" s="47" t="e">
        <f ca="1">$DI$43+$BG$61+$BD$94+$BE$124</f>
        <v>#DIV/0!</v>
      </c>
      <c r="BE219" s="31" t="s">
        <v>1240</v>
      </c>
      <c r="BF219" s="135" t="s">
        <v>1434</v>
      </c>
      <c r="BG219" s="47"/>
      <c r="BH219" s="31" t="s">
        <v>1240</v>
      </c>
      <c r="BI219" s="234"/>
      <c r="BJ219" s="135" t="s">
        <v>1111</v>
      </c>
      <c r="BK219" s="161" t="e">
        <f ca="1">BD219/'Indata byggnad och BBR krav'!$C$16*1000</f>
        <v>#DIV/0!</v>
      </c>
      <c r="BL219" s="31" t="s">
        <v>1240</v>
      </c>
      <c r="BM219" s="234"/>
      <c r="BN219" s="135" t="s">
        <v>1111</v>
      </c>
      <c r="BO219" s="161"/>
      <c r="BP219" s="31" t="s">
        <v>1240</v>
      </c>
      <c r="BQ219" s="234"/>
      <c r="BR219" s="234"/>
      <c r="BS219" s="234"/>
      <c r="BT219" s="234"/>
      <c r="BU219" s="234"/>
      <c r="BV219" s="234"/>
      <c r="BW219" s="234"/>
      <c r="BX219" s="234"/>
      <c r="BY219" s="234"/>
      <c r="BZ219" s="234"/>
      <c r="CA219" s="234"/>
      <c r="CB219" s="234"/>
      <c r="CC219" s="234"/>
      <c r="CD219" s="234"/>
      <c r="CE219" s="234"/>
      <c r="CF219" s="234"/>
      <c r="CG219" s="234"/>
      <c r="CH219" s="234"/>
      <c r="CI219" s="234"/>
      <c r="CJ219" s="234"/>
      <c r="CK219" s="234"/>
      <c r="CL219" s="234"/>
      <c r="CM219" s="234"/>
      <c r="CN219" s="234"/>
      <c r="CO219" s="234"/>
      <c r="CP219" s="234"/>
      <c r="CQ219" s="234"/>
      <c r="CR219" s="234"/>
      <c r="CS219" s="234"/>
      <c r="CT219" s="234"/>
      <c r="CU219" s="234"/>
      <c r="CV219" s="234"/>
      <c r="CW219" s="234"/>
      <c r="CX219" s="234"/>
      <c r="CY219" s="234"/>
      <c r="CZ219" s="234"/>
      <c r="DA219" s="234"/>
      <c r="DB219" s="234"/>
      <c r="DC219" s="234"/>
      <c r="DD219" s="234"/>
      <c r="DE219" s="234"/>
      <c r="DF219" s="234"/>
      <c r="DG219" s="234"/>
      <c r="DH219" s="234"/>
      <c r="DI219" s="234"/>
      <c r="DJ219" s="234"/>
      <c r="DK219" s="234"/>
      <c r="DL219" s="234"/>
      <c r="DM219" s="234"/>
      <c r="DN219" s="234"/>
      <c r="DO219" s="234"/>
      <c r="DP219" s="234"/>
      <c r="DQ219" s="234"/>
      <c r="DR219" s="234"/>
      <c r="DS219" s="234"/>
      <c r="DT219" s="234"/>
    </row>
    <row r="220" spans="1:124" s="231" customFormat="1" x14ac:dyDescent="0.25">
      <c r="A220" s="232"/>
      <c r="H220" s="232"/>
      <c r="K220" s="232"/>
      <c r="N220" s="232"/>
      <c r="W220" s="232"/>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4"/>
      <c r="AZ220" s="234"/>
      <c r="BA220" s="234"/>
      <c r="BB220" s="234"/>
      <c r="BC220" s="234"/>
      <c r="BD220" s="234"/>
      <c r="BE220" s="234"/>
      <c r="BF220" s="234"/>
      <c r="BG220" s="234"/>
      <c r="BH220" s="234"/>
      <c r="BI220" s="234"/>
      <c r="BJ220" s="234"/>
      <c r="BK220" s="234"/>
      <c r="BL220" s="234"/>
      <c r="BM220" s="234"/>
      <c r="BN220" s="234"/>
      <c r="BO220" s="234"/>
      <c r="BP220" s="234"/>
      <c r="BQ220" s="234"/>
      <c r="BR220" s="234"/>
      <c r="BS220" s="234"/>
      <c r="BT220" s="234"/>
      <c r="BU220" s="234"/>
      <c r="BV220" s="234"/>
      <c r="BW220" s="234"/>
      <c r="BX220" s="234"/>
      <c r="BY220" s="234"/>
      <c r="BZ220" s="234"/>
      <c r="CA220" s="234"/>
      <c r="CB220" s="234"/>
      <c r="CC220" s="234"/>
      <c r="CD220" s="234"/>
      <c r="CE220" s="234"/>
      <c r="CF220" s="234"/>
      <c r="CG220" s="234"/>
      <c r="CH220" s="234"/>
      <c r="CI220" s="234"/>
      <c r="CJ220" s="234"/>
      <c r="CK220" s="234"/>
      <c r="CL220" s="234"/>
      <c r="CM220" s="234"/>
      <c r="CN220" s="234"/>
      <c r="CO220" s="234"/>
      <c r="CP220" s="234"/>
      <c r="CQ220" s="234"/>
      <c r="CR220" s="234"/>
      <c r="CS220" s="234"/>
      <c r="CT220" s="234"/>
      <c r="CU220" s="234"/>
      <c r="CV220" s="234"/>
      <c r="CW220" s="234"/>
      <c r="CX220" s="234"/>
      <c r="CY220" s="234"/>
      <c r="CZ220" s="234"/>
      <c r="DA220" s="234"/>
      <c r="DB220" s="234"/>
      <c r="DC220" s="234"/>
      <c r="DD220" s="234"/>
      <c r="DE220" s="234"/>
      <c r="DF220" s="234"/>
      <c r="DG220" s="234"/>
      <c r="DH220" s="234"/>
      <c r="DI220" s="234"/>
      <c r="DJ220" s="234"/>
      <c r="DK220" s="234"/>
      <c r="DL220" s="234"/>
      <c r="DM220" s="234"/>
      <c r="DN220" s="234"/>
      <c r="DO220" s="234"/>
      <c r="DP220" s="234"/>
      <c r="DQ220" s="234"/>
      <c r="DR220" s="234"/>
      <c r="DS220" s="234"/>
      <c r="DT220" s="234"/>
    </row>
    <row r="221" spans="1:124" s="231" customFormat="1" x14ac:dyDescent="0.25">
      <c r="A221" s="232"/>
      <c r="H221" s="232"/>
      <c r="K221" s="232"/>
      <c r="N221" s="232"/>
      <c r="W221" s="232"/>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4"/>
      <c r="AZ221" s="234"/>
      <c r="BA221" s="234"/>
      <c r="BB221" s="234"/>
      <c r="BC221" s="234"/>
      <c r="BD221" s="234"/>
      <c r="BE221" s="234"/>
      <c r="BF221" s="292" t="s">
        <v>1397</v>
      </c>
      <c r="BG221" s="234"/>
      <c r="BH221" s="234"/>
      <c r="BI221" s="234"/>
      <c r="BJ221" s="234"/>
      <c r="BK221" s="234"/>
      <c r="BL221" s="234"/>
      <c r="BM221" s="234"/>
      <c r="BN221" s="292" t="s">
        <v>1397</v>
      </c>
      <c r="BO221" s="234"/>
      <c r="BP221" s="234"/>
      <c r="BQ221" s="234"/>
      <c r="BR221" s="234"/>
      <c r="BS221" s="234"/>
      <c r="BT221" s="234"/>
      <c r="BU221" s="234"/>
      <c r="BV221" s="234"/>
      <c r="BW221" s="234"/>
      <c r="BX221" s="234"/>
      <c r="BY221" s="234"/>
      <c r="BZ221" s="234"/>
      <c r="CA221" s="234"/>
      <c r="CB221" s="234"/>
      <c r="CC221" s="234"/>
      <c r="CD221" s="234"/>
      <c r="CE221" s="234"/>
      <c r="CF221" s="234"/>
      <c r="CG221" s="234"/>
      <c r="CH221" s="234"/>
      <c r="CI221" s="234"/>
      <c r="CJ221" s="234"/>
      <c r="CK221" s="234"/>
      <c r="CL221" s="234"/>
      <c r="CM221" s="234"/>
      <c r="CN221" s="234"/>
      <c r="CO221" s="234"/>
      <c r="CP221" s="234"/>
      <c r="CQ221" s="234"/>
      <c r="CR221" s="234"/>
      <c r="CS221" s="234"/>
      <c r="CT221" s="234"/>
      <c r="CU221" s="234"/>
      <c r="CV221" s="234"/>
      <c r="CW221" s="234"/>
      <c r="CX221" s="234"/>
      <c r="CY221" s="234"/>
      <c r="CZ221" s="234"/>
      <c r="DA221" s="234"/>
      <c r="DB221" s="234"/>
      <c r="DC221" s="234"/>
      <c r="DD221" s="234"/>
      <c r="DE221" s="234"/>
      <c r="DF221" s="234"/>
      <c r="DG221" s="234"/>
      <c r="DH221" s="234"/>
      <c r="DI221" s="234"/>
      <c r="DJ221" s="234"/>
      <c r="DK221" s="234"/>
      <c r="DL221" s="234"/>
      <c r="DM221" s="234"/>
      <c r="DN221" s="234"/>
      <c r="DO221" s="234"/>
      <c r="DP221" s="234"/>
      <c r="DQ221" s="234"/>
      <c r="DR221" s="234"/>
      <c r="DS221" s="234"/>
      <c r="DT221" s="234"/>
    </row>
    <row r="222" spans="1:124" s="231" customFormat="1" x14ac:dyDescent="0.25">
      <c r="A222" s="232"/>
      <c r="H222" s="232"/>
      <c r="K222" s="232"/>
      <c r="N222" s="232"/>
      <c r="W222" s="232"/>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4"/>
      <c r="AZ222" s="234"/>
      <c r="BA222" s="234"/>
      <c r="BB222" s="234"/>
      <c r="BC222" s="234"/>
      <c r="BD222" s="234"/>
      <c r="BE222" s="234"/>
      <c r="BF222" s="234"/>
      <c r="BG222" s="234"/>
      <c r="BH222" s="234"/>
      <c r="BI222" s="234"/>
      <c r="BJ222" s="234"/>
      <c r="BK222" s="234"/>
      <c r="BL222" s="234"/>
      <c r="BM222" s="234"/>
      <c r="BN222" s="234"/>
      <c r="BO222" s="234"/>
      <c r="BP222" s="234"/>
      <c r="BQ222" s="234"/>
      <c r="BR222" s="234"/>
      <c r="BS222" s="234"/>
      <c r="BT222" s="234"/>
      <c r="BU222" s="234"/>
      <c r="BV222" s="234"/>
      <c r="BW222" s="234"/>
      <c r="BX222" s="234"/>
      <c r="BY222" s="234"/>
      <c r="BZ222" s="234"/>
      <c r="CA222" s="234"/>
      <c r="CB222" s="234"/>
      <c r="CC222" s="234"/>
      <c r="CD222" s="234"/>
      <c r="CE222" s="234"/>
      <c r="CF222" s="234"/>
      <c r="CG222" s="234"/>
      <c r="CH222" s="234"/>
      <c r="CI222" s="234"/>
      <c r="CJ222" s="234"/>
      <c r="CK222" s="234"/>
      <c r="CL222" s="234"/>
      <c r="CM222" s="234"/>
      <c r="CN222" s="234"/>
      <c r="CO222" s="234"/>
      <c r="CP222" s="234"/>
      <c r="CQ222" s="234"/>
      <c r="CR222" s="234"/>
      <c r="CS222" s="234"/>
      <c r="CT222" s="234"/>
      <c r="CU222" s="234"/>
      <c r="CV222" s="234"/>
      <c r="CW222" s="234"/>
      <c r="CX222" s="234"/>
      <c r="CY222" s="234"/>
      <c r="CZ222" s="234"/>
      <c r="DA222" s="234"/>
      <c r="DB222" s="234"/>
      <c r="DC222" s="234"/>
      <c r="DD222" s="234"/>
      <c r="DE222" s="234"/>
      <c r="DF222" s="234"/>
      <c r="DG222" s="234"/>
      <c r="DH222" s="234"/>
      <c r="DI222" s="234"/>
      <c r="DJ222" s="234"/>
      <c r="DK222" s="234"/>
      <c r="DL222" s="234"/>
      <c r="DM222" s="234"/>
      <c r="DN222" s="234"/>
      <c r="DO222" s="234"/>
      <c r="DP222" s="234"/>
      <c r="DQ222" s="234"/>
      <c r="DR222" s="234"/>
      <c r="DS222" s="234"/>
      <c r="DT222" s="234"/>
    </row>
    <row r="223" spans="1:124" s="231" customFormat="1" x14ac:dyDescent="0.25">
      <c r="A223" s="232"/>
      <c r="H223" s="232"/>
      <c r="K223" s="232"/>
      <c r="N223" s="232"/>
      <c r="W223" s="232"/>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4"/>
      <c r="AZ223" s="234"/>
      <c r="BA223" s="234"/>
      <c r="BB223" s="234"/>
      <c r="BC223" s="234"/>
      <c r="BD223" s="234"/>
      <c r="BE223" s="38"/>
      <c r="BF223" s="234"/>
      <c r="BG223" s="234"/>
      <c r="BH223" s="234"/>
      <c r="BI223" s="423"/>
      <c r="BJ223" s="424"/>
      <c r="BK223" s="425" t="s">
        <v>1435</v>
      </c>
      <c r="BL223" s="426" t="s">
        <v>1410</v>
      </c>
      <c r="BM223" s="427"/>
      <c r="BN223" s="424"/>
      <c r="BO223" s="424"/>
      <c r="BP223" s="428"/>
      <c r="BQ223" s="234"/>
      <c r="BR223" s="234"/>
      <c r="BS223" s="234"/>
      <c r="BT223" s="234"/>
      <c r="BU223" s="234"/>
      <c r="BV223" s="234"/>
      <c r="BW223" s="234"/>
      <c r="BX223" s="234"/>
      <c r="BY223" s="234"/>
      <c r="BZ223" s="234"/>
      <c r="CA223" s="234"/>
      <c r="CB223" s="234"/>
      <c r="CC223" s="234"/>
      <c r="CD223" s="234"/>
      <c r="CE223" s="234"/>
      <c r="CF223" s="234"/>
      <c r="CG223" s="234"/>
      <c r="CH223" s="234"/>
      <c r="CI223" s="234"/>
      <c r="CJ223" s="234"/>
      <c r="CK223" s="234"/>
      <c r="CL223" s="234"/>
      <c r="CM223" s="234"/>
      <c r="CN223" s="234"/>
      <c r="CO223" s="234"/>
      <c r="CP223" s="234"/>
      <c r="CQ223" s="234"/>
      <c r="CR223" s="234"/>
      <c r="CS223" s="234"/>
      <c r="CT223" s="234"/>
      <c r="CU223" s="234"/>
      <c r="CV223" s="234"/>
      <c r="CW223" s="234"/>
      <c r="CX223" s="234"/>
      <c r="CY223" s="234"/>
      <c r="CZ223" s="234"/>
      <c r="DA223" s="234"/>
      <c r="DB223" s="234"/>
      <c r="DC223" s="234"/>
      <c r="DD223" s="234"/>
      <c r="DE223" s="234"/>
      <c r="DF223" s="234"/>
      <c r="DG223" s="234"/>
      <c r="DH223" s="234"/>
      <c r="DI223" s="234"/>
      <c r="DJ223" s="234"/>
      <c r="DK223" s="234"/>
      <c r="DL223" s="234"/>
      <c r="DM223" s="234"/>
      <c r="DN223" s="234"/>
      <c r="DO223" s="234"/>
      <c r="DP223" s="234"/>
      <c r="DQ223" s="234"/>
      <c r="DR223" s="234"/>
      <c r="DS223" s="234"/>
      <c r="DT223" s="234"/>
    </row>
    <row r="224" spans="1:124" s="231" customFormat="1" x14ac:dyDescent="0.25">
      <c r="A224" s="232"/>
      <c r="H224" s="232"/>
      <c r="K224" s="232"/>
      <c r="N224" s="232"/>
      <c r="W224" s="232"/>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4"/>
      <c r="AZ224" s="234"/>
      <c r="BA224" s="234"/>
      <c r="BB224" s="234"/>
      <c r="BC224" s="234"/>
      <c r="BD224" s="234"/>
      <c r="BE224" s="234"/>
      <c r="BF224" s="234"/>
      <c r="BG224" s="234"/>
      <c r="BH224" s="234"/>
      <c r="BI224" s="429"/>
      <c r="BJ224" s="31"/>
      <c r="BK224" s="31"/>
      <c r="BL224" s="124" t="s">
        <v>1404</v>
      </c>
      <c r="BM224" s="31"/>
      <c r="BN224" s="31"/>
      <c r="BO224" s="31"/>
      <c r="BP224" s="430"/>
      <c r="BQ224" s="234"/>
      <c r="BR224" s="234"/>
      <c r="BS224" s="234"/>
      <c r="BT224" s="234"/>
      <c r="BU224" s="234"/>
      <c r="BV224" s="234"/>
      <c r="BW224" s="234"/>
      <c r="BX224" s="234"/>
      <c r="BY224" s="234"/>
      <c r="BZ224" s="234"/>
      <c r="CA224" s="234"/>
      <c r="CB224" s="234"/>
      <c r="CC224" s="234"/>
      <c r="CD224" s="234"/>
      <c r="CE224" s="234"/>
      <c r="CF224" s="234"/>
      <c r="CG224" s="234"/>
      <c r="CH224" s="234"/>
      <c r="CI224" s="234"/>
      <c r="CJ224" s="234"/>
      <c r="CK224" s="234"/>
      <c r="CL224" s="234"/>
      <c r="CM224" s="234"/>
      <c r="CN224" s="234"/>
      <c r="CO224" s="234"/>
      <c r="CP224" s="234"/>
      <c r="CQ224" s="234"/>
      <c r="CR224" s="234"/>
      <c r="CS224" s="234"/>
      <c r="CT224" s="234"/>
      <c r="CU224" s="234"/>
      <c r="CV224" s="234"/>
      <c r="CW224" s="234"/>
      <c r="CX224" s="234"/>
      <c r="CY224" s="234"/>
      <c r="CZ224" s="234"/>
      <c r="DA224" s="234"/>
      <c r="DB224" s="234"/>
      <c r="DC224" s="234"/>
      <c r="DD224" s="234"/>
      <c r="DE224" s="234"/>
      <c r="DF224" s="234"/>
      <c r="DG224" s="234"/>
      <c r="DH224" s="234"/>
      <c r="DI224" s="234"/>
      <c r="DJ224" s="234"/>
      <c r="DK224" s="234"/>
      <c r="DL224" s="234"/>
      <c r="DM224" s="234"/>
      <c r="DN224" s="234"/>
      <c r="DO224" s="234"/>
      <c r="DP224" s="234"/>
      <c r="DQ224" s="234"/>
      <c r="DR224" s="234"/>
      <c r="DS224" s="234"/>
      <c r="DT224" s="234"/>
    </row>
    <row r="225" spans="1:124" s="231" customFormat="1" x14ac:dyDescent="0.25">
      <c r="A225" s="232"/>
      <c r="H225" s="232"/>
      <c r="K225" s="232"/>
      <c r="N225" s="232"/>
      <c r="W225" s="232"/>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4"/>
      <c r="AZ225" s="234"/>
      <c r="BA225" s="234"/>
      <c r="BB225" s="234"/>
      <c r="BC225" s="234"/>
      <c r="BD225" s="234"/>
      <c r="BE225" s="234"/>
      <c r="BF225" s="234"/>
      <c r="BG225" s="234"/>
      <c r="BH225" s="234"/>
      <c r="BI225" s="429"/>
      <c r="BJ225" s="431" t="s">
        <v>1417</v>
      </c>
      <c r="BK225" s="31"/>
      <c r="BL225" s="31"/>
      <c r="BM225" s="31"/>
      <c r="BN225" s="431"/>
      <c r="BO225" s="31"/>
      <c r="BP225" s="430"/>
      <c r="BQ225" s="234"/>
      <c r="BR225" s="234"/>
      <c r="BS225" s="234"/>
      <c r="BT225" s="234"/>
      <c r="BU225" s="234"/>
      <c r="BV225" s="234"/>
      <c r="BW225" s="234"/>
      <c r="BX225" s="234"/>
      <c r="BY225" s="234"/>
      <c r="BZ225" s="234"/>
      <c r="CA225" s="234"/>
      <c r="CB225" s="234"/>
      <c r="CC225" s="234"/>
      <c r="CD225" s="234"/>
      <c r="CE225" s="234"/>
      <c r="CF225" s="234"/>
      <c r="CG225" s="234"/>
      <c r="CH225" s="234"/>
      <c r="CI225" s="234"/>
      <c r="CJ225" s="234"/>
      <c r="CK225" s="234"/>
      <c r="CL225" s="234"/>
      <c r="CM225" s="234"/>
      <c r="CN225" s="234"/>
      <c r="CO225" s="234"/>
      <c r="CP225" s="234"/>
      <c r="CQ225" s="234"/>
      <c r="CR225" s="234"/>
      <c r="CS225" s="234"/>
      <c r="CT225" s="234"/>
      <c r="CU225" s="234"/>
      <c r="CV225" s="234"/>
      <c r="CW225" s="234"/>
      <c r="CX225" s="234"/>
      <c r="CY225" s="234"/>
      <c r="CZ225" s="234"/>
      <c r="DA225" s="234"/>
      <c r="DB225" s="234"/>
      <c r="DC225" s="234"/>
      <c r="DD225" s="234"/>
      <c r="DE225" s="234"/>
      <c r="DF225" s="234"/>
      <c r="DG225" s="234"/>
      <c r="DH225" s="234"/>
      <c r="DI225" s="234"/>
      <c r="DJ225" s="234"/>
      <c r="DK225" s="234"/>
      <c r="DL225" s="234"/>
      <c r="DM225" s="234"/>
      <c r="DN225" s="234"/>
      <c r="DO225" s="234"/>
      <c r="DP225" s="234"/>
      <c r="DQ225" s="234"/>
      <c r="DR225" s="234"/>
      <c r="DS225" s="234"/>
      <c r="DT225" s="234"/>
    </row>
    <row r="226" spans="1:124" s="231" customFormat="1" x14ac:dyDescent="0.25">
      <c r="A226" s="232"/>
      <c r="H226" s="232"/>
      <c r="K226" s="232"/>
      <c r="N226" s="232"/>
      <c r="W226" s="232"/>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4"/>
      <c r="AZ226" s="234"/>
      <c r="BA226" s="234"/>
      <c r="BB226" s="234"/>
      <c r="BC226" s="234"/>
      <c r="BD226" s="234"/>
      <c r="BE226" s="234"/>
      <c r="BF226" s="234"/>
      <c r="BG226" s="234"/>
      <c r="BH226" s="234"/>
      <c r="BI226" s="429"/>
      <c r="BJ226" s="140" t="s">
        <v>1411</v>
      </c>
      <c r="BK226" s="31"/>
      <c r="BL226" s="31"/>
      <c r="BM226" s="31"/>
      <c r="BN226" s="140" t="s">
        <v>1411</v>
      </c>
      <c r="BO226" s="31"/>
      <c r="BP226" s="430"/>
      <c r="BQ226" s="234"/>
      <c r="BR226" s="234"/>
      <c r="BS226" s="234"/>
      <c r="BT226" s="234"/>
      <c r="BU226" s="234"/>
      <c r="BV226" s="234"/>
      <c r="BW226" s="234"/>
      <c r="BX226" s="234"/>
      <c r="BY226" s="234"/>
      <c r="BZ226" s="234"/>
      <c r="CA226" s="234"/>
      <c r="CB226" s="234"/>
      <c r="CC226" s="234"/>
      <c r="CD226" s="234"/>
      <c r="CE226" s="234"/>
      <c r="CF226" s="234"/>
      <c r="CG226" s="234"/>
      <c r="CH226" s="234"/>
      <c r="CI226" s="234"/>
      <c r="CJ226" s="234"/>
      <c r="CK226" s="234"/>
      <c r="CL226" s="234"/>
      <c r="CM226" s="234"/>
      <c r="CN226" s="234"/>
      <c r="CO226" s="234"/>
      <c r="CP226" s="234"/>
      <c r="CQ226" s="234"/>
      <c r="CR226" s="234"/>
      <c r="CS226" s="234"/>
      <c r="CT226" s="234"/>
      <c r="CU226" s="234"/>
      <c r="CV226" s="234"/>
      <c r="CW226" s="234"/>
      <c r="CX226" s="234"/>
      <c r="CY226" s="234"/>
      <c r="CZ226" s="234"/>
      <c r="DA226" s="234"/>
      <c r="DB226" s="234"/>
      <c r="DC226" s="234"/>
      <c r="DD226" s="234"/>
      <c r="DE226" s="234"/>
      <c r="DF226" s="234"/>
      <c r="DG226" s="234"/>
      <c r="DH226" s="234"/>
      <c r="DI226" s="234"/>
      <c r="DJ226" s="234"/>
      <c r="DK226" s="234"/>
      <c r="DL226" s="234"/>
      <c r="DM226" s="234"/>
      <c r="DN226" s="234"/>
      <c r="DO226" s="234"/>
      <c r="DP226" s="234"/>
      <c r="DQ226" s="234"/>
      <c r="DR226" s="234"/>
      <c r="DS226" s="234"/>
      <c r="DT226" s="234"/>
    </row>
    <row r="227" spans="1:124" s="231" customFormat="1" x14ac:dyDescent="0.25">
      <c r="A227" s="232"/>
      <c r="H227" s="232"/>
      <c r="K227" s="232"/>
      <c r="N227" s="232"/>
      <c r="W227" s="232"/>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4"/>
      <c r="AZ227" s="234"/>
      <c r="BA227" s="234"/>
      <c r="BB227" s="234"/>
      <c r="BC227" s="234"/>
      <c r="BD227" s="234"/>
      <c r="BE227" s="234"/>
      <c r="BF227" s="234"/>
      <c r="BG227" s="234"/>
      <c r="BH227" s="234"/>
      <c r="BI227" s="429"/>
      <c r="BJ227" s="142"/>
      <c r="BK227" s="142"/>
      <c r="BL227" s="31"/>
      <c r="BM227" s="31"/>
      <c r="BN227" s="142"/>
      <c r="BO227" s="142"/>
      <c r="BP227" s="430"/>
      <c r="BQ227" s="234"/>
      <c r="BR227" s="234"/>
      <c r="BS227" s="234"/>
      <c r="BT227" s="234"/>
      <c r="BU227" s="234"/>
      <c r="BV227" s="234"/>
      <c r="BW227" s="234"/>
      <c r="BX227" s="234"/>
      <c r="BY227" s="234"/>
      <c r="BZ227" s="234"/>
      <c r="CA227" s="234"/>
      <c r="CB227" s="234"/>
      <c r="CC227" s="234"/>
      <c r="CD227" s="234"/>
      <c r="CE227" s="234"/>
      <c r="CF227" s="234"/>
      <c r="CG227" s="234"/>
      <c r="CH227" s="234"/>
      <c r="CI227" s="234"/>
      <c r="CJ227" s="234"/>
      <c r="CK227" s="234"/>
      <c r="CL227" s="234"/>
      <c r="CM227" s="234"/>
      <c r="CN227" s="234"/>
      <c r="CO227" s="234"/>
      <c r="CP227" s="234"/>
      <c r="CQ227" s="234"/>
      <c r="CR227" s="234"/>
      <c r="CS227" s="234"/>
      <c r="CT227" s="234"/>
      <c r="CU227" s="234"/>
      <c r="CV227" s="234"/>
      <c r="CW227" s="234"/>
      <c r="CX227" s="234"/>
      <c r="CY227" s="234"/>
      <c r="CZ227" s="234"/>
      <c r="DA227" s="234"/>
      <c r="DB227" s="234"/>
      <c r="DC227" s="234"/>
      <c r="DD227" s="234"/>
      <c r="DE227" s="234"/>
      <c r="DF227" s="234"/>
      <c r="DG227" s="234"/>
      <c r="DH227" s="234"/>
      <c r="DI227" s="234"/>
      <c r="DJ227" s="234"/>
      <c r="DK227" s="234"/>
      <c r="DL227" s="234"/>
      <c r="DM227" s="234"/>
      <c r="DN227" s="234"/>
      <c r="DO227" s="234"/>
      <c r="DP227" s="234"/>
      <c r="DQ227" s="234"/>
      <c r="DR227" s="234"/>
      <c r="DS227" s="234"/>
      <c r="DT227" s="234"/>
    </row>
    <row r="228" spans="1:124" s="231" customFormat="1" x14ac:dyDescent="0.25">
      <c r="A228" s="232"/>
      <c r="H228" s="232"/>
      <c r="K228" s="232"/>
      <c r="N228" s="232"/>
      <c r="W228" s="232"/>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4"/>
      <c r="AZ228" s="234"/>
      <c r="BA228" s="234"/>
      <c r="BB228" s="234"/>
      <c r="BC228" s="234"/>
      <c r="BD228" s="234"/>
      <c r="BE228" s="234"/>
      <c r="BF228" s="234"/>
      <c r="BG228" s="234"/>
      <c r="BH228" s="234"/>
      <c r="BI228" s="429"/>
      <c r="BJ228" s="148" t="s">
        <v>21</v>
      </c>
      <c r="BK228" s="422" t="e">
        <f ca="1">BK230+BK231+BK232+BK233</f>
        <v>#DIV/0!</v>
      </c>
      <c r="BL228" s="31"/>
      <c r="BM228" s="31"/>
      <c r="BN228" s="148" t="s">
        <v>21</v>
      </c>
      <c r="BO228" s="422"/>
      <c r="BP228" s="430"/>
      <c r="BQ228" s="234"/>
      <c r="BR228" s="234"/>
      <c r="BS228" s="234"/>
      <c r="BT228" s="234"/>
      <c r="BU228" s="234"/>
      <c r="BV228" s="234"/>
      <c r="BW228" s="234"/>
      <c r="BX228" s="234"/>
      <c r="BY228" s="234"/>
      <c r="BZ228" s="234"/>
      <c r="CA228" s="234"/>
      <c r="CB228" s="234"/>
      <c r="CC228" s="234"/>
      <c r="CD228" s="234"/>
      <c r="CE228" s="234"/>
      <c r="CF228" s="234"/>
      <c r="CG228" s="234"/>
      <c r="CH228" s="234"/>
      <c r="CI228" s="234"/>
      <c r="CJ228" s="234"/>
      <c r="CK228" s="234"/>
      <c r="CL228" s="234"/>
      <c r="CM228" s="234"/>
      <c r="CN228" s="234"/>
      <c r="CO228" s="234"/>
      <c r="CP228" s="234"/>
      <c r="CQ228" s="234"/>
      <c r="CR228" s="234"/>
      <c r="CS228" s="234"/>
      <c r="CT228" s="234"/>
      <c r="CU228" s="234"/>
      <c r="CV228" s="234"/>
      <c r="CW228" s="234"/>
      <c r="CX228" s="234"/>
      <c r="CY228" s="234"/>
      <c r="CZ228" s="234"/>
      <c r="DA228" s="234"/>
      <c r="DB228" s="234"/>
      <c r="DC228" s="234"/>
      <c r="DD228" s="234"/>
      <c r="DE228" s="234"/>
      <c r="DF228" s="234"/>
      <c r="DG228" s="234"/>
      <c r="DH228" s="234"/>
      <c r="DI228" s="234"/>
      <c r="DJ228" s="234"/>
      <c r="DK228" s="234"/>
      <c r="DL228" s="234"/>
      <c r="DM228" s="234"/>
      <c r="DN228" s="234"/>
      <c r="DO228" s="234"/>
      <c r="DP228" s="234"/>
      <c r="DQ228" s="234"/>
      <c r="DR228" s="234"/>
      <c r="DS228" s="234"/>
      <c r="DT228" s="234"/>
    </row>
    <row r="229" spans="1:124" s="231" customFormat="1" x14ac:dyDescent="0.25">
      <c r="A229" s="232"/>
      <c r="H229" s="232"/>
      <c r="K229" s="232"/>
      <c r="N229" s="232"/>
      <c r="W229" s="232"/>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4"/>
      <c r="AZ229" s="234"/>
      <c r="BA229" s="234"/>
      <c r="BB229" s="234"/>
      <c r="BC229" s="234"/>
      <c r="BD229" s="234"/>
      <c r="BE229" s="234"/>
      <c r="BF229" s="234"/>
      <c r="BG229" s="234"/>
      <c r="BH229" s="234"/>
      <c r="BI229" s="429"/>
      <c r="BJ229" s="154" t="s">
        <v>29</v>
      </c>
      <c r="BK229" s="156"/>
      <c r="BL229" s="31"/>
      <c r="BM229" s="31"/>
      <c r="BN229" s="154" t="s">
        <v>29</v>
      </c>
      <c r="BO229" s="156"/>
      <c r="BP229" s="430"/>
      <c r="BQ229" s="234"/>
      <c r="BR229" s="234"/>
      <c r="BS229" s="234"/>
      <c r="BT229" s="234"/>
      <c r="BU229" s="234"/>
      <c r="BV229" s="234"/>
      <c r="BW229" s="234"/>
      <c r="BX229" s="234"/>
      <c r="BY229" s="234"/>
      <c r="BZ229" s="234"/>
      <c r="CA229" s="234"/>
      <c r="CB229" s="234"/>
      <c r="CC229" s="234"/>
      <c r="CD229" s="234"/>
      <c r="CE229" s="234"/>
      <c r="CF229" s="234"/>
      <c r="CG229" s="234"/>
      <c r="CH229" s="234"/>
      <c r="CI229" s="234"/>
      <c r="CJ229" s="234"/>
      <c r="CK229" s="234"/>
      <c r="CL229" s="234"/>
      <c r="CM229" s="234"/>
      <c r="CN229" s="234"/>
      <c r="CO229" s="234"/>
      <c r="CP229" s="234"/>
      <c r="CQ229" s="234"/>
      <c r="CR229" s="234"/>
      <c r="CS229" s="234"/>
      <c r="CT229" s="234"/>
      <c r="CU229" s="234"/>
      <c r="CV229" s="234"/>
      <c r="CW229" s="234"/>
      <c r="CX229" s="234"/>
      <c r="CY229" s="234"/>
      <c r="CZ229" s="234"/>
      <c r="DA229" s="234"/>
      <c r="DB229" s="234"/>
      <c r="DC229" s="234"/>
      <c r="DD229" s="234"/>
      <c r="DE229" s="234"/>
      <c r="DF229" s="234"/>
      <c r="DG229" s="234"/>
      <c r="DH229" s="234"/>
      <c r="DI229" s="234"/>
      <c r="DJ229" s="234"/>
      <c r="DK229" s="234"/>
      <c r="DL229" s="234"/>
      <c r="DM229" s="234"/>
      <c r="DN229" s="234"/>
      <c r="DO229" s="234"/>
      <c r="DP229" s="234"/>
      <c r="DQ229" s="234"/>
      <c r="DR229" s="234"/>
      <c r="DS229" s="234"/>
      <c r="DT229" s="234"/>
    </row>
    <row r="230" spans="1:124" s="231" customFormat="1" x14ac:dyDescent="0.25">
      <c r="A230" s="232"/>
      <c r="H230" s="232"/>
      <c r="K230" s="232"/>
      <c r="N230" s="232"/>
      <c r="W230" s="232"/>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4"/>
      <c r="AZ230" s="234"/>
      <c r="BA230" s="234"/>
      <c r="BB230" s="234"/>
      <c r="BC230" s="234"/>
      <c r="BD230" s="234"/>
      <c r="BE230" s="234"/>
      <c r="BF230" s="234"/>
      <c r="BG230" s="234"/>
      <c r="BH230" s="234"/>
      <c r="BI230" s="429"/>
      <c r="BJ230" s="51" t="s">
        <v>22</v>
      </c>
      <c r="BK230" s="150" t="e">
        <f ca="1">$DI$46</f>
        <v>#DIV/0!</v>
      </c>
      <c r="BL230" s="31"/>
      <c r="BM230" s="31"/>
      <c r="BN230" s="51" t="s">
        <v>22</v>
      </c>
      <c r="BO230" s="150"/>
      <c r="BP230" s="430"/>
      <c r="BQ230" s="234"/>
      <c r="BR230" s="234"/>
      <c r="BS230" s="234"/>
      <c r="BT230" s="234"/>
      <c r="BU230" s="234"/>
      <c r="BV230" s="234"/>
      <c r="BW230" s="234"/>
      <c r="BX230" s="234"/>
      <c r="BY230" s="234"/>
      <c r="BZ230" s="234"/>
      <c r="CA230" s="234"/>
      <c r="CB230" s="234"/>
      <c r="CC230" s="234"/>
      <c r="CD230" s="234"/>
      <c r="CE230" s="234"/>
      <c r="CF230" s="234"/>
      <c r="CG230" s="234"/>
      <c r="CH230" s="234"/>
      <c r="CI230" s="234"/>
      <c r="CJ230" s="234"/>
      <c r="CK230" s="234"/>
      <c r="CL230" s="234"/>
      <c r="CM230" s="234"/>
      <c r="CN230" s="234"/>
      <c r="CO230" s="234"/>
      <c r="CP230" s="234"/>
      <c r="CQ230" s="234"/>
      <c r="CR230" s="234"/>
      <c r="CS230" s="234"/>
      <c r="CT230" s="234"/>
      <c r="CU230" s="234"/>
      <c r="CV230" s="234"/>
      <c r="CW230" s="234"/>
      <c r="CX230" s="234"/>
      <c r="CY230" s="234"/>
      <c r="CZ230" s="234"/>
      <c r="DA230" s="234"/>
      <c r="DB230" s="234"/>
      <c r="DC230" s="234"/>
      <c r="DD230" s="234"/>
      <c r="DE230" s="234"/>
      <c r="DF230" s="234"/>
      <c r="DG230" s="234"/>
      <c r="DH230" s="234"/>
      <c r="DI230" s="234"/>
      <c r="DJ230" s="234"/>
      <c r="DK230" s="234"/>
      <c r="DL230" s="234"/>
      <c r="DM230" s="234"/>
      <c r="DN230" s="234"/>
      <c r="DO230" s="234"/>
      <c r="DP230" s="234"/>
      <c r="DQ230" s="234"/>
      <c r="DR230" s="234"/>
      <c r="DS230" s="234"/>
      <c r="DT230" s="234"/>
    </row>
    <row r="231" spans="1:124" s="231" customFormat="1" ht="15.75" x14ac:dyDescent="0.25">
      <c r="A231" s="232"/>
      <c r="H231" s="232"/>
      <c r="K231" s="232"/>
      <c r="N231" s="232"/>
      <c r="W231" s="232"/>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4"/>
      <c r="AZ231" s="234"/>
      <c r="BA231" s="234"/>
      <c r="BB231" s="234"/>
      <c r="BC231" s="234"/>
      <c r="BD231" s="234"/>
      <c r="BE231" s="234"/>
      <c r="BF231" s="234"/>
      <c r="BG231" s="234"/>
      <c r="BH231" s="234"/>
      <c r="BI231" s="429"/>
      <c r="BJ231" s="160" t="s">
        <v>23</v>
      </c>
      <c r="BK231" s="150" t="e">
        <f>$BG$64</f>
        <v>#DIV/0!</v>
      </c>
      <c r="BL231" s="31"/>
      <c r="BM231" s="31"/>
      <c r="BN231" s="160" t="s">
        <v>23</v>
      </c>
      <c r="BO231" s="150"/>
      <c r="BP231" s="430"/>
      <c r="BQ231" s="234"/>
      <c r="BR231" s="234"/>
      <c r="BS231" s="234"/>
      <c r="BT231" s="234"/>
      <c r="BU231" s="234"/>
      <c r="BV231" s="234"/>
      <c r="BW231" s="234"/>
      <c r="BX231" s="234"/>
      <c r="BY231" s="234"/>
      <c r="BZ231" s="234"/>
      <c r="CA231" s="234"/>
      <c r="CB231" s="234"/>
      <c r="CC231" s="234"/>
      <c r="CD231" s="234"/>
      <c r="CE231" s="234"/>
      <c r="CF231" s="234"/>
      <c r="CG231" s="234"/>
      <c r="CH231" s="234"/>
      <c r="CI231" s="234"/>
      <c r="CJ231" s="234"/>
      <c r="CK231" s="234"/>
      <c r="CL231" s="234"/>
      <c r="CM231" s="234"/>
      <c r="CN231" s="234"/>
      <c r="CO231" s="234"/>
      <c r="CP231" s="234"/>
      <c r="CQ231" s="234"/>
      <c r="CR231" s="234"/>
      <c r="CS231" s="234"/>
      <c r="CT231" s="234"/>
      <c r="CU231" s="234"/>
      <c r="CV231" s="234"/>
      <c r="CW231" s="234"/>
      <c r="CX231" s="234"/>
      <c r="CY231" s="234"/>
      <c r="CZ231" s="234"/>
      <c r="DA231" s="234"/>
      <c r="DB231" s="234"/>
      <c r="DC231" s="234"/>
      <c r="DD231" s="234"/>
      <c r="DE231" s="234"/>
      <c r="DF231" s="234"/>
      <c r="DG231" s="234"/>
      <c r="DH231" s="234"/>
      <c r="DI231" s="234"/>
      <c r="DJ231" s="234"/>
      <c r="DK231" s="234"/>
      <c r="DL231" s="234"/>
      <c r="DM231" s="234"/>
      <c r="DN231" s="234"/>
      <c r="DO231" s="234"/>
      <c r="DP231" s="234"/>
      <c r="DQ231" s="234"/>
      <c r="DR231" s="234"/>
      <c r="DS231" s="234"/>
      <c r="DT231" s="234"/>
    </row>
    <row r="232" spans="1:124" s="231" customFormat="1" ht="15.75" x14ac:dyDescent="0.25">
      <c r="H232" s="232"/>
      <c r="K232" s="232"/>
      <c r="N232" s="232"/>
      <c r="W232" s="232"/>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4"/>
      <c r="AZ232" s="234"/>
      <c r="BA232" s="234"/>
      <c r="BB232" s="234"/>
      <c r="BC232" s="234"/>
      <c r="BD232" s="234"/>
      <c r="BE232" s="234"/>
      <c r="BF232" s="234"/>
      <c r="BG232" s="234"/>
      <c r="BH232" s="234"/>
      <c r="BI232" s="429"/>
      <c r="BJ232" s="160" t="s">
        <v>24</v>
      </c>
      <c r="BK232" s="150" t="e">
        <f>$BD$98</f>
        <v>#DIV/0!</v>
      </c>
      <c r="BL232" s="31"/>
      <c r="BM232" s="31"/>
      <c r="BN232" s="160" t="s">
        <v>24</v>
      </c>
      <c r="BO232" s="150"/>
      <c r="BP232" s="430"/>
      <c r="BQ232" s="234"/>
      <c r="BR232" s="234"/>
      <c r="BS232" s="234"/>
      <c r="BT232" s="234"/>
      <c r="BU232" s="234"/>
      <c r="BV232" s="234"/>
      <c r="BW232" s="234"/>
      <c r="BX232" s="234"/>
      <c r="BY232" s="234"/>
      <c r="BZ232" s="234"/>
      <c r="CA232" s="234"/>
      <c r="CB232" s="234"/>
      <c r="CC232" s="234"/>
      <c r="CD232" s="234"/>
      <c r="CE232" s="234"/>
      <c r="CF232" s="234"/>
      <c r="CG232" s="234"/>
      <c r="CH232" s="234"/>
      <c r="CI232" s="234"/>
      <c r="CJ232" s="234"/>
      <c r="CK232" s="234"/>
      <c r="CL232" s="234"/>
      <c r="CM232" s="234"/>
      <c r="CN232" s="234"/>
      <c r="CO232" s="234"/>
      <c r="CP232" s="234"/>
      <c r="CQ232" s="234"/>
      <c r="CR232" s="234"/>
      <c r="CS232" s="234"/>
      <c r="CT232" s="234"/>
      <c r="CU232" s="234"/>
      <c r="CV232" s="234"/>
      <c r="CW232" s="234"/>
      <c r="CX232" s="234"/>
      <c r="CY232" s="234"/>
      <c r="CZ232" s="234"/>
      <c r="DA232" s="234"/>
      <c r="DB232" s="234"/>
      <c r="DC232" s="234"/>
      <c r="DD232" s="234"/>
      <c r="DE232" s="234"/>
      <c r="DF232" s="234"/>
      <c r="DG232" s="234"/>
      <c r="DH232" s="234"/>
      <c r="DI232" s="234"/>
      <c r="DJ232" s="234"/>
      <c r="DK232" s="234"/>
      <c r="DL232" s="234"/>
      <c r="DM232" s="234"/>
      <c r="DN232" s="234"/>
      <c r="DO232" s="234"/>
      <c r="DP232" s="234"/>
      <c r="DQ232" s="234"/>
      <c r="DR232" s="234"/>
      <c r="DS232" s="234"/>
      <c r="DT232" s="234"/>
    </row>
    <row r="233" spans="1:124" s="231" customFormat="1" ht="15.75" x14ac:dyDescent="0.25">
      <c r="H233" s="232"/>
      <c r="K233" s="232"/>
      <c r="N233" s="232"/>
      <c r="W233" s="232"/>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4"/>
      <c r="AZ233" s="234"/>
      <c r="BA233" s="234"/>
      <c r="BB233" s="234"/>
      <c r="BC233" s="234"/>
      <c r="BD233" s="234"/>
      <c r="BE233" s="234"/>
      <c r="BF233" s="234"/>
      <c r="BG233" s="234"/>
      <c r="BH233" s="234"/>
      <c r="BI233" s="429"/>
      <c r="BJ233" s="160" t="s">
        <v>18</v>
      </c>
      <c r="BK233" s="150" t="e">
        <f ca="1">$BE$127</f>
        <v>#DIV/0!</v>
      </c>
      <c r="BL233" s="31"/>
      <c r="BM233" s="31"/>
      <c r="BN233" s="160" t="s">
        <v>18</v>
      </c>
      <c r="BO233" s="150"/>
      <c r="BP233" s="430"/>
      <c r="BQ233" s="234"/>
      <c r="BR233" s="234"/>
      <c r="BS233" s="234"/>
      <c r="BT233" s="234"/>
      <c r="BU233" s="234"/>
      <c r="BV233" s="234"/>
      <c r="BW233" s="234"/>
      <c r="BX233" s="234"/>
      <c r="BY233" s="234"/>
      <c r="BZ233" s="234"/>
      <c r="CA233" s="234"/>
      <c r="CB233" s="234"/>
      <c r="CC233" s="234"/>
      <c r="CD233" s="234"/>
      <c r="CE233" s="234"/>
      <c r="CF233" s="234"/>
      <c r="CG233" s="234"/>
      <c r="CH233" s="234"/>
      <c r="CI233" s="234"/>
      <c r="CJ233" s="234"/>
      <c r="CK233" s="234"/>
      <c r="CL233" s="234"/>
      <c r="CM233" s="234"/>
      <c r="CN233" s="234"/>
      <c r="CO233" s="234"/>
      <c r="CP233" s="234"/>
      <c r="CQ233" s="234"/>
      <c r="CR233" s="234"/>
      <c r="CS233" s="234"/>
      <c r="CT233" s="234"/>
      <c r="CU233" s="234"/>
      <c r="CV233" s="234"/>
      <c r="CW233" s="234"/>
      <c r="CX233" s="234"/>
      <c r="CY233" s="234"/>
      <c r="CZ233" s="234"/>
      <c r="DA233" s="234"/>
      <c r="DB233" s="234"/>
      <c r="DC233" s="234"/>
      <c r="DD233" s="234"/>
      <c r="DE233" s="234"/>
      <c r="DF233" s="234"/>
      <c r="DG233" s="234"/>
      <c r="DH233" s="234"/>
      <c r="DI233" s="234"/>
      <c r="DJ233" s="234"/>
      <c r="DK233" s="234"/>
      <c r="DL233" s="234"/>
      <c r="DM233" s="234"/>
      <c r="DN233" s="234"/>
      <c r="DO233" s="234"/>
      <c r="DP233" s="234"/>
      <c r="DQ233" s="234"/>
      <c r="DR233" s="234"/>
      <c r="DS233" s="234"/>
      <c r="DT233" s="234"/>
    </row>
    <row r="234" spans="1:124" s="231" customFormat="1" x14ac:dyDescent="0.25">
      <c r="H234" s="232"/>
      <c r="K234" s="232"/>
      <c r="N234" s="232"/>
      <c r="W234" s="232"/>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4"/>
      <c r="AZ234" s="234"/>
      <c r="BA234" s="234"/>
      <c r="BB234" s="234"/>
      <c r="BC234" s="234"/>
      <c r="BD234" s="234"/>
      <c r="BE234" s="234"/>
      <c r="BF234" s="234"/>
      <c r="BG234" s="234"/>
      <c r="BH234" s="234"/>
      <c r="BI234" s="429"/>
      <c r="BJ234" s="31"/>
      <c r="BK234" s="31"/>
      <c r="BL234" s="31"/>
      <c r="BM234" s="31"/>
      <c r="BN234" s="31"/>
      <c r="BO234" s="31"/>
      <c r="BP234" s="430"/>
      <c r="BQ234" s="234"/>
      <c r="BR234" s="234"/>
      <c r="BS234" s="234"/>
      <c r="BT234" s="234"/>
      <c r="BU234" s="234"/>
      <c r="BV234" s="234"/>
      <c r="BW234" s="234"/>
      <c r="BX234" s="234"/>
      <c r="BY234" s="234"/>
      <c r="BZ234" s="234"/>
      <c r="CA234" s="234"/>
      <c r="CB234" s="234"/>
      <c r="CC234" s="234"/>
      <c r="CD234" s="234"/>
      <c r="CE234" s="234"/>
      <c r="CF234" s="234"/>
      <c r="CG234" s="234"/>
      <c r="CH234" s="234"/>
      <c r="CI234" s="234"/>
      <c r="CJ234" s="234"/>
      <c r="CK234" s="234"/>
      <c r="CL234" s="234"/>
      <c r="CM234" s="234"/>
      <c r="CN234" s="234"/>
      <c r="CO234" s="234"/>
      <c r="CP234" s="234"/>
      <c r="CQ234" s="234"/>
      <c r="CR234" s="234"/>
      <c r="CS234" s="234"/>
      <c r="CT234" s="234"/>
      <c r="CU234" s="234"/>
      <c r="CV234" s="234"/>
      <c r="CW234" s="234"/>
      <c r="CX234" s="234"/>
      <c r="CY234" s="234"/>
      <c r="CZ234" s="234"/>
      <c r="DA234" s="234"/>
      <c r="DB234" s="234"/>
      <c r="DC234" s="234"/>
      <c r="DD234" s="234"/>
      <c r="DE234" s="234"/>
      <c r="DF234" s="234"/>
      <c r="DG234" s="234"/>
      <c r="DH234" s="234"/>
      <c r="DI234" s="234"/>
      <c r="DJ234" s="234"/>
      <c r="DK234" s="234"/>
      <c r="DL234" s="234"/>
      <c r="DM234" s="234"/>
      <c r="DN234" s="234"/>
      <c r="DO234" s="234"/>
      <c r="DP234" s="234"/>
      <c r="DQ234" s="234"/>
      <c r="DR234" s="234"/>
      <c r="DS234" s="234"/>
      <c r="DT234" s="234"/>
    </row>
    <row r="235" spans="1:124" s="231" customFormat="1" x14ac:dyDescent="0.25">
      <c r="H235" s="232"/>
      <c r="K235" s="232"/>
      <c r="N235" s="232"/>
      <c r="W235" s="232"/>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4"/>
      <c r="AZ235" s="234"/>
      <c r="BA235" s="234"/>
      <c r="BB235" s="234"/>
      <c r="BC235" s="234"/>
      <c r="BD235" s="234"/>
      <c r="BE235" s="234"/>
      <c r="BF235" s="234"/>
      <c r="BG235" s="234"/>
      <c r="BH235" s="234"/>
      <c r="BI235" s="429"/>
      <c r="BJ235" s="31"/>
      <c r="BK235" s="31"/>
      <c r="BL235" s="31"/>
      <c r="BM235" s="31"/>
      <c r="BN235" s="31"/>
      <c r="BO235" s="31"/>
      <c r="BP235" s="430"/>
      <c r="BQ235" s="234"/>
      <c r="BR235" s="234"/>
      <c r="BS235" s="234"/>
      <c r="BT235" s="234"/>
      <c r="BU235" s="234"/>
      <c r="BV235" s="234"/>
      <c r="BW235" s="234"/>
      <c r="BX235" s="234"/>
      <c r="BY235" s="234"/>
      <c r="BZ235" s="234"/>
      <c r="CA235" s="234"/>
      <c r="CB235" s="234"/>
      <c r="CC235" s="234"/>
      <c r="CD235" s="234"/>
      <c r="CE235" s="234"/>
      <c r="CF235" s="234"/>
      <c r="CG235" s="234"/>
      <c r="CH235" s="234"/>
      <c r="CI235" s="234"/>
      <c r="CJ235" s="234"/>
      <c r="CK235" s="234"/>
      <c r="CL235" s="234"/>
      <c r="CM235" s="234"/>
      <c r="CN235" s="234"/>
      <c r="CO235" s="234"/>
      <c r="CP235" s="234"/>
      <c r="CQ235" s="234"/>
      <c r="CR235" s="234"/>
      <c r="CS235" s="234"/>
      <c r="CT235" s="234"/>
      <c r="CU235" s="234"/>
      <c r="CV235" s="234"/>
      <c r="CW235" s="234"/>
      <c r="CX235" s="234"/>
      <c r="CY235" s="234"/>
      <c r="CZ235" s="234"/>
      <c r="DA235" s="234"/>
      <c r="DB235" s="234"/>
      <c r="DC235" s="234"/>
      <c r="DD235" s="234"/>
      <c r="DE235" s="234"/>
      <c r="DF235" s="234"/>
      <c r="DG235" s="234"/>
      <c r="DH235" s="234"/>
      <c r="DI235" s="234"/>
      <c r="DJ235" s="234"/>
      <c r="DK235" s="234"/>
      <c r="DL235" s="234"/>
      <c r="DM235" s="234"/>
      <c r="DN235" s="234"/>
      <c r="DO235" s="234"/>
      <c r="DP235" s="234"/>
      <c r="DQ235" s="234"/>
      <c r="DR235" s="234"/>
      <c r="DS235" s="234"/>
      <c r="DT235" s="234"/>
    </row>
    <row r="236" spans="1:124" s="231" customFormat="1" x14ac:dyDescent="0.25">
      <c r="H236" s="232"/>
      <c r="K236" s="232"/>
      <c r="N236" s="232"/>
      <c r="W236" s="232"/>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4"/>
      <c r="AZ236" s="234"/>
      <c r="BA236" s="234"/>
      <c r="BB236" s="234"/>
      <c r="BC236" s="234"/>
      <c r="BD236" s="234"/>
      <c r="BE236" s="234"/>
      <c r="BF236" s="234"/>
      <c r="BG236" s="234"/>
      <c r="BH236" s="234"/>
      <c r="BI236" s="429"/>
      <c r="BJ236" s="431" t="s">
        <v>1417</v>
      </c>
      <c r="BK236" s="31"/>
      <c r="BL236" s="31"/>
      <c r="BM236" s="31"/>
      <c r="BN236" s="431"/>
      <c r="BO236" s="31"/>
      <c r="BP236" s="430"/>
      <c r="BQ236" s="234"/>
      <c r="BR236" s="234"/>
      <c r="BS236" s="234"/>
      <c r="BT236" s="234"/>
      <c r="BU236" s="234"/>
      <c r="BV236" s="234"/>
      <c r="BW236" s="234"/>
      <c r="BX236" s="234"/>
      <c r="BY236" s="234"/>
      <c r="BZ236" s="234"/>
      <c r="CA236" s="234"/>
      <c r="CB236" s="234"/>
      <c r="CC236" s="234"/>
      <c r="CD236" s="234"/>
      <c r="CE236" s="234"/>
      <c r="CF236" s="234"/>
      <c r="CG236" s="234"/>
      <c r="CH236" s="234"/>
      <c r="CI236" s="234"/>
      <c r="CJ236" s="234"/>
      <c r="CK236" s="234"/>
      <c r="CL236" s="234"/>
      <c r="CM236" s="234"/>
      <c r="CN236" s="234"/>
      <c r="CO236" s="234"/>
      <c r="CP236" s="234"/>
      <c r="CQ236" s="234"/>
      <c r="CR236" s="234"/>
      <c r="CS236" s="234"/>
      <c r="CT236" s="234"/>
      <c r="CU236" s="234"/>
      <c r="CV236" s="234"/>
      <c r="CW236" s="234"/>
      <c r="CX236" s="234"/>
      <c r="CY236" s="234"/>
      <c r="CZ236" s="234"/>
      <c r="DA236" s="234"/>
      <c r="DB236" s="234"/>
      <c r="DC236" s="234"/>
      <c r="DD236" s="234"/>
      <c r="DE236" s="234"/>
      <c r="DF236" s="234"/>
      <c r="DG236" s="234"/>
      <c r="DH236" s="234"/>
      <c r="DI236" s="234"/>
      <c r="DJ236" s="234"/>
      <c r="DK236" s="234"/>
      <c r="DL236" s="234"/>
      <c r="DM236" s="234"/>
      <c r="DN236" s="234"/>
      <c r="DO236" s="234"/>
      <c r="DP236" s="234"/>
      <c r="DQ236" s="234"/>
      <c r="DR236" s="234"/>
      <c r="DS236" s="234"/>
      <c r="DT236" s="234"/>
    </row>
    <row r="237" spans="1:124" s="231" customFormat="1" x14ac:dyDescent="0.25">
      <c r="H237" s="232"/>
      <c r="K237" s="232"/>
      <c r="N237" s="232"/>
      <c r="W237" s="232"/>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4"/>
      <c r="AZ237" s="234"/>
      <c r="BA237" s="234"/>
      <c r="BB237" s="234"/>
      <c r="BC237" s="234"/>
      <c r="BD237" s="234"/>
      <c r="BE237" s="234"/>
      <c r="BF237" s="234"/>
      <c r="BG237" s="234"/>
      <c r="BH237" s="234"/>
      <c r="BI237" s="429"/>
      <c r="BJ237" s="140" t="s">
        <v>1459</v>
      </c>
      <c r="BK237" s="31"/>
      <c r="BL237" s="31"/>
      <c r="BM237" s="31"/>
      <c r="BN237" s="140" t="s">
        <v>1459</v>
      </c>
      <c r="BO237" s="31"/>
      <c r="BP237" s="430"/>
      <c r="BQ237" s="234"/>
      <c r="BR237" s="234"/>
      <c r="BS237" s="234"/>
      <c r="BT237" s="234"/>
      <c r="BU237" s="234"/>
      <c r="BV237" s="234"/>
      <c r="BW237" s="234"/>
      <c r="BX237" s="234"/>
      <c r="BY237" s="234"/>
      <c r="BZ237" s="234"/>
      <c r="CA237" s="234"/>
      <c r="CB237" s="234"/>
      <c r="CC237" s="234"/>
      <c r="CD237" s="234"/>
      <c r="CE237" s="234"/>
      <c r="CF237" s="234"/>
      <c r="CG237" s="234"/>
      <c r="CH237" s="234"/>
      <c r="CI237" s="234"/>
      <c r="CJ237" s="234"/>
      <c r="CK237" s="234"/>
      <c r="CL237" s="234"/>
      <c r="CM237" s="234"/>
      <c r="CN237" s="234"/>
      <c r="CO237" s="234"/>
      <c r="CP237" s="234"/>
      <c r="CQ237" s="234"/>
      <c r="CR237" s="234"/>
      <c r="CS237" s="234"/>
      <c r="CT237" s="234"/>
      <c r="CU237" s="234"/>
      <c r="CV237" s="234"/>
      <c r="CW237" s="234"/>
      <c r="CX237" s="234"/>
      <c r="CY237" s="234"/>
      <c r="CZ237" s="234"/>
      <c r="DA237" s="234"/>
      <c r="DB237" s="234"/>
      <c r="DC237" s="234"/>
      <c r="DD237" s="234"/>
      <c r="DE237" s="234"/>
      <c r="DF237" s="234"/>
      <c r="DG237" s="234"/>
      <c r="DH237" s="234"/>
      <c r="DI237" s="234"/>
      <c r="DJ237" s="234"/>
      <c r="DK237" s="234"/>
      <c r="DL237" s="234"/>
      <c r="DM237" s="234"/>
      <c r="DN237" s="234"/>
      <c r="DO237" s="234"/>
      <c r="DP237" s="234"/>
      <c r="DQ237" s="234"/>
      <c r="DR237" s="234"/>
      <c r="DS237" s="234"/>
      <c r="DT237" s="234"/>
    </row>
    <row r="238" spans="1:124" s="231" customFormat="1" x14ac:dyDescent="0.25">
      <c r="H238" s="232"/>
      <c r="K238" s="232"/>
      <c r="N238" s="232"/>
      <c r="W238" s="232"/>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4"/>
      <c r="AZ238" s="234"/>
      <c r="BA238" s="234"/>
      <c r="BB238" s="234"/>
      <c r="BC238" s="234"/>
      <c r="BD238" s="234"/>
      <c r="BE238" s="234"/>
      <c r="BF238" s="234"/>
      <c r="BG238" s="234"/>
      <c r="BH238" s="234"/>
      <c r="BI238" s="429"/>
      <c r="BJ238" s="31"/>
      <c r="BK238" s="31"/>
      <c r="BL238" s="31"/>
      <c r="BM238" s="31"/>
      <c r="BN238" s="31"/>
      <c r="BO238" s="31"/>
      <c r="BP238" s="430"/>
      <c r="BQ238" s="234"/>
      <c r="BR238" s="234"/>
      <c r="BS238" s="234"/>
      <c r="BT238" s="234"/>
      <c r="BU238" s="234"/>
      <c r="BV238" s="234"/>
      <c r="BW238" s="234"/>
      <c r="BX238" s="234"/>
      <c r="BY238" s="234"/>
      <c r="BZ238" s="234"/>
      <c r="CA238" s="234"/>
      <c r="CB238" s="234"/>
      <c r="CC238" s="234"/>
      <c r="CD238" s="234"/>
      <c r="CE238" s="234"/>
      <c r="CF238" s="234"/>
      <c r="CG238" s="234"/>
      <c r="CH238" s="234"/>
      <c r="CI238" s="234"/>
      <c r="CJ238" s="234"/>
      <c r="CK238" s="234"/>
      <c r="CL238" s="234"/>
      <c r="CM238" s="234"/>
      <c r="CN238" s="234"/>
      <c r="CO238" s="234"/>
      <c r="CP238" s="234"/>
      <c r="CQ238" s="234"/>
      <c r="CR238" s="234"/>
      <c r="CS238" s="234"/>
      <c r="CT238" s="234"/>
      <c r="CU238" s="234"/>
      <c r="CV238" s="234"/>
      <c r="CW238" s="234"/>
      <c r="CX238" s="234"/>
      <c r="CY238" s="234"/>
      <c r="CZ238" s="234"/>
      <c r="DA238" s="234"/>
      <c r="DB238" s="234"/>
      <c r="DC238" s="234"/>
      <c r="DD238" s="234"/>
      <c r="DE238" s="234"/>
      <c r="DF238" s="234"/>
      <c r="DG238" s="234"/>
      <c r="DH238" s="234"/>
      <c r="DI238" s="234"/>
      <c r="DJ238" s="234"/>
      <c r="DK238" s="234"/>
      <c r="DL238" s="234"/>
      <c r="DM238" s="234"/>
      <c r="DN238" s="234"/>
      <c r="DO238" s="234"/>
      <c r="DP238" s="234"/>
      <c r="DQ238" s="234"/>
      <c r="DR238" s="234"/>
      <c r="DS238" s="234"/>
      <c r="DT238" s="234"/>
    </row>
    <row r="239" spans="1:124" s="231" customFormat="1" x14ac:dyDescent="0.25">
      <c r="H239" s="232"/>
      <c r="K239" s="232"/>
      <c r="N239" s="232"/>
      <c r="W239" s="232"/>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4"/>
      <c r="AZ239" s="234"/>
      <c r="BA239" s="234"/>
      <c r="BB239" s="234"/>
      <c r="BC239" s="234"/>
      <c r="BD239" s="234"/>
      <c r="BE239" s="234"/>
      <c r="BF239" s="234"/>
      <c r="BG239" s="234"/>
      <c r="BH239" s="234"/>
      <c r="BI239" s="429"/>
      <c r="BJ239" s="148" t="s">
        <v>21</v>
      </c>
      <c r="BK239" s="422" t="e">
        <f ca="1">BK241+BK242+BK243+BK244</f>
        <v>#DIV/0!</v>
      </c>
      <c r="BL239" s="31"/>
      <c r="BM239" s="31"/>
      <c r="BN239" s="148" t="s">
        <v>21</v>
      </c>
      <c r="BO239" s="422"/>
      <c r="BP239" s="430"/>
      <c r="BQ239" s="234"/>
      <c r="BR239" s="234"/>
      <c r="BS239" s="234"/>
      <c r="BT239" s="234"/>
      <c r="BU239" s="234"/>
      <c r="BV239" s="234"/>
      <c r="BW239" s="234"/>
      <c r="BX239" s="234"/>
      <c r="BY239" s="234"/>
      <c r="BZ239" s="234"/>
      <c r="CA239" s="234"/>
      <c r="CB239" s="234"/>
      <c r="CC239" s="234"/>
      <c r="CD239" s="234"/>
      <c r="CE239" s="234"/>
      <c r="CF239" s="234"/>
      <c r="CG239" s="234"/>
      <c r="CH239" s="234"/>
      <c r="CI239" s="234"/>
      <c r="CJ239" s="234"/>
      <c r="CK239" s="234"/>
      <c r="CL239" s="234"/>
      <c r="CM239" s="234"/>
      <c r="CN239" s="234"/>
      <c r="CO239" s="234"/>
      <c r="CP239" s="234"/>
      <c r="CQ239" s="234"/>
      <c r="CR239" s="234"/>
      <c r="CS239" s="234"/>
      <c r="CT239" s="234"/>
      <c r="CU239" s="234"/>
      <c r="CV239" s="234"/>
      <c r="CW239" s="234"/>
      <c r="CX239" s="234"/>
      <c r="CY239" s="234"/>
      <c r="CZ239" s="234"/>
      <c r="DA239" s="234"/>
      <c r="DB239" s="234"/>
      <c r="DC239" s="234"/>
      <c r="DD239" s="234"/>
      <c r="DE239" s="234"/>
      <c r="DF239" s="234"/>
      <c r="DG239" s="234"/>
      <c r="DH239" s="234"/>
      <c r="DI239" s="234"/>
      <c r="DJ239" s="234"/>
      <c r="DK239" s="234"/>
      <c r="DL239" s="234"/>
      <c r="DM239" s="234"/>
      <c r="DN239" s="234"/>
      <c r="DO239" s="234"/>
      <c r="DP239" s="234"/>
      <c r="DQ239" s="234"/>
      <c r="DR239" s="234"/>
      <c r="DS239" s="234"/>
      <c r="DT239" s="234"/>
    </row>
    <row r="240" spans="1:124" s="231" customFormat="1" x14ac:dyDescent="0.25">
      <c r="H240" s="232"/>
      <c r="K240" s="232"/>
      <c r="N240" s="232"/>
      <c r="W240" s="232"/>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4"/>
      <c r="AZ240" s="234"/>
      <c r="BA240" s="234"/>
      <c r="BB240" s="234"/>
      <c r="BC240" s="234"/>
      <c r="BD240" s="234"/>
      <c r="BE240" s="234"/>
      <c r="BF240" s="234"/>
      <c r="BG240" s="234"/>
      <c r="BH240" s="234"/>
      <c r="BI240" s="429"/>
      <c r="BJ240" s="154" t="s">
        <v>29</v>
      </c>
      <c r="BK240" s="156"/>
      <c r="BL240" s="31"/>
      <c r="BM240" s="31"/>
      <c r="BN240" s="154" t="s">
        <v>29</v>
      </c>
      <c r="BO240" s="156"/>
      <c r="BP240" s="430"/>
      <c r="BQ240" s="234"/>
      <c r="BR240" s="234"/>
      <c r="BS240" s="234"/>
      <c r="BT240" s="234"/>
      <c r="BU240" s="234"/>
      <c r="BV240" s="234"/>
      <c r="BW240" s="234"/>
      <c r="BX240" s="234"/>
      <c r="BY240" s="234"/>
      <c r="BZ240" s="234"/>
      <c r="CA240" s="234"/>
      <c r="CB240" s="234"/>
      <c r="CC240" s="234"/>
      <c r="CD240" s="234"/>
      <c r="CE240" s="234"/>
      <c r="CF240" s="234"/>
      <c r="CG240" s="234"/>
      <c r="CH240" s="234"/>
      <c r="CI240" s="234"/>
      <c r="CJ240" s="234"/>
      <c r="CK240" s="234"/>
      <c r="CL240" s="234"/>
      <c r="CM240" s="234"/>
      <c r="CN240" s="234"/>
      <c r="CO240" s="234"/>
      <c r="CP240" s="234"/>
      <c r="CQ240" s="234"/>
      <c r="CR240" s="234"/>
      <c r="CS240" s="234"/>
      <c r="CT240" s="234"/>
      <c r="CU240" s="234"/>
      <c r="CV240" s="234"/>
      <c r="CW240" s="234"/>
      <c r="CX240" s="234"/>
      <c r="CY240" s="234"/>
      <c r="CZ240" s="234"/>
      <c r="DA240" s="234"/>
      <c r="DB240" s="234"/>
      <c r="DC240" s="234"/>
      <c r="DD240" s="234"/>
      <c r="DE240" s="234"/>
      <c r="DF240" s="234"/>
      <c r="DG240" s="234"/>
      <c r="DH240" s="234"/>
      <c r="DI240" s="234"/>
      <c r="DJ240" s="234"/>
      <c r="DK240" s="234"/>
      <c r="DL240" s="234"/>
      <c r="DM240" s="234"/>
      <c r="DN240" s="234"/>
      <c r="DO240" s="234"/>
      <c r="DP240" s="234"/>
      <c r="DQ240" s="234"/>
      <c r="DR240" s="234"/>
      <c r="DS240" s="234"/>
      <c r="DT240" s="234"/>
    </row>
    <row r="241" spans="8:124" s="231" customFormat="1" x14ac:dyDescent="0.25">
      <c r="H241" s="232"/>
      <c r="K241" s="232"/>
      <c r="N241" s="232"/>
      <c r="W241" s="232"/>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4"/>
      <c r="AZ241" s="234"/>
      <c r="BA241" s="234"/>
      <c r="BB241" s="234"/>
      <c r="BC241" s="234"/>
      <c r="BD241" s="234"/>
      <c r="BE241" s="234"/>
      <c r="BF241" s="234"/>
      <c r="BG241" s="234"/>
      <c r="BH241" s="234"/>
      <c r="BI241" s="429"/>
      <c r="BJ241" s="51" t="s">
        <v>22</v>
      </c>
      <c r="BK241" s="150" t="e">
        <f ca="1">$DI$47</f>
        <v>#DIV/0!</v>
      </c>
      <c r="BL241" s="31"/>
      <c r="BM241" s="31"/>
      <c r="BN241" s="51" t="s">
        <v>22</v>
      </c>
      <c r="BO241" s="150"/>
      <c r="BP241" s="430"/>
      <c r="BQ241" s="234"/>
      <c r="BR241" s="234"/>
      <c r="BS241" s="234"/>
      <c r="BT241" s="234"/>
      <c r="BU241" s="234"/>
      <c r="BV241" s="234"/>
      <c r="BW241" s="234"/>
      <c r="BX241" s="234"/>
      <c r="BY241" s="234"/>
      <c r="BZ241" s="234"/>
      <c r="CA241" s="234"/>
      <c r="CB241" s="234"/>
      <c r="CC241" s="234"/>
      <c r="CD241" s="234"/>
      <c r="CE241" s="234"/>
      <c r="CF241" s="234"/>
      <c r="CG241" s="234"/>
      <c r="CH241" s="234"/>
      <c r="CI241" s="234"/>
      <c r="CJ241" s="234"/>
      <c r="CK241" s="234"/>
      <c r="CL241" s="234"/>
      <c r="CM241" s="234"/>
      <c r="CN241" s="234"/>
      <c r="CO241" s="234"/>
      <c r="CP241" s="234"/>
      <c r="CQ241" s="234"/>
      <c r="CR241" s="234"/>
      <c r="CS241" s="234"/>
      <c r="CT241" s="234"/>
      <c r="CU241" s="234"/>
      <c r="CV241" s="234"/>
      <c r="CW241" s="234"/>
      <c r="CX241" s="234"/>
      <c r="CY241" s="234"/>
      <c r="CZ241" s="234"/>
      <c r="DA241" s="234"/>
      <c r="DB241" s="234"/>
      <c r="DC241" s="234"/>
      <c r="DD241" s="234"/>
      <c r="DE241" s="234"/>
      <c r="DF241" s="234"/>
      <c r="DG241" s="234"/>
      <c r="DH241" s="234"/>
      <c r="DI241" s="234"/>
      <c r="DJ241" s="234"/>
      <c r="DK241" s="234"/>
      <c r="DL241" s="234"/>
      <c r="DM241" s="234"/>
      <c r="DN241" s="234"/>
      <c r="DO241" s="234"/>
      <c r="DP241" s="234"/>
      <c r="DQ241" s="234"/>
      <c r="DR241" s="234"/>
      <c r="DS241" s="234"/>
      <c r="DT241" s="234"/>
    </row>
    <row r="242" spans="8:124" s="231" customFormat="1" ht="15.75" x14ac:dyDescent="0.25">
      <c r="H242" s="232"/>
      <c r="K242" s="232"/>
      <c r="N242" s="232"/>
      <c r="W242" s="232"/>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4"/>
      <c r="AZ242" s="234"/>
      <c r="BA242" s="234"/>
      <c r="BB242" s="234"/>
      <c r="BC242" s="234"/>
      <c r="BD242" s="234"/>
      <c r="BE242" s="234"/>
      <c r="BF242" s="234"/>
      <c r="BG242" s="234"/>
      <c r="BH242" s="234"/>
      <c r="BI242" s="429"/>
      <c r="BJ242" s="160" t="s">
        <v>23</v>
      </c>
      <c r="BK242" s="150" t="e">
        <f>$BG$65</f>
        <v>#DIV/0!</v>
      </c>
      <c r="BL242" s="31"/>
      <c r="BM242" s="31"/>
      <c r="BN242" s="160" t="s">
        <v>23</v>
      </c>
      <c r="BO242" s="150"/>
      <c r="BP242" s="430"/>
      <c r="BQ242" s="234"/>
      <c r="BR242" s="234"/>
      <c r="BS242" s="234"/>
      <c r="BT242" s="234"/>
      <c r="BU242" s="234"/>
      <c r="BV242" s="234"/>
      <c r="BW242" s="234"/>
      <c r="BX242" s="234"/>
      <c r="BY242" s="234"/>
      <c r="BZ242" s="234"/>
      <c r="CA242" s="234"/>
      <c r="CB242" s="234"/>
      <c r="CC242" s="234"/>
      <c r="CD242" s="234"/>
      <c r="CE242" s="234"/>
      <c r="CF242" s="234"/>
      <c r="CG242" s="234"/>
      <c r="CH242" s="234"/>
      <c r="CI242" s="234"/>
      <c r="CJ242" s="234"/>
      <c r="CK242" s="234"/>
      <c r="CL242" s="234"/>
      <c r="CM242" s="234"/>
      <c r="CN242" s="234"/>
      <c r="CO242" s="234"/>
      <c r="CP242" s="234"/>
      <c r="CQ242" s="234"/>
      <c r="CR242" s="234"/>
      <c r="CS242" s="234"/>
      <c r="CT242" s="234"/>
      <c r="CU242" s="234"/>
      <c r="CV242" s="234"/>
      <c r="CW242" s="234"/>
      <c r="CX242" s="234"/>
      <c r="CY242" s="234"/>
      <c r="CZ242" s="234"/>
      <c r="DA242" s="234"/>
      <c r="DB242" s="234"/>
      <c r="DC242" s="234"/>
      <c r="DD242" s="234"/>
      <c r="DE242" s="234"/>
      <c r="DF242" s="234"/>
      <c r="DG242" s="234"/>
      <c r="DH242" s="234"/>
      <c r="DI242" s="234"/>
      <c r="DJ242" s="234"/>
      <c r="DK242" s="234"/>
      <c r="DL242" s="234"/>
      <c r="DM242" s="234"/>
      <c r="DN242" s="234"/>
      <c r="DO242" s="234"/>
      <c r="DP242" s="234"/>
      <c r="DQ242" s="234"/>
      <c r="DR242" s="234"/>
      <c r="DS242" s="234"/>
      <c r="DT242" s="234"/>
    </row>
    <row r="243" spans="8:124" s="231" customFormat="1" ht="15.75" x14ac:dyDescent="0.25">
      <c r="H243" s="232"/>
      <c r="K243" s="232"/>
      <c r="N243" s="232"/>
      <c r="W243" s="232"/>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4"/>
      <c r="AZ243" s="234"/>
      <c r="BA243" s="234"/>
      <c r="BB243" s="234"/>
      <c r="BC243" s="234"/>
      <c r="BD243" s="234"/>
      <c r="BE243" s="234"/>
      <c r="BF243" s="234"/>
      <c r="BG243" s="234"/>
      <c r="BH243" s="234"/>
      <c r="BI243" s="429"/>
      <c r="BJ243" s="160" t="s">
        <v>24</v>
      </c>
      <c r="BK243" s="150" t="e">
        <f>$BD$99</f>
        <v>#DIV/0!</v>
      </c>
      <c r="BL243" s="31"/>
      <c r="BM243" s="31"/>
      <c r="BN243" s="160" t="s">
        <v>24</v>
      </c>
      <c r="BO243" s="150"/>
      <c r="BP243" s="430"/>
      <c r="BQ243" s="234"/>
      <c r="BR243" s="234"/>
      <c r="BS243" s="234"/>
      <c r="BT243" s="234"/>
      <c r="BU243" s="234"/>
      <c r="BV243" s="234"/>
      <c r="BW243" s="234"/>
      <c r="BX243" s="234"/>
      <c r="BY243" s="234"/>
      <c r="BZ243" s="234"/>
      <c r="CA243" s="234"/>
      <c r="CB243" s="234"/>
      <c r="CC243" s="234"/>
      <c r="CD243" s="234"/>
      <c r="CE243" s="234"/>
      <c r="CF243" s="234"/>
      <c r="CG243" s="234"/>
      <c r="CH243" s="234"/>
      <c r="CI243" s="234"/>
      <c r="CJ243" s="234"/>
      <c r="CK243" s="234"/>
      <c r="CL243" s="234"/>
      <c r="CM243" s="234"/>
      <c r="CN243" s="234"/>
      <c r="CO243" s="234"/>
      <c r="CP243" s="234"/>
      <c r="CQ243" s="234"/>
      <c r="CR243" s="234"/>
      <c r="CS243" s="234"/>
      <c r="CT243" s="234"/>
      <c r="CU243" s="234"/>
      <c r="CV243" s="234"/>
      <c r="CW243" s="234"/>
      <c r="CX243" s="234"/>
      <c r="CY243" s="234"/>
      <c r="CZ243" s="234"/>
      <c r="DA243" s="234"/>
      <c r="DB243" s="234"/>
      <c r="DC243" s="234"/>
      <c r="DD243" s="234"/>
      <c r="DE243" s="234"/>
      <c r="DF243" s="234"/>
      <c r="DG243" s="234"/>
      <c r="DH243" s="234"/>
      <c r="DI243" s="234"/>
      <c r="DJ243" s="234"/>
      <c r="DK243" s="234"/>
      <c r="DL243" s="234"/>
      <c r="DM243" s="234"/>
      <c r="DN243" s="234"/>
      <c r="DO243" s="234"/>
      <c r="DP243" s="234"/>
      <c r="DQ243" s="234"/>
      <c r="DR243" s="234"/>
      <c r="DS243" s="234"/>
      <c r="DT243" s="234"/>
    </row>
    <row r="244" spans="8:124" s="231" customFormat="1" ht="15.75" x14ac:dyDescent="0.25">
      <c r="H244" s="232"/>
      <c r="K244" s="232"/>
      <c r="N244" s="232"/>
      <c r="W244" s="232"/>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4"/>
      <c r="AZ244" s="234"/>
      <c r="BA244" s="234"/>
      <c r="BB244" s="234"/>
      <c r="BC244" s="234"/>
      <c r="BD244" s="234"/>
      <c r="BE244" s="234"/>
      <c r="BF244" s="234"/>
      <c r="BG244" s="234"/>
      <c r="BH244" s="234"/>
      <c r="BI244" s="429"/>
      <c r="BJ244" s="160" t="s">
        <v>18</v>
      </c>
      <c r="BK244" s="150" t="e">
        <f ca="1">$BE$128</f>
        <v>#DIV/0!</v>
      </c>
      <c r="BL244" s="31"/>
      <c r="BM244" s="31"/>
      <c r="BN244" s="160" t="s">
        <v>18</v>
      </c>
      <c r="BO244" s="150"/>
      <c r="BP244" s="430"/>
      <c r="BQ244" s="234"/>
      <c r="BR244" s="234"/>
      <c r="BS244" s="234"/>
      <c r="BT244" s="234"/>
      <c r="BU244" s="234"/>
      <c r="BV244" s="234"/>
      <c r="BW244" s="234"/>
      <c r="BX244" s="234"/>
      <c r="BY244" s="234"/>
      <c r="BZ244" s="234"/>
      <c r="CA244" s="234"/>
      <c r="CB244" s="234"/>
      <c r="CC244" s="234"/>
      <c r="CD244" s="234"/>
      <c r="CE244" s="234"/>
      <c r="CF244" s="234"/>
      <c r="CG244" s="234"/>
      <c r="CH244" s="234"/>
      <c r="CI244" s="234"/>
      <c r="CJ244" s="234"/>
      <c r="CK244" s="234"/>
      <c r="CL244" s="234"/>
      <c r="CM244" s="234"/>
      <c r="CN244" s="234"/>
      <c r="CO244" s="234"/>
      <c r="CP244" s="234"/>
      <c r="CQ244" s="234"/>
      <c r="CR244" s="234"/>
      <c r="CS244" s="234"/>
      <c r="CT244" s="234"/>
      <c r="CU244" s="234"/>
      <c r="CV244" s="234"/>
      <c r="CW244" s="234"/>
      <c r="CX244" s="234"/>
      <c r="CY244" s="234"/>
      <c r="CZ244" s="234"/>
      <c r="DA244" s="234"/>
      <c r="DB244" s="234"/>
      <c r="DC244" s="234"/>
      <c r="DD244" s="234"/>
      <c r="DE244" s="234"/>
      <c r="DF244" s="234"/>
      <c r="DG244" s="234"/>
      <c r="DH244" s="234"/>
      <c r="DI244" s="234"/>
      <c r="DJ244" s="234"/>
      <c r="DK244" s="234"/>
      <c r="DL244" s="234"/>
      <c r="DM244" s="234"/>
      <c r="DN244" s="234"/>
      <c r="DO244" s="234"/>
      <c r="DP244" s="234"/>
      <c r="DQ244" s="234"/>
      <c r="DR244" s="234"/>
      <c r="DS244" s="234"/>
      <c r="DT244" s="234"/>
    </row>
    <row r="245" spans="8:124" s="231" customFormat="1" x14ac:dyDescent="0.25">
      <c r="H245" s="232"/>
      <c r="K245" s="232"/>
      <c r="N245" s="232"/>
      <c r="W245" s="232"/>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4"/>
      <c r="AZ245" s="234"/>
      <c r="BA245" s="234"/>
      <c r="BB245" s="234"/>
      <c r="BC245" s="234"/>
      <c r="BD245" s="234"/>
      <c r="BE245" s="234"/>
      <c r="BF245" s="234"/>
      <c r="BG245" s="234"/>
      <c r="BH245" s="234"/>
      <c r="BI245" s="429"/>
      <c r="BJ245" s="31"/>
      <c r="BK245" s="31"/>
      <c r="BL245" s="31"/>
      <c r="BM245" s="31"/>
      <c r="BN245" s="31"/>
      <c r="BO245" s="31"/>
      <c r="BP245" s="430"/>
      <c r="BQ245" s="234"/>
      <c r="BR245" s="234"/>
      <c r="BS245" s="234"/>
      <c r="BT245" s="234"/>
      <c r="BU245" s="234"/>
      <c r="BV245" s="234"/>
      <c r="BW245" s="234"/>
      <c r="BX245" s="234"/>
      <c r="BY245" s="234"/>
      <c r="BZ245" s="234"/>
      <c r="CA245" s="234"/>
      <c r="CB245" s="234"/>
      <c r="CC245" s="234"/>
      <c r="CD245" s="234"/>
      <c r="CE245" s="234"/>
      <c r="CF245" s="234"/>
      <c r="CG245" s="234"/>
      <c r="CH245" s="234"/>
      <c r="CI245" s="234"/>
      <c r="CJ245" s="234"/>
      <c r="CK245" s="234"/>
      <c r="CL245" s="234"/>
      <c r="CM245" s="234"/>
      <c r="CN245" s="234"/>
      <c r="CO245" s="234"/>
      <c r="CP245" s="234"/>
      <c r="CQ245" s="234"/>
      <c r="CR245" s="234"/>
      <c r="CS245" s="234"/>
      <c r="CT245" s="234"/>
      <c r="CU245" s="234"/>
      <c r="CV245" s="234"/>
      <c r="CW245" s="234"/>
      <c r="CX245" s="234"/>
      <c r="CY245" s="234"/>
      <c r="CZ245" s="234"/>
      <c r="DA245" s="234"/>
      <c r="DB245" s="234"/>
      <c r="DC245" s="234"/>
      <c r="DD245" s="234"/>
      <c r="DE245" s="234"/>
      <c r="DF245" s="234"/>
      <c r="DG245" s="234"/>
      <c r="DH245" s="234"/>
      <c r="DI245" s="234"/>
      <c r="DJ245" s="234"/>
      <c r="DK245" s="234"/>
      <c r="DL245" s="234"/>
      <c r="DM245" s="234"/>
      <c r="DN245" s="234"/>
      <c r="DO245" s="234"/>
      <c r="DP245" s="234"/>
      <c r="DQ245" s="234"/>
      <c r="DR245" s="234"/>
      <c r="DS245" s="234"/>
      <c r="DT245" s="234"/>
    </row>
    <row r="246" spans="8:124" s="231" customFormat="1" x14ac:dyDescent="0.25">
      <c r="H246" s="232"/>
      <c r="K246" s="232"/>
      <c r="N246" s="232"/>
      <c r="W246" s="232"/>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4"/>
      <c r="AZ246" s="234"/>
      <c r="BA246" s="234"/>
      <c r="BB246" s="234"/>
      <c r="BC246" s="234"/>
      <c r="BD246" s="234"/>
      <c r="BE246" s="234"/>
      <c r="BF246" s="234"/>
      <c r="BG246" s="234"/>
      <c r="BH246" s="234"/>
      <c r="BI246" s="429"/>
      <c r="BJ246" s="431" t="s">
        <v>1417</v>
      </c>
      <c r="BK246" s="31"/>
      <c r="BL246" s="31"/>
      <c r="BM246" s="31"/>
      <c r="BN246" s="431"/>
      <c r="BO246" s="31"/>
      <c r="BP246" s="430"/>
      <c r="BQ246" s="234"/>
      <c r="BR246" s="234"/>
      <c r="BS246" s="234"/>
      <c r="BT246" s="234"/>
      <c r="BU246" s="234"/>
      <c r="BV246" s="234"/>
      <c r="BW246" s="234"/>
      <c r="BX246" s="234"/>
      <c r="BY246" s="234"/>
      <c r="BZ246" s="234"/>
      <c r="CA246" s="234"/>
      <c r="CB246" s="234"/>
      <c r="CC246" s="234"/>
      <c r="CD246" s="234"/>
      <c r="CE246" s="234"/>
      <c r="CF246" s="234"/>
      <c r="CG246" s="234"/>
      <c r="CH246" s="234"/>
      <c r="CI246" s="234"/>
      <c r="CJ246" s="234"/>
      <c r="CK246" s="234"/>
      <c r="CL246" s="234"/>
      <c r="CM246" s="234"/>
      <c r="CN246" s="234"/>
      <c r="CO246" s="234"/>
      <c r="CP246" s="234"/>
      <c r="CQ246" s="234"/>
      <c r="CR246" s="234"/>
      <c r="CS246" s="234"/>
      <c r="CT246" s="234"/>
      <c r="CU246" s="234"/>
      <c r="CV246" s="234"/>
      <c r="CW246" s="234"/>
      <c r="CX246" s="234"/>
      <c r="CY246" s="234"/>
      <c r="CZ246" s="234"/>
      <c r="DA246" s="234"/>
      <c r="DB246" s="234"/>
      <c r="DC246" s="234"/>
      <c r="DD246" s="234"/>
      <c r="DE246" s="234"/>
      <c r="DF246" s="234"/>
      <c r="DG246" s="234"/>
      <c r="DH246" s="234"/>
      <c r="DI246" s="234"/>
      <c r="DJ246" s="234"/>
      <c r="DK246" s="234"/>
      <c r="DL246" s="234"/>
      <c r="DM246" s="234"/>
      <c r="DN246" s="234"/>
      <c r="DO246" s="234"/>
      <c r="DP246" s="234"/>
      <c r="DQ246" s="234"/>
      <c r="DR246" s="234"/>
      <c r="DS246" s="234"/>
      <c r="DT246" s="234"/>
    </row>
    <row r="247" spans="8:124" s="231" customFormat="1" x14ac:dyDescent="0.25">
      <c r="H247" s="232"/>
      <c r="K247" s="232"/>
      <c r="N247" s="232"/>
      <c r="W247" s="232"/>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4"/>
      <c r="AZ247" s="234"/>
      <c r="BA247" s="234"/>
      <c r="BB247" s="234"/>
      <c r="BC247" s="234"/>
      <c r="BD247" s="234"/>
      <c r="BE247" s="234"/>
      <c r="BF247" s="234"/>
      <c r="BG247" s="234"/>
      <c r="BH247" s="234"/>
      <c r="BI247" s="429"/>
      <c r="BJ247" s="140" t="s">
        <v>1460</v>
      </c>
      <c r="BK247" s="31"/>
      <c r="BL247" s="31"/>
      <c r="BM247" s="31"/>
      <c r="BN247" s="140" t="s">
        <v>1460</v>
      </c>
      <c r="BO247" s="31"/>
      <c r="BP247" s="430"/>
      <c r="BQ247" s="234"/>
      <c r="BR247" s="234"/>
      <c r="BS247" s="234"/>
      <c r="BT247" s="234"/>
      <c r="BU247" s="234"/>
      <c r="BV247" s="234"/>
      <c r="BW247" s="234"/>
      <c r="BX247" s="234"/>
      <c r="BY247" s="234"/>
      <c r="BZ247" s="234"/>
      <c r="CA247" s="234"/>
      <c r="CB247" s="234"/>
      <c r="CC247" s="234"/>
      <c r="CD247" s="234"/>
      <c r="CE247" s="234"/>
      <c r="CF247" s="234"/>
      <c r="CG247" s="234"/>
      <c r="CH247" s="234"/>
      <c r="CI247" s="234"/>
      <c r="CJ247" s="234"/>
      <c r="CK247" s="234"/>
      <c r="CL247" s="234"/>
      <c r="CM247" s="234"/>
      <c r="CN247" s="234"/>
      <c r="CO247" s="234"/>
      <c r="CP247" s="234"/>
      <c r="CQ247" s="234"/>
      <c r="CR247" s="234"/>
      <c r="CS247" s="234"/>
      <c r="CT247" s="234"/>
      <c r="CU247" s="234"/>
      <c r="CV247" s="234"/>
      <c r="CW247" s="234"/>
      <c r="CX247" s="234"/>
      <c r="CY247" s="234"/>
      <c r="CZ247" s="234"/>
      <c r="DA247" s="234"/>
      <c r="DB247" s="234"/>
      <c r="DC247" s="234"/>
      <c r="DD247" s="234"/>
      <c r="DE247" s="234"/>
      <c r="DF247" s="234"/>
      <c r="DG247" s="234"/>
      <c r="DH247" s="234"/>
      <c r="DI247" s="234"/>
      <c r="DJ247" s="234"/>
      <c r="DK247" s="234"/>
      <c r="DL247" s="234"/>
      <c r="DM247" s="234"/>
      <c r="DN247" s="234"/>
      <c r="DO247" s="234"/>
      <c r="DP247" s="234"/>
      <c r="DQ247" s="234"/>
      <c r="DR247" s="234"/>
      <c r="DS247" s="234"/>
      <c r="DT247" s="234"/>
    </row>
    <row r="248" spans="8:124" s="231" customFormat="1" x14ac:dyDescent="0.25">
      <c r="H248" s="232"/>
      <c r="K248" s="232"/>
      <c r="N248" s="232"/>
      <c r="W248" s="232"/>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4"/>
      <c r="AZ248" s="234"/>
      <c r="BA248" s="234"/>
      <c r="BB248" s="234"/>
      <c r="BC248" s="234"/>
      <c r="BD248" s="234"/>
      <c r="BE248" s="234"/>
      <c r="BF248" s="234"/>
      <c r="BG248" s="234"/>
      <c r="BH248" s="234"/>
      <c r="BI248" s="429"/>
      <c r="BJ248" s="140"/>
      <c r="BK248" s="31"/>
      <c r="BL248" s="31"/>
      <c r="BM248" s="31"/>
      <c r="BN248" s="140"/>
      <c r="BO248" s="31"/>
      <c r="BP248" s="430"/>
      <c r="BQ248" s="234"/>
      <c r="BR248" s="234"/>
      <c r="BS248" s="234"/>
      <c r="BT248" s="234"/>
      <c r="BU248" s="234"/>
      <c r="BV248" s="234"/>
      <c r="BW248" s="234"/>
      <c r="BX248" s="234"/>
      <c r="BY248" s="234"/>
      <c r="BZ248" s="234"/>
      <c r="CA248" s="234"/>
      <c r="CB248" s="234"/>
      <c r="CC248" s="234"/>
      <c r="CD248" s="234"/>
      <c r="CE248" s="234"/>
      <c r="CF248" s="234"/>
      <c r="CG248" s="234"/>
      <c r="CH248" s="234"/>
      <c r="CI248" s="234"/>
      <c r="CJ248" s="234"/>
      <c r="CK248" s="234"/>
      <c r="CL248" s="234"/>
      <c r="CM248" s="234"/>
      <c r="CN248" s="234"/>
      <c r="CO248" s="234"/>
      <c r="CP248" s="234"/>
      <c r="CQ248" s="234"/>
      <c r="CR248" s="234"/>
      <c r="CS248" s="234"/>
      <c r="CT248" s="234"/>
      <c r="CU248" s="234"/>
      <c r="CV248" s="234"/>
      <c r="CW248" s="234"/>
      <c r="CX248" s="234"/>
      <c r="CY248" s="234"/>
      <c r="CZ248" s="234"/>
      <c r="DA248" s="234"/>
      <c r="DB248" s="234"/>
      <c r="DC248" s="234"/>
      <c r="DD248" s="234"/>
      <c r="DE248" s="234"/>
      <c r="DF248" s="234"/>
      <c r="DG248" s="234"/>
      <c r="DH248" s="234"/>
      <c r="DI248" s="234"/>
      <c r="DJ248" s="234"/>
      <c r="DK248" s="234"/>
      <c r="DL248" s="234"/>
      <c r="DM248" s="234"/>
      <c r="DN248" s="234"/>
      <c r="DO248" s="234"/>
      <c r="DP248" s="234"/>
      <c r="DQ248" s="234"/>
      <c r="DR248" s="234"/>
      <c r="DS248" s="234"/>
      <c r="DT248" s="234"/>
    </row>
    <row r="249" spans="8:124" s="231" customFormat="1" x14ac:dyDescent="0.25">
      <c r="H249" s="232"/>
      <c r="K249" s="232"/>
      <c r="N249" s="232"/>
      <c r="W249" s="232"/>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4"/>
      <c r="AZ249" s="234"/>
      <c r="BA249" s="234"/>
      <c r="BB249" s="234"/>
      <c r="BC249" s="234"/>
      <c r="BD249" s="234"/>
      <c r="BE249" s="234"/>
      <c r="BF249" s="234"/>
      <c r="BG249" s="234"/>
      <c r="BH249" s="234"/>
      <c r="BI249" s="429"/>
      <c r="BJ249" s="142"/>
      <c r="BK249" s="142"/>
      <c r="BL249" s="31"/>
      <c r="BM249" s="31"/>
      <c r="BN249" s="142"/>
      <c r="BO249" s="142"/>
      <c r="BP249" s="430"/>
      <c r="BQ249" s="234"/>
      <c r="BR249" s="234"/>
      <c r="BS249" s="234"/>
      <c r="BT249" s="234"/>
      <c r="BU249" s="234"/>
      <c r="BV249" s="234"/>
      <c r="BW249" s="234"/>
      <c r="BX249" s="234"/>
      <c r="BY249" s="234"/>
      <c r="BZ249" s="234"/>
      <c r="CA249" s="234"/>
      <c r="CB249" s="234"/>
      <c r="CC249" s="234"/>
      <c r="CD249" s="234"/>
      <c r="CE249" s="234"/>
      <c r="CF249" s="234"/>
      <c r="CG249" s="234"/>
      <c r="CH249" s="234"/>
      <c r="CI249" s="234"/>
      <c r="CJ249" s="234"/>
      <c r="CK249" s="234"/>
      <c r="CL249" s="234"/>
      <c r="CM249" s="234"/>
      <c r="CN249" s="234"/>
      <c r="CO249" s="234"/>
      <c r="CP249" s="234"/>
      <c r="CQ249" s="234"/>
      <c r="CR249" s="234"/>
      <c r="CS249" s="234"/>
      <c r="CT249" s="234"/>
      <c r="CU249" s="234"/>
      <c r="CV249" s="234"/>
      <c r="CW249" s="234"/>
      <c r="CX249" s="234"/>
      <c r="CY249" s="234"/>
      <c r="CZ249" s="234"/>
      <c r="DA249" s="234"/>
      <c r="DB249" s="234"/>
      <c r="DC249" s="234"/>
      <c r="DD249" s="234"/>
      <c r="DE249" s="234"/>
      <c r="DF249" s="234"/>
      <c r="DG249" s="234"/>
      <c r="DH249" s="234"/>
      <c r="DI249" s="234"/>
      <c r="DJ249" s="234"/>
      <c r="DK249" s="234"/>
      <c r="DL249" s="234"/>
      <c r="DM249" s="234"/>
      <c r="DN249" s="234"/>
      <c r="DO249" s="234"/>
      <c r="DP249" s="234"/>
      <c r="DQ249" s="234"/>
      <c r="DR249" s="234"/>
      <c r="DS249" s="234"/>
      <c r="DT249" s="234"/>
    </row>
    <row r="250" spans="8:124" s="231" customFormat="1" x14ac:dyDescent="0.25">
      <c r="H250" s="232"/>
      <c r="K250" s="232"/>
      <c r="N250" s="232"/>
      <c r="W250" s="232"/>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4"/>
      <c r="AZ250" s="234"/>
      <c r="BA250" s="234"/>
      <c r="BB250" s="234"/>
      <c r="BC250" s="234"/>
      <c r="BD250" s="234"/>
      <c r="BE250" s="234"/>
      <c r="BF250" s="234"/>
      <c r="BG250" s="234"/>
      <c r="BH250" s="234"/>
      <c r="BI250" s="429"/>
      <c r="BJ250" s="148" t="s">
        <v>21</v>
      </c>
      <c r="BK250" s="422" t="e">
        <f ca="1">BK252+BK253+BK254+BK255</f>
        <v>#DIV/0!</v>
      </c>
      <c r="BL250" s="31"/>
      <c r="BM250" s="31"/>
      <c r="BN250" s="148" t="s">
        <v>21</v>
      </c>
      <c r="BO250" s="422"/>
      <c r="BP250" s="430"/>
      <c r="BQ250" s="234"/>
      <c r="BR250" s="234"/>
      <c r="BS250" s="234"/>
      <c r="BT250" s="234"/>
      <c r="BU250" s="234"/>
      <c r="BV250" s="234"/>
      <c r="BW250" s="234"/>
      <c r="BX250" s="234"/>
      <c r="BY250" s="234"/>
      <c r="BZ250" s="234"/>
      <c r="CA250" s="234"/>
      <c r="CB250" s="234"/>
      <c r="CC250" s="234"/>
      <c r="CD250" s="234"/>
      <c r="CE250" s="234"/>
      <c r="CF250" s="234"/>
      <c r="CG250" s="234"/>
      <c r="CH250" s="234"/>
      <c r="CI250" s="234"/>
      <c r="CJ250" s="234"/>
      <c r="CK250" s="234"/>
      <c r="CL250" s="234"/>
      <c r="CM250" s="234"/>
      <c r="CN250" s="234"/>
      <c r="CO250" s="234"/>
      <c r="CP250" s="234"/>
      <c r="CQ250" s="234"/>
      <c r="CR250" s="234"/>
      <c r="CS250" s="234"/>
      <c r="CT250" s="234"/>
      <c r="CU250" s="234"/>
      <c r="CV250" s="234"/>
      <c r="CW250" s="234"/>
      <c r="CX250" s="234"/>
      <c r="CY250" s="234"/>
      <c r="CZ250" s="234"/>
      <c r="DA250" s="234"/>
      <c r="DB250" s="234"/>
      <c r="DC250" s="234"/>
      <c r="DD250" s="234"/>
      <c r="DE250" s="234"/>
      <c r="DF250" s="234"/>
      <c r="DG250" s="234"/>
      <c r="DH250" s="234"/>
      <c r="DI250" s="234"/>
      <c r="DJ250" s="234"/>
      <c r="DK250" s="234"/>
      <c r="DL250" s="234"/>
      <c r="DM250" s="234"/>
      <c r="DN250" s="234"/>
      <c r="DO250" s="234"/>
      <c r="DP250" s="234"/>
      <c r="DQ250" s="234"/>
      <c r="DR250" s="234"/>
      <c r="DS250" s="234"/>
      <c r="DT250" s="234"/>
    </row>
    <row r="251" spans="8:124" s="231" customFormat="1" x14ac:dyDescent="0.25">
      <c r="H251" s="232"/>
      <c r="K251" s="232"/>
      <c r="N251" s="232"/>
      <c r="W251" s="232"/>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4"/>
      <c r="AZ251" s="234"/>
      <c r="BA251" s="234"/>
      <c r="BB251" s="234"/>
      <c r="BC251" s="234"/>
      <c r="BD251" s="234"/>
      <c r="BE251" s="234"/>
      <c r="BF251" s="234"/>
      <c r="BG251" s="234"/>
      <c r="BH251" s="234"/>
      <c r="BI251" s="429"/>
      <c r="BJ251" s="154" t="s">
        <v>29</v>
      </c>
      <c r="BK251" s="156"/>
      <c r="BL251" s="31"/>
      <c r="BM251" s="31"/>
      <c r="BN251" s="154" t="s">
        <v>29</v>
      </c>
      <c r="BO251" s="156"/>
      <c r="BP251" s="430"/>
      <c r="BQ251" s="234"/>
      <c r="BR251" s="234"/>
      <c r="BS251" s="234"/>
      <c r="BT251" s="234"/>
      <c r="BU251" s="234"/>
      <c r="BV251" s="234"/>
      <c r="BW251" s="234"/>
      <c r="BX251" s="234"/>
      <c r="BY251" s="234"/>
      <c r="BZ251" s="234"/>
      <c r="CA251" s="234"/>
      <c r="CB251" s="234"/>
      <c r="CC251" s="234"/>
      <c r="CD251" s="234"/>
      <c r="CE251" s="234"/>
      <c r="CF251" s="234"/>
      <c r="CG251" s="234"/>
      <c r="CH251" s="234"/>
      <c r="CI251" s="234"/>
      <c r="CJ251" s="234"/>
      <c r="CK251" s="234"/>
      <c r="CL251" s="234"/>
      <c r="CM251" s="234"/>
      <c r="CN251" s="234"/>
      <c r="CO251" s="234"/>
      <c r="CP251" s="234"/>
      <c r="CQ251" s="234"/>
      <c r="CR251" s="234"/>
      <c r="CS251" s="234"/>
      <c r="CT251" s="234"/>
      <c r="CU251" s="234"/>
      <c r="CV251" s="234"/>
      <c r="CW251" s="234"/>
      <c r="CX251" s="234"/>
      <c r="CY251" s="234"/>
      <c r="CZ251" s="234"/>
      <c r="DA251" s="234"/>
      <c r="DB251" s="234"/>
      <c r="DC251" s="234"/>
      <c r="DD251" s="234"/>
      <c r="DE251" s="234"/>
      <c r="DF251" s="234"/>
      <c r="DG251" s="234"/>
      <c r="DH251" s="234"/>
      <c r="DI251" s="234"/>
      <c r="DJ251" s="234"/>
      <c r="DK251" s="234"/>
      <c r="DL251" s="234"/>
      <c r="DM251" s="234"/>
      <c r="DN251" s="234"/>
      <c r="DO251" s="234"/>
      <c r="DP251" s="234"/>
      <c r="DQ251" s="234"/>
      <c r="DR251" s="234"/>
      <c r="DS251" s="234"/>
      <c r="DT251" s="234"/>
    </row>
    <row r="252" spans="8:124" s="231" customFormat="1" x14ac:dyDescent="0.25">
      <c r="H252" s="232"/>
      <c r="K252" s="232"/>
      <c r="N252" s="232"/>
      <c r="W252" s="232"/>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4"/>
      <c r="AZ252" s="234"/>
      <c r="BA252" s="234"/>
      <c r="BB252" s="234"/>
      <c r="BC252" s="234"/>
      <c r="BD252" s="234"/>
      <c r="BE252" s="234"/>
      <c r="BF252" s="234"/>
      <c r="BG252" s="234"/>
      <c r="BH252" s="234"/>
      <c r="BI252" s="429"/>
      <c r="BJ252" s="51" t="s">
        <v>22</v>
      </c>
      <c r="BK252" s="150" t="e">
        <f ca="1">BK230/50</f>
        <v>#DIV/0!</v>
      </c>
      <c r="BL252" s="31"/>
      <c r="BM252" s="31"/>
      <c r="BN252" s="51" t="s">
        <v>22</v>
      </c>
      <c r="BO252" s="150"/>
      <c r="BP252" s="430"/>
      <c r="BQ252" s="234"/>
      <c r="BR252" s="234"/>
      <c r="BS252" s="234"/>
      <c r="BT252" s="234"/>
      <c r="BU252" s="234"/>
      <c r="BV252" s="234"/>
      <c r="BW252" s="234"/>
      <c r="BX252" s="234"/>
      <c r="BY252" s="234"/>
      <c r="BZ252" s="234"/>
      <c r="CA252" s="234"/>
      <c r="CB252" s="234"/>
      <c r="CC252" s="234"/>
      <c r="CD252" s="234"/>
      <c r="CE252" s="234"/>
      <c r="CF252" s="234"/>
      <c r="CG252" s="234"/>
      <c r="CH252" s="234"/>
      <c r="CI252" s="234"/>
      <c r="CJ252" s="234"/>
      <c r="CK252" s="234"/>
      <c r="CL252" s="234"/>
      <c r="CM252" s="234"/>
      <c r="CN252" s="234"/>
      <c r="CO252" s="234"/>
      <c r="CP252" s="234"/>
      <c r="CQ252" s="234"/>
      <c r="CR252" s="234"/>
      <c r="CS252" s="234"/>
      <c r="CT252" s="234"/>
      <c r="CU252" s="234"/>
      <c r="CV252" s="234"/>
      <c r="CW252" s="234"/>
      <c r="CX252" s="234"/>
      <c r="CY252" s="234"/>
      <c r="CZ252" s="234"/>
      <c r="DA252" s="234"/>
      <c r="DB252" s="234"/>
      <c r="DC252" s="234"/>
      <c r="DD252" s="234"/>
      <c r="DE252" s="234"/>
      <c r="DF252" s="234"/>
      <c r="DG252" s="234"/>
      <c r="DH252" s="234"/>
      <c r="DI252" s="234"/>
      <c r="DJ252" s="234"/>
      <c r="DK252" s="234"/>
      <c r="DL252" s="234"/>
      <c r="DM252" s="234"/>
      <c r="DN252" s="234"/>
      <c r="DO252" s="234"/>
      <c r="DP252" s="234"/>
      <c r="DQ252" s="234"/>
      <c r="DR252" s="234"/>
      <c r="DS252" s="234"/>
      <c r="DT252" s="234"/>
    </row>
    <row r="253" spans="8:124" s="231" customFormat="1" ht="15.75" x14ac:dyDescent="0.25">
      <c r="H253" s="232"/>
      <c r="K253" s="232"/>
      <c r="N253" s="232"/>
      <c r="W253" s="232"/>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4"/>
      <c r="AZ253" s="234"/>
      <c r="BA253" s="234"/>
      <c r="BB253" s="234"/>
      <c r="BC253" s="234"/>
      <c r="BD253" s="234"/>
      <c r="BE253" s="234"/>
      <c r="BF253" s="234"/>
      <c r="BG253" s="234"/>
      <c r="BH253" s="234"/>
      <c r="BI253" s="429"/>
      <c r="BJ253" s="160" t="s">
        <v>23</v>
      </c>
      <c r="BK253" s="150" t="e">
        <f t="shared" ref="BK253:BK255" si="245">BK231/50</f>
        <v>#DIV/0!</v>
      </c>
      <c r="BL253" s="31"/>
      <c r="BM253" s="31"/>
      <c r="BN253" s="160" t="s">
        <v>23</v>
      </c>
      <c r="BO253" s="150"/>
      <c r="BP253" s="430"/>
      <c r="BQ253" s="234"/>
      <c r="BR253" s="234"/>
      <c r="BS253" s="234"/>
      <c r="BT253" s="234"/>
      <c r="BU253" s="234"/>
      <c r="BV253" s="234"/>
      <c r="BW253" s="234"/>
      <c r="BX253" s="234"/>
      <c r="BY253" s="234"/>
      <c r="BZ253" s="234"/>
      <c r="CA253" s="234"/>
      <c r="CB253" s="234"/>
      <c r="CC253" s="234"/>
      <c r="CD253" s="234"/>
      <c r="CE253" s="234"/>
      <c r="CF253" s="234"/>
      <c r="CG253" s="234"/>
      <c r="CH253" s="234"/>
      <c r="CI253" s="234"/>
      <c r="CJ253" s="234"/>
      <c r="CK253" s="234"/>
      <c r="CL253" s="234"/>
      <c r="CM253" s="234"/>
      <c r="CN253" s="234"/>
      <c r="CO253" s="234"/>
      <c r="CP253" s="234"/>
      <c r="CQ253" s="234"/>
      <c r="CR253" s="234"/>
      <c r="CS253" s="234"/>
      <c r="CT253" s="234"/>
      <c r="CU253" s="234"/>
      <c r="CV253" s="234"/>
      <c r="CW253" s="234"/>
      <c r="CX253" s="234"/>
      <c r="CY253" s="234"/>
      <c r="CZ253" s="234"/>
      <c r="DA253" s="234"/>
      <c r="DB253" s="234"/>
      <c r="DC253" s="234"/>
      <c r="DD253" s="234"/>
      <c r="DE253" s="234"/>
      <c r="DF253" s="234"/>
      <c r="DG253" s="234"/>
      <c r="DH253" s="234"/>
      <c r="DI253" s="234"/>
      <c r="DJ253" s="234"/>
      <c r="DK253" s="234"/>
      <c r="DL253" s="234"/>
      <c r="DM253" s="234"/>
      <c r="DN253" s="234"/>
      <c r="DO253" s="234"/>
      <c r="DP253" s="234"/>
      <c r="DQ253" s="234"/>
      <c r="DR253" s="234"/>
      <c r="DS253" s="234"/>
      <c r="DT253" s="234"/>
    </row>
    <row r="254" spans="8:124" s="231" customFormat="1" ht="15.75" x14ac:dyDescent="0.25">
      <c r="H254" s="232"/>
      <c r="K254" s="232"/>
      <c r="N254" s="232"/>
      <c r="W254" s="232"/>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4"/>
      <c r="AZ254" s="234"/>
      <c r="BA254" s="234"/>
      <c r="BB254" s="234"/>
      <c r="BC254" s="234"/>
      <c r="BD254" s="234"/>
      <c r="BE254" s="234"/>
      <c r="BF254" s="234"/>
      <c r="BG254" s="234"/>
      <c r="BH254" s="234"/>
      <c r="BI254" s="429"/>
      <c r="BJ254" s="160" t="s">
        <v>24</v>
      </c>
      <c r="BK254" s="150" t="e">
        <f t="shared" si="245"/>
        <v>#DIV/0!</v>
      </c>
      <c r="BL254" s="31"/>
      <c r="BM254" s="31"/>
      <c r="BN254" s="160" t="s">
        <v>24</v>
      </c>
      <c r="BO254" s="150"/>
      <c r="BP254" s="430"/>
      <c r="BQ254" s="234"/>
      <c r="BR254" s="234"/>
      <c r="BS254" s="234"/>
      <c r="BT254" s="234"/>
      <c r="BU254" s="234"/>
      <c r="BV254" s="234"/>
      <c r="BW254" s="234"/>
      <c r="BX254" s="234"/>
      <c r="BY254" s="234"/>
      <c r="BZ254" s="234"/>
      <c r="CA254" s="234"/>
      <c r="CB254" s="234"/>
      <c r="CC254" s="234"/>
      <c r="CD254" s="234"/>
      <c r="CE254" s="234"/>
      <c r="CF254" s="234"/>
      <c r="CG254" s="234"/>
      <c r="CH254" s="234"/>
      <c r="CI254" s="234"/>
      <c r="CJ254" s="234"/>
      <c r="CK254" s="234"/>
      <c r="CL254" s="234"/>
      <c r="CM254" s="234"/>
      <c r="CN254" s="234"/>
      <c r="CO254" s="234"/>
      <c r="CP254" s="234"/>
      <c r="CQ254" s="234"/>
      <c r="CR254" s="234"/>
      <c r="CS254" s="234"/>
      <c r="CT254" s="234"/>
      <c r="CU254" s="234"/>
      <c r="CV254" s="234"/>
      <c r="CW254" s="234"/>
      <c r="CX254" s="234"/>
      <c r="CY254" s="234"/>
      <c r="CZ254" s="234"/>
      <c r="DA254" s="234"/>
      <c r="DB254" s="234"/>
      <c r="DC254" s="234"/>
      <c r="DD254" s="234"/>
      <c r="DE254" s="234"/>
      <c r="DF254" s="234"/>
      <c r="DG254" s="234"/>
      <c r="DH254" s="234"/>
      <c r="DI254" s="234"/>
      <c r="DJ254" s="234"/>
      <c r="DK254" s="234"/>
      <c r="DL254" s="234"/>
      <c r="DM254" s="234"/>
      <c r="DN254" s="234"/>
      <c r="DO254" s="234"/>
      <c r="DP254" s="234"/>
      <c r="DQ254" s="234"/>
      <c r="DR254" s="234"/>
      <c r="DS254" s="234"/>
      <c r="DT254" s="234"/>
    </row>
    <row r="255" spans="8:124" s="231" customFormat="1" ht="15.75" x14ac:dyDescent="0.25">
      <c r="H255" s="232"/>
      <c r="K255" s="232"/>
      <c r="N255" s="232"/>
      <c r="W255" s="232"/>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4"/>
      <c r="AZ255" s="234"/>
      <c r="BA255" s="234"/>
      <c r="BB255" s="234"/>
      <c r="BC255" s="234"/>
      <c r="BD255" s="234"/>
      <c r="BE255" s="234"/>
      <c r="BF255" s="234"/>
      <c r="BG255" s="234"/>
      <c r="BH255" s="234"/>
      <c r="BI255" s="429"/>
      <c r="BJ255" s="160" t="s">
        <v>18</v>
      </c>
      <c r="BK255" s="150" t="e">
        <f t="shared" ca="1" si="245"/>
        <v>#DIV/0!</v>
      </c>
      <c r="BL255" s="31"/>
      <c r="BM255" s="31"/>
      <c r="BN255" s="160" t="s">
        <v>18</v>
      </c>
      <c r="BO255" s="150"/>
      <c r="BP255" s="430"/>
      <c r="BQ255" s="234"/>
      <c r="BR255" s="234"/>
      <c r="BS255" s="234"/>
      <c r="BT255" s="234"/>
      <c r="BU255" s="234"/>
      <c r="BV255" s="234"/>
      <c r="BW255" s="234"/>
      <c r="BX255" s="234"/>
      <c r="BY255" s="234"/>
      <c r="BZ255" s="234"/>
      <c r="CA255" s="234"/>
      <c r="CB255" s="234"/>
      <c r="CC255" s="234"/>
      <c r="CD255" s="234"/>
      <c r="CE255" s="234"/>
      <c r="CF255" s="234"/>
      <c r="CG255" s="234"/>
      <c r="CH255" s="234"/>
      <c r="CI255" s="234"/>
      <c r="CJ255" s="234"/>
      <c r="CK255" s="234"/>
      <c r="CL255" s="234"/>
      <c r="CM255" s="234"/>
      <c r="CN255" s="234"/>
      <c r="CO255" s="234"/>
      <c r="CP255" s="234"/>
      <c r="CQ255" s="234"/>
      <c r="CR255" s="234"/>
      <c r="CS255" s="234"/>
      <c r="CT255" s="234"/>
      <c r="CU255" s="234"/>
      <c r="CV255" s="234"/>
      <c r="CW255" s="234"/>
      <c r="CX255" s="234"/>
      <c r="CY255" s="234"/>
      <c r="CZ255" s="234"/>
      <c r="DA255" s="234"/>
      <c r="DB255" s="234"/>
      <c r="DC255" s="234"/>
      <c r="DD255" s="234"/>
      <c r="DE255" s="234"/>
      <c r="DF255" s="234"/>
      <c r="DG255" s="234"/>
      <c r="DH255" s="234"/>
      <c r="DI255" s="234"/>
      <c r="DJ255" s="234"/>
      <c r="DK255" s="234"/>
      <c r="DL255" s="234"/>
      <c r="DM255" s="234"/>
      <c r="DN255" s="234"/>
      <c r="DO255" s="234"/>
      <c r="DP255" s="234"/>
      <c r="DQ255" s="234"/>
      <c r="DR255" s="234"/>
      <c r="DS255" s="234"/>
      <c r="DT255" s="234"/>
    </row>
    <row r="256" spans="8:124" s="231" customFormat="1" x14ac:dyDescent="0.25">
      <c r="H256" s="232"/>
      <c r="K256" s="232"/>
      <c r="N256" s="232"/>
      <c r="W256" s="232"/>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4"/>
      <c r="AZ256" s="234"/>
      <c r="BA256" s="234"/>
      <c r="BB256" s="234"/>
      <c r="BC256" s="234"/>
      <c r="BD256" s="234"/>
      <c r="BE256" s="234"/>
      <c r="BF256" s="234"/>
      <c r="BG256" s="234"/>
      <c r="BH256" s="234"/>
      <c r="BI256" s="432"/>
      <c r="BJ256" s="433"/>
      <c r="BK256" s="433"/>
      <c r="BL256" s="433"/>
      <c r="BM256" s="433"/>
      <c r="BN256" s="433"/>
      <c r="BO256" s="433"/>
      <c r="BP256" s="185"/>
      <c r="BQ256" s="234"/>
      <c r="BR256" s="234"/>
      <c r="BS256" s="234"/>
      <c r="BT256" s="234"/>
      <c r="BU256" s="234"/>
      <c r="BV256" s="234"/>
      <c r="BW256" s="234"/>
      <c r="BX256" s="234"/>
      <c r="BY256" s="234"/>
      <c r="BZ256" s="234"/>
      <c r="CA256" s="234"/>
      <c r="CB256" s="234"/>
      <c r="CC256" s="234"/>
      <c r="CD256" s="234"/>
      <c r="CE256" s="234"/>
      <c r="CF256" s="234"/>
      <c r="CG256" s="234"/>
      <c r="CH256" s="234"/>
      <c r="CI256" s="234"/>
      <c r="CJ256" s="234"/>
      <c r="CK256" s="234"/>
      <c r="CL256" s="234"/>
      <c r="CM256" s="234"/>
      <c r="CN256" s="234"/>
      <c r="CO256" s="234"/>
      <c r="CP256" s="234"/>
      <c r="CQ256" s="234"/>
      <c r="CR256" s="234"/>
      <c r="CS256" s="234"/>
      <c r="CT256" s="234"/>
      <c r="CU256" s="234"/>
      <c r="CV256" s="234"/>
      <c r="CW256" s="234"/>
      <c r="CX256" s="234"/>
      <c r="CY256" s="234"/>
      <c r="CZ256" s="234"/>
      <c r="DA256" s="234"/>
      <c r="DB256" s="234"/>
      <c r="DC256" s="234"/>
      <c r="DD256" s="234"/>
      <c r="DE256" s="234"/>
      <c r="DF256" s="234"/>
      <c r="DG256" s="234"/>
      <c r="DH256" s="234"/>
      <c r="DI256" s="234"/>
      <c r="DJ256" s="234"/>
      <c r="DK256" s="234"/>
      <c r="DL256" s="234"/>
      <c r="DM256" s="234"/>
      <c r="DN256" s="234"/>
      <c r="DO256" s="234"/>
      <c r="DP256" s="234"/>
      <c r="DQ256" s="234"/>
      <c r="DR256" s="234"/>
      <c r="DS256" s="234"/>
      <c r="DT256" s="234"/>
    </row>
    <row r="257" spans="8:124" s="231" customFormat="1" x14ac:dyDescent="0.25">
      <c r="H257" s="232"/>
      <c r="K257" s="232"/>
      <c r="N257" s="232"/>
      <c r="W257" s="232"/>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4"/>
      <c r="AZ257" s="234"/>
      <c r="BA257" s="234"/>
      <c r="BB257" s="234"/>
      <c r="BC257" s="234"/>
      <c r="BD257" s="234"/>
      <c r="BE257" s="234"/>
      <c r="BF257" s="234"/>
      <c r="BG257" s="234"/>
      <c r="BH257" s="234"/>
      <c r="BI257" s="234"/>
      <c r="BJ257" s="234"/>
      <c r="BK257" s="234"/>
      <c r="BL257" s="234"/>
      <c r="BM257" s="234"/>
      <c r="BN257" s="234"/>
      <c r="BO257" s="234"/>
      <c r="BP257" s="234"/>
      <c r="BQ257" s="234"/>
      <c r="BR257" s="234"/>
      <c r="BS257" s="234"/>
      <c r="BT257" s="234"/>
      <c r="BU257" s="234"/>
      <c r="BV257" s="234"/>
      <c r="BW257" s="234"/>
      <c r="BX257" s="234"/>
      <c r="BY257" s="234"/>
      <c r="BZ257" s="234"/>
      <c r="CA257" s="234"/>
      <c r="CB257" s="234"/>
      <c r="CC257" s="234"/>
      <c r="CD257" s="234"/>
      <c r="CE257" s="234"/>
      <c r="CF257" s="234"/>
      <c r="CG257" s="234"/>
      <c r="CH257" s="234"/>
      <c r="CI257" s="234"/>
      <c r="CJ257" s="234"/>
      <c r="CK257" s="234"/>
      <c r="CL257" s="234"/>
      <c r="CM257" s="234"/>
      <c r="CN257" s="234"/>
      <c r="CO257" s="234"/>
      <c r="CP257" s="234"/>
      <c r="CQ257" s="234"/>
      <c r="CR257" s="234"/>
      <c r="CS257" s="234"/>
      <c r="CT257" s="234"/>
      <c r="CU257" s="234"/>
      <c r="CV257" s="234"/>
      <c r="CW257" s="234"/>
      <c r="CX257" s="234"/>
      <c r="CY257" s="234"/>
      <c r="CZ257" s="234"/>
      <c r="DA257" s="234"/>
      <c r="DB257" s="234"/>
      <c r="DC257" s="234"/>
      <c r="DD257" s="234"/>
      <c r="DE257" s="234"/>
      <c r="DF257" s="234"/>
      <c r="DG257" s="234"/>
      <c r="DH257" s="234"/>
      <c r="DI257" s="234"/>
      <c r="DJ257" s="234"/>
      <c r="DK257" s="234"/>
      <c r="DL257" s="234"/>
      <c r="DM257" s="234"/>
      <c r="DN257" s="234"/>
      <c r="DO257" s="234"/>
      <c r="DP257" s="234"/>
      <c r="DQ257" s="234"/>
      <c r="DR257" s="234"/>
      <c r="DS257" s="234"/>
      <c r="DT257" s="234"/>
    </row>
    <row r="258" spans="8:124" s="231" customFormat="1" x14ac:dyDescent="0.25">
      <c r="H258" s="232"/>
      <c r="K258" s="232"/>
      <c r="N258" s="232"/>
      <c r="W258" s="232"/>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4"/>
      <c r="AZ258" s="234"/>
      <c r="BA258" s="234"/>
      <c r="BB258" s="234"/>
      <c r="BC258" s="234"/>
      <c r="BD258" s="234"/>
      <c r="BE258" s="234"/>
      <c r="BF258" s="234"/>
      <c r="BG258" s="234"/>
      <c r="BH258" s="234"/>
      <c r="BI258" s="234"/>
      <c r="BJ258" s="234"/>
      <c r="BK258" s="234"/>
      <c r="BL258" s="234"/>
      <c r="BM258" s="234"/>
      <c r="BN258" s="234"/>
      <c r="BO258" s="234"/>
      <c r="BP258" s="234"/>
      <c r="BQ258" s="234"/>
      <c r="BR258" s="234"/>
      <c r="BS258" s="234"/>
      <c r="BT258" s="234"/>
      <c r="BU258" s="234"/>
      <c r="BV258" s="234"/>
      <c r="BW258" s="234"/>
      <c r="BX258" s="234"/>
      <c r="BY258" s="234"/>
      <c r="BZ258" s="234"/>
      <c r="CA258" s="234"/>
      <c r="CB258" s="234"/>
      <c r="CC258" s="234"/>
      <c r="CD258" s="234"/>
      <c r="CE258" s="234"/>
      <c r="CF258" s="234"/>
      <c r="CG258" s="234"/>
      <c r="CH258" s="234"/>
      <c r="CI258" s="234"/>
      <c r="CJ258" s="234"/>
      <c r="CK258" s="234"/>
      <c r="CL258" s="234"/>
      <c r="CM258" s="234"/>
      <c r="CN258" s="234"/>
      <c r="CO258" s="234"/>
      <c r="CP258" s="234"/>
      <c r="CQ258" s="234"/>
      <c r="CR258" s="234"/>
      <c r="CS258" s="234"/>
      <c r="CT258" s="234"/>
      <c r="CU258" s="234"/>
      <c r="CV258" s="234"/>
      <c r="CW258" s="234"/>
      <c r="CX258" s="234"/>
      <c r="CY258" s="234"/>
      <c r="CZ258" s="234"/>
      <c r="DA258" s="234"/>
      <c r="DB258" s="234"/>
      <c r="DC258" s="234"/>
      <c r="DD258" s="234"/>
      <c r="DE258" s="234"/>
      <c r="DF258" s="234"/>
      <c r="DG258" s="234"/>
      <c r="DH258" s="234"/>
      <c r="DI258" s="234"/>
      <c r="DJ258" s="234"/>
      <c r="DK258" s="234"/>
      <c r="DL258" s="234"/>
      <c r="DM258" s="234"/>
      <c r="DN258" s="234"/>
      <c r="DO258" s="234"/>
      <c r="DP258" s="234"/>
      <c r="DQ258" s="234"/>
      <c r="DR258" s="234"/>
      <c r="DS258" s="234"/>
      <c r="DT258" s="234"/>
    </row>
    <row r="259" spans="8:124" s="231" customFormat="1" x14ac:dyDescent="0.25">
      <c r="H259" s="232"/>
      <c r="K259" s="232"/>
      <c r="N259" s="232"/>
      <c r="W259" s="232"/>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4"/>
      <c r="AZ259" s="234"/>
      <c r="BA259" s="234"/>
      <c r="BB259" s="234"/>
      <c r="BC259" s="234"/>
      <c r="BD259" s="234"/>
      <c r="BE259" s="234"/>
      <c r="BF259" s="234"/>
      <c r="BG259" s="234"/>
      <c r="BH259" s="234"/>
      <c r="BI259" s="234"/>
      <c r="BJ259" s="234"/>
      <c r="BK259" s="234"/>
      <c r="BL259" s="234"/>
      <c r="BM259" s="234"/>
      <c r="BN259" s="234"/>
      <c r="BO259" s="234"/>
      <c r="BP259" s="234"/>
      <c r="BQ259" s="234"/>
      <c r="BR259" s="234"/>
      <c r="BS259" s="234"/>
      <c r="BT259" s="234"/>
      <c r="BU259" s="234"/>
      <c r="BV259" s="234"/>
      <c r="BW259" s="234"/>
      <c r="BX259" s="234"/>
      <c r="BY259" s="234"/>
      <c r="BZ259" s="234"/>
      <c r="CA259" s="234"/>
      <c r="CB259" s="234"/>
      <c r="CC259" s="234"/>
      <c r="CD259" s="234"/>
      <c r="CE259" s="234"/>
      <c r="CF259" s="234"/>
      <c r="CG259" s="234"/>
      <c r="CH259" s="234"/>
      <c r="CI259" s="234"/>
      <c r="CJ259" s="234"/>
      <c r="CK259" s="234"/>
      <c r="CL259" s="234"/>
      <c r="CM259" s="234"/>
      <c r="CN259" s="234"/>
      <c r="CO259" s="234"/>
      <c r="CP259" s="234"/>
      <c r="CQ259" s="234"/>
      <c r="CR259" s="234"/>
      <c r="CS259" s="234"/>
      <c r="CT259" s="234"/>
      <c r="CU259" s="234"/>
      <c r="CV259" s="234"/>
      <c r="CW259" s="234"/>
      <c r="CX259" s="234"/>
      <c r="CY259" s="234"/>
      <c r="CZ259" s="234"/>
      <c r="DA259" s="234"/>
      <c r="DB259" s="234"/>
      <c r="DC259" s="234"/>
      <c r="DD259" s="234"/>
      <c r="DE259" s="234"/>
      <c r="DF259" s="234"/>
      <c r="DG259" s="234"/>
      <c r="DH259" s="234"/>
      <c r="DI259" s="234"/>
      <c r="DJ259" s="234"/>
      <c r="DK259" s="234"/>
      <c r="DL259" s="234"/>
      <c r="DM259" s="234"/>
      <c r="DN259" s="234"/>
      <c r="DO259" s="234"/>
      <c r="DP259" s="234"/>
      <c r="DQ259" s="234"/>
      <c r="DR259" s="234"/>
      <c r="DS259" s="234"/>
      <c r="DT259" s="234"/>
    </row>
    <row r="260" spans="8:124" s="231" customFormat="1" x14ac:dyDescent="0.25">
      <c r="H260" s="232"/>
      <c r="K260" s="232"/>
      <c r="N260" s="232"/>
      <c r="W260" s="232"/>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4"/>
      <c r="AZ260" s="234"/>
      <c r="BA260" s="234"/>
      <c r="BB260" s="234"/>
      <c r="BC260" s="234"/>
      <c r="BD260" s="234"/>
      <c r="BE260" s="234"/>
      <c r="BF260" s="234"/>
      <c r="BG260" s="234"/>
      <c r="BH260" s="234"/>
      <c r="BI260" s="234"/>
      <c r="BJ260" s="234"/>
      <c r="BK260" s="234"/>
      <c r="BL260" s="234"/>
      <c r="BM260" s="234"/>
      <c r="BN260" s="234"/>
      <c r="BO260" s="234"/>
      <c r="BP260" s="234"/>
      <c r="BQ260" s="234"/>
      <c r="BR260" s="234"/>
      <c r="BS260" s="234"/>
      <c r="BT260" s="234"/>
      <c r="BU260" s="234"/>
      <c r="BV260" s="234"/>
      <c r="BW260" s="234"/>
      <c r="BX260" s="234"/>
      <c r="BY260" s="234"/>
      <c r="BZ260" s="234"/>
      <c r="CA260" s="234"/>
      <c r="CB260" s="234"/>
      <c r="CC260" s="234"/>
      <c r="CD260" s="234"/>
      <c r="CE260" s="234"/>
      <c r="CF260" s="234"/>
      <c r="CG260" s="234"/>
      <c r="CH260" s="234"/>
      <c r="CI260" s="234"/>
      <c r="CJ260" s="234"/>
      <c r="CK260" s="234"/>
      <c r="CL260" s="234"/>
      <c r="CM260" s="234"/>
      <c r="CN260" s="234"/>
      <c r="CO260" s="234"/>
      <c r="CP260" s="234"/>
      <c r="CQ260" s="234"/>
      <c r="CR260" s="234"/>
      <c r="CS260" s="234"/>
      <c r="CT260" s="234"/>
      <c r="CU260" s="234"/>
      <c r="CV260" s="234"/>
      <c r="CW260" s="234"/>
      <c r="CX260" s="234"/>
      <c r="CY260" s="234"/>
      <c r="CZ260" s="234"/>
      <c r="DA260" s="234"/>
      <c r="DB260" s="234"/>
      <c r="DC260" s="234"/>
      <c r="DD260" s="234"/>
      <c r="DE260" s="234"/>
      <c r="DF260" s="234"/>
      <c r="DG260" s="234"/>
      <c r="DH260" s="234"/>
      <c r="DI260" s="234"/>
      <c r="DJ260" s="234"/>
      <c r="DK260" s="234"/>
      <c r="DL260" s="234"/>
      <c r="DM260" s="234"/>
      <c r="DN260" s="234"/>
      <c r="DO260" s="234"/>
      <c r="DP260" s="234"/>
      <c r="DQ260" s="234"/>
      <c r="DR260" s="234"/>
      <c r="DS260" s="234"/>
      <c r="DT260" s="234"/>
    </row>
    <row r="261" spans="8:124" s="231" customFormat="1" x14ac:dyDescent="0.25">
      <c r="H261" s="232"/>
      <c r="K261" s="232"/>
      <c r="N261" s="232"/>
      <c r="W261" s="232"/>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4"/>
      <c r="AZ261" s="234"/>
      <c r="BA261" s="234"/>
      <c r="BB261" s="234"/>
      <c r="BC261" s="234"/>
      <c r="BD261" s="234"/>
      <c r="BE261" s="234"/>
      <c r="BF261" s="234"/>
      <c r="BG261" s="234"/>
      <c r="BH261" s="234"/>
      <c r="BI261" s="234"/>
      <c r="BJ261" s="234"/>
      <c r="BK261" s="234"/>
      <c r="BL261" s="234"/>
      <c r="BM261" s="234"/>
      <c r="BN261" s="234"/>
      <c r="BO261" s="234"/>
      <c r="BP261" s="234"/>
      <c r="BQ261" s="234"/>
      <c r="BR261" s="234"/>
      <c r="BS261" s="234"/>
      <c r="BT261" s="234"/>
      <c r="BU261" s="234"/>
      <c r="BV261" s="234"/>
      <c r="BW261" s="234"/>
      <c r="BX261" s="234"/>
      <c r="BY261" s="234"/>
      <c r="BZ261" s="234"/>
      <c r="CA261" s="234"/>
      <c r="CB261" s="234"/>
      <c r="CC261" s="234"/>
      <c r="CD261" s="234"/>
      <c r="CE261" s="234"/>
      <c r="CF261" s="234"/>
      <c r="CG261" s="234"/>
      <c r="CH261" s="234"/>
      <c r="CI261" s="234"/>
      <c r="CJ261" s="234"/>
      <c r="CK261" s="234"/>
      <c r="CL261" s="234"/>
      <c r="CM261" s="234"/>
      <c r="CN261" s="234"/>
      <c r="CO261" s="234"/>
      <c r="CP261" s="234"/>
      <c r="CQ261" s="234"/>
      <c r="CR261" s="234"/>
      <c r="CS261" s="234"/>
      <c r="CT261" s="234"/>
      <c r="CU261" s="234"/>
      <c r="CV261" s="234"/>
      <c r="CW261" s="234"/>
      <c r="CX261" s="234"/>
      <c r="CY261" s="234"/>
      <c r="CZ261" s="234"/>
      <c r="DA261" s="234"/>
      <c r="DB261" s="234"/>
      <c r="DC261" s="234"/>
      <c r="DD261" s="234"/>
      <c r="DE261" s="234"/>
      <c r="DF261" s="234"/>
      <c r="DG261" s="234"/>
      <c r="DH261" s="234"/>
      <c r="DI261" s="234"/>
      <c r="DJ261" s="234"/>
      <c r="DK261" s="234"/>
      <c r="DL261" s="234"/>
      <c r="DM261" s="234"/>
      <c r="DN261" s="234"/>
      <c r="DO261" s="234"/>
      <c r="DP261" s="234"/>
      <c r="DQ261" s="234"/>
      <c r="DR261" s="234"/>
      <c r="DS261" s="234"/>
      <c r="DT261" s="234"/>
    </row>
    <row r="262" spans="8:124" s="231" customFormat="1" x14ac:dyDescent="0.25">
      <c r="H262" s="232"/>
      <c r="K262" s="232"/>
      <c r="N262" s="232"/>
      <c r="W262" s="232"/>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4"/>
      <c r="AZ262" s="234"/>
      <c r="BA262" s="234"/>
      <c r="BB262" s="234"/>
      <c r="BC262" s="234"/>
      <c r="BD262" s="234"/>
      <c r="BE262" s="234"/>
      <c r="BF262" s="234"/>
      <c r="BG262" s="234"/>
      <c r="BH262" s="234"/>
      <c r="BI262" s="234"/>
      <c r="BJ262" s="234"/>
      <c r="BK262" s="234"/>
      <c r="BL262" s="234"/>
      <c r="BM262" s="234"/>
      <c r="BN262" s="234"/>
      <c r="BO262" s="234"/>
      <c r="BP262" s="234"/>
      <c r="BQ262" s="234"/>
      <c r="BR262" s="234"/>
      <c r="BS262" s="234"/>
      <c r="BT262" s="234"/>
      <c r="BU262" s="234"/>
      <c r="BV262" s="234"/>
      <c r="BW262" s="234"/>
      <c r="BX262" s="234"/>
      <c r="BY262" s="234"/>
      <c r="BZ262" s="234"/>
      <c r="CA262" s="234"/>
      <c r="CB262" s="234"/>
      <c r="CC262" s="234"/>
      <c r="CD262" s="234"/>
      <c r="CE262" s="234"/>
      <c r="CF262" s="234"/>
      <c r="CG262" s="234"/>
      <c r="CH262" s="234"/>
      <c r="CI262" s="234"/>
      <c r="CJ262" s="234"/>
      <c r="CK262" s="234"/>
      <c r="CL262" s="234"/>
      <c r="CM262" s="234"/>
      <c r="CN262" s="234"/>
      <c r="CO262" s="234"/>
      <c r="CP262" s="234"/>
      <c r="CQ262" s="234"/>
      <c r="CR262" s="234"/>
      <c r="CS262" s="234"/>
      <c r="CT262" s="234"/>
      <c r="CU262" s="234"/>
      <c r="CV262" s="234"/>
      <c r="CW262" s="234"/>
      <c r="CX262" s="234"/>
      <c r="CY262" s="234"/>
      <c r="CZ262" s="234"/>
      <c r="DA262" s="234"/>
      <c r="DB262" s="234"/>
      <c r="DC262" s="234"/>
      <c r="DD262" s="234"/>
      <c r="DE262" s="234"/>
      <c r="DF262" s="234"/>
      <c r="DG262" s="234"/>
      <c r="DH262" s="234"/>
      <c r="DI262" s="234"/>
      <c r="DJ262" s="234"/>
      <c r="DK262" s="234"/>
      <c r="DL262" s="234"/>
      <c r="DM262" s="234"/>
      <c r="DN262" s="234"/>
      <c r="DO262" s="234"/>
      <c r="DP262" s="234"/>
      <c r="DQ262" s="234"/>
      <c r="DR262" s="234"/>
      <c r="DS262" s="234"/>
      <c r="DT262" s="234"/>
    </row>
    <row r="263" spans="8:124" s="231" customFormat="1" x14ac:dyDescent="0.25">
      <c r="H263" s="232"/>
      <c r="K263" s="232"/>
      <c r="N263" s="232"/>
      <c r="W263" s="232"/>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4"/>
      <c r="AZ263" s="234"/>
      <c r="BA263" s="234"/>
      <c r="BB263" s="234"/>
      <c r="BC263" s="234"/>
      <c r="BD263" s="234"/>
      <c r="BE263" s="234"/>
      <c r="BF263" s="234"/>
      <c r="BG263" s="234"/>
      <c r="BH263" s="234"/>
      <c r="BI263" s="234"/>
      <c r="BJ263" s="234"/>
      <c r="BK263" s="234"/>
      <c r="BL263" s="234"/>
      <c r="BM263" s="234"/>
      <c r="BN263" s="234"/>
      <c r="BO263" s="234"/>
      <c r="BP263" s="234"/>
      <c r="BQ263" s="234"/>
      <c r="BR263" s="234"/>
      <c r="BS263" s="234"/>
      <c r="BT263" s="234"/>
      <c r="BU263" s="234"/>
      <c r="BV263" s="234"/>
      <c r="BW263" s="234"/>
      <c r="BX263" s="234"/>
      <c r="BY263" s="234"/>
      <c r="BZ263" s="234"/>
      <c r="CA263" s="234"/>
      <c r="CB263" s="234"/>
      <c r="CC263" s="234"/>
      <c r="CD263" s="234"/>
      <c r="CE263" s="234"/>
      <c r="CF263" s="234"/>
      <c r="CG263" s="234"/>
      <c r="CH263" s="234"/>
      <c r="CI263" s="234"/>
      <c r="CJ263" s="234"/>
      <c r="CK263" s="234"/>
      <c r="CL263" s="234"/>
      <c r="CM263" s="234"/>
      <c r="CN263" s="234"/>
      <c r="CO263" s="234"/>
      <c r="CP263" s="234"/>
      <c r="CQ263" s="234"/>
      <c r="CR263" s="234"/>
      <c r="CS263" s="234"/>
      <c r="CT263" s="234"/>
      <c r="CU263" s="234"/>
      <c r="CV263" s="234"/>
      <c r="CW263" s="234"/>
      <c r="CX263" s="234"/>
      <c r="CY263" s="234"/>
      <c r="CZ263" s="234"/>
      <c r="DA263" s="234"/>
      <c r="DB263" s="234"/>
      <c r="DC263" s="234"/>
      <c r="DD263" s="234"/>
      <c r="DE263" s="234"/>
      <c r="DF263" s="234"/>
      <c r="DG263" s="234"/>
      <c r="DH263" s="234"/>
      <c r="DI263" s="234"/>
      <c r="DJ263" s="234"/>
      <c r="DK263" s="234"/>
      <c r="DL263" s="234"/>
      <c r="DM263" s="234"/>
      <c r="DN263" s="234"/>
      <c r="DO263" s="234"/>
      <c r="DP263" s="234"/>
      <c r="DQ263" s="234"/>
      <c r="DR263" s="234"/>
      <c r="DS263" s="234"/>
      <c r="DT263" s="234"/>
    </row>
    <row r="264" spans="8:124" s="231" customFormat="1" x14ac:dyDescent="0.25">
      <c r="H264" s="232"/>
      <c r="K264" s="232"/>
      <c r="N264" s="232"/>
      <c r="W264" s="232"/>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4"/>
      <c r="AZ264" s="234"/>
      <c r="BA264" s="234"/>
      <c r="BB264" s="234"/>
      <c r="BC264" s="234"/>
      <c r="BD264" s="234"/>
      <c r="BE264" s="234"/>
      <c r="BF264" s="234"/>
      <c r="BG264" s="234"/>
      <c r="BH264" s="234"/>
      <c r="BI264" s="234"/>
      <c r="BJ264" s="234"/>
      <c r="BK264" s="234"/>
      <c r="BL264" s="234"/>
      <c r="BM264" s="234"/>
      <c r="BN264" s="234"/>
      <c r="BO264" s="234"/>
      <c r="BP264" s="234"/>
      <c r="BQ264" s="234"/>
      <c r="BR264" s="234"/>
      <c r="BS264" s="234"/>
      <c r="BT264" s="234"/>
      <c r="BU264" s="234"/>
      <c r="BV264" s="234"/>
      <c r="BW264" s="234"/>
      <c r="BX264" s="234"/>
      <c r="BY264" s="234"/>
      <c r="BZ264" s="234"/>
      <c r="CA264" s="234"/>
      <c r="CB264" s="234"/>
      <c r="CC264" s="234"/>
      <c r="CD264" s="234"/>
      <c r="CE264" s="234"/>
      <c r="CF264" s="234"/>
      <c r="CG264" s="234"/>
      <c r="CH264" s="234"/>
      <c r="CI264" s="234"/>
      <c r="CJ264" s="234"/>
      <c r="CK264" s="234"/>
      <c r="CL264" s="234"/>
      <c r="CM264" s="234"/>
      <c r="CN264" s="234"/>
      <c r="CO264" s="234"/>
      <c r="CP264" s="234"/>
      <c r="CQ264" s="234"/>
      <c r="CR264" s="234"/>
      <c r="CS264" s="234"/>
      <c r="CT264" s="234"/>
      <c r="CU264" s="234"/>
      <c r="CV264" s="234"/>
      <c r="CW264" s="234"/>
      <c r="CX264" s="234"/>
      <c r="CY264" s="234"/>
      <c r="CZ264" s="234"/>
      <c r="DA264" s="234"/>
      <c r="DB264" s="234"/>
      <c r="DC264" s="234"/>
      <c r="DD264" s="234"/>
      <c r="DE264" s="234"/>
      <c r="DF264" s="234"/>
      <c r="DG264" s="234"/>
      <c r="DH264" s="234"/>
      <c r="DI264" s="234"/>
      <c r="DJ264" s="234"/>
      <c r="DK264" s="234"/>
      <c r="DL264" s="234"/>
      <c r="DM264" s="234"/>
      <c r="DN264" s="234"/>
      <c r="DO264" s="234"/>
      <c r="DP264" s="234"/>
      <c r="DQ264" s="234"/>
      <c r="DR264" s="234"/>
      <c r="DS264" s="234"/>
      <c r="DT264" s="234"/>
    </row>
    <row r="265" spans="8:124" s="231" customFormat="1" x14ac:dyDescent="0.25">
      <c r="H265" s="232"/>
      <c r="K265" s="232"/>
      <c r="N265" s="232"/>
      <c r="W265" s="232"/>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4"/>
      <c r="AZ265" s="234"/>
      <c r="BA265" s="234"/>
      <c r="BB265" s="234"/>
      <c r="BC265" s="234"/>
      <c r="BD265" s="234"/>
      <c r="BE265" s="234"/>
      <c r="BF265" s="234"/>
      <c r="BG265" s="234"/>
      <c r="BH265" s="234"/>
      <c r="BI265" s="234"/>
      <c r="BJ265" s="234"/>
      <c r="BK265" s="234"/>
      <c r="BL265" s="234"/>
      <c r="BM265" s="234"/>
      <c r="BN265" s="234"/>
      <c r="BO265" s="234"/>
      <c r="BP265" s="234"/>
      <c r="BQ265" s="234"/>
      <c r="BR265" s="234"/>
      <c r="BS265" s="234"/>
      <c r="BT265" s="234"/>
      <c r="BU265" s="234"/>
      <c r="BV265" s="234"/>
      <c r="BW265" s="234"/>
      <c r="BX265" s="234"/>
      <c r="BY265" s="234"/>
      <c r="BZ265" s="234"/>
      <c r="CA265" s="234"/>
      <c r="CB265" s="234"/>
      <c r="CC265" s="234"/>
      <c r="CD265" s="234"/>
      <c r="CE265" s="234"/>
      <c r="CF265" s="234"/>
      <c r="CG265" s="234"/>
      <c r="CH265" s="234"/>
      <c r="CI265" s="234"/>
      <c r="CJ265" s="234"/>
      <c r="CK265" s="234"/>
      <c r="CL265" s="234"/>
      <c r="CM265" s="234"/>
      <c r="CN265" s="234"/>
      <c r="CO265" s="234"/>
      <c r="CP265" s="234"/>
      <c r="CQ265" s="234"/>
      <c r="CR265" s="234"/>
      <c r="CS265" s="234"/>
      <c r="CT265" s="234"/>
      <c r="CU265" s="234"/>
      <c r="CV265" s="234"/>
      <c r="CW265" s="234"/>
      <c r="CX265" s="234"/>
      <c r="CY265" s="234"/>
      <c r="CZ265" s="234"/>
      <c r="DA265" s="234"/>
      <c r="DB265" s="234"/>
      <c r="DC265" s="234"/>
      <c r="DD265" s="234"/>
      <c r="DE265" s="234"/>
      <c r="DF265" s="234"/>
      <c r="DG265" s="234"/>
      <c r="DH265" s="234"/>
      <c r="DI265" s="234"/>
      <c r="DJ265" s="234"/>
      <c r="DK265" s="234"/>
      <c r="DL265" s="234"/>
      <c r="DM265" s="234"/>
      <c r="DN265" s="234"/>
      <c r="DO265" s="234"/>
      <c r="DP265" s="234"/>
      <c r="DQ265" s="234"/>
      <c r="DR265" s="234"/>
      <c r="DS265" s="234"/>
      <c r="DT265" s="234"/>
    </row>
    <row r="266" spans="8:124" s="231" customFormat="1" x14ac:dyDescent="0.25">
      <c r="H266" s="232"/>
      <c r="K266" s="232"/>
      <c r="N266" s="232"/>
      <c r="W266" s="232"/>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4"/>
      <c r="AZ266" s="234"/>
      <c r="BA266" s="234"/>
      <c r="BB266" s="234"/>
      <c r="BC266" s="234"/>
      <c r="BD266" s="234"/>
      <c r="BE266" s="234"/>
      <c r="BF266" s="234"/>
      <c r="BG266" s="234"/>
      <c r="BH266" s="234"/>
      <c r="BI266" s="234"/>
      <c r="BJ266" s="234"/>
      <c r="BK266" s="234"/>
      <c r="BL266" s="234"/>
      <c r="BM266" s="234"/>
      <c r="BN266" s="234"/>
      <c r="BO266" s="234"/>
      <c r="BP266" s="234"/>
      <c r="BQ266" s="234"/>
      <c r="BR266" s="234"/>
      <c r="BS266" s="234"/>
      <c r="BT266" s="234"/>
      <c r="BU266" s="234"/>
      <c r="BV266" s="234"/>
      <c r="BW266" s="234"/>
      <c r="BX266" s="234"/>
      <c r="BY266" s="234"/>
      <c r="BZ266" s="234"/>
      <c r="CA266" s="234"/>
      <c r="CB266" s="234"/>
      <c r="CC266" s="234"/>
      <c r="CD266" s="234"/>
      <c r="CE266" s="234"/>
      <c r="CF266" s="234"/>
      <c r="CG266" s="234"/>
      <c r="CH266" s="234"/>
      <c r="CI266" s="234"/>
      <c r="CJ266" s="234"/>
      <c r="CK266" s="234"/>
      <c r="CL266" s="234"/>
      <c r="CM266" s="234"/>
      <c r="CN266" s="234"/>
      <c r="CO266" s="234"/>
      <c r="CP266" s="234"/>
      <c r="CQ266" s="234"/>
      <c r="CR266" s="234"/>
      <c r="CS266" s="234"/>
      <c r="CT266" s="234"/>
      <c r="CU266" s="234"/>
      <c r="CV266" s="234"/>
      <c r="CW266" s="234"/>
      <c r="CX266" s="234"/>
      <c r="CY266" s="234"/>
      <c r="CZ266" s="234"/>
      <c r="DA266" s="234"/>
      <c r="DB266" s="234"/>
      <c r="DC266" s="234"/>
      <c r="DD266" s="234"/>
      <c r="DE266" s="234"/>
      <c r="DF266" s="234"/>
      <c r="DG266" s="234"/>
      <c r="DH266" s="234"/>
      <c r="DI266" s="234"/>
      <c r="DJ266" s="234"/>
      <c r="DK266" s="234"/>
      <c r="DL266" s="234"/>
      <c r="DM266" s="234"/>
      <c r="DN266" s="234"/>
      <c r="DO266" s="234"/>
      <c r="DP266" s="234"/>
      <c r="DQ266" s="234"/>
      <c r="DR266" s="234"/>
      <c r="DS266" s="234"/>
      <c r="DT266" s="234"/>
    </row>
    <row r="267" spans="8:124" s="231" customFormat="1" x14ac:dyDescent="0.25">
      <c r="H267" s="232"/>
      <c r="K267" s="232"/>
      <c r="N267" s="232"/>
      <c r="W267" s="232"/>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4"/>
      <c r="AZ267" s="234"/>
      <c r="BA267" s="234"/>
      <c r="BB267" s="234"/>
      <c r="BC267" s="234"/>
      <c r="BD267" s="234"/>
      <c r="BE267" s="234"/>
      <c r="BF267" s="234"/>
      <c r="BG267" s="234"/>
      <c r="BH267" s="234"/>
      <c r="BI267" s="234"/>
      <c r="BJ267" s="234"/>
      <c r="BK267" s="234"/>
      <c r="BL267" s="234"/>
      <c r="BM267" s="234"/>
      <c r="BN267" s="234"/>
      <c r="BO267" s="234"/>
      <c r="BP267" s="234"/>
      <c r="BQ267" s="234"/>
      <c r="BR267" s="234"/>
      <c r="BS267" s="234"/>
      <c r="BT267" s="234"/>
      <c r="BU267" s="234"/>
      <c r="BV267" s="234"/>
      <c r="BW267" s="234"/>
      <c r="BX267" s="234"/>
      <c r="BY267" s="234"/>
      <c r="BZ267" s="234"/>
      <c r="CA267" s="234"/>
      <c r="CB267" s="234"/>
      <c r="CC267" s="234"/>
      <c r="CD267" s="234"/>
      <c r="CE267" s="234"/>
      <c r="CF267" s="234"/>
      <c r="CG267" s="234"/>
      <c r="CH267" s="234"/>
      <c r="CI267" s="234"/>
      <c r="CJ267" s="234"/>
      <c r="CK267" s="234"/>
      <c r="CL267" s="234"/>
      <c r="CM267" s="234"/>
      <c r="CN267" s="234"/>
      <c r="CO267" s="234"/>
      <c r="CP267" s="234"/>
      <c r="CQ267" s="234"/>
      <c r="CR267" s="234"/>
      <c r="CS267" s="234"/>
      <c r="CT267" s="234"/>
      <c r="CU267" s="234"/>
      <c r="CV267" s="234"/>
      <c r="CW267" s="234"/>
      <c r="CX267" s="234"/>
      <c r="CY267" s="234"/>
      <c r="CZ267" s="234"/>
      <c r="DA267" s="234"/>
      <c r="DB267" s="234"/>
      <c r="DC267" s="234"/>
      <c r="DD267" s="234"/>
      <c r="DE267" s="234"/>
      <c r="DF267" s="234"/>
      <c r="DG267" s="234"/>
      <c r="DH267" s="234"/>
      <c r="DI267" s="234"/>
      <c r="DJ267" s="234"/>
      <c r="DK267" s="234"/>
      <c r="DL267" s="234"/>
      <c r="DM267" s="234"/>
      <c r="DN267" s="234"/>
      <c r="DO267" s="234"/>
      <c r="DP267" s="234"/>
      <c r="DQ267" s="234"/>
      <c r="DR267" s="234"/>
      <c r="DS267" s="234"/>
      <c r="DT267" s="234"/>
    </row>
    <row r="268" spans="8:124" s="231" customFormat="1" x14ac:dyDescent="0.25">
      <c r="H268" s="232"/>
      <c r="K268" s="232"/>
      <c r="N268" s="232"/>
      <c r="W268" s="232"/>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4"/>
      <c r="AZ268" s="234"/>
      <c r="BA268" s="234"/>
      <c r="BB268" s="234"/>
      <c r="BC268" s="234"/>
      <c r="BD268" s="234"/>
      <c r="BE268" s="234"/>
      <c r="BF268" s="234"/>
      <c r="BG268" s="234"/>
      <c r="BH268" s="234"/>
      <c r="BI268" s="234"/>
      <c r="BJ268" s="234"/>
      <c r="BK268" s="234"/>
      <c r="BL268" s="234"/>
      <c r="BM268" s="234"/>
      <c r="BN268" s="234"/>
      <c r="BO268" s="234"/>
      <c r="BP268" s="234"/>
      <c r="BQ268" s="234"/>
      <c r="BR268" s="234"/>
      <c r="BS268" s="234"/>
      <c r="BT268" s="234"/>
      <c r="BU268" s="234"/>
      <c r="BV268" s="234"/>
      <c r="BW268" s="234"/>
      <c r="BX268" s="234"/>
      <c r="BY268" s="234"/>
      <c r="BZ268" s="234"/>
      <c r="CA268" s="234"/>
      <c r="CB268" s="234"/>
      <c r="CC268" s="234"/>
      <c r="CD268" s="234"/>
      <c r="CE268" s="234"/>
      <c r="CF268" s="234"/>
      <c r="CG268" s="234"/>
      <c r="CH268" s="234"/>
      <c r="CI268" s="234"/>
      <c r="CJ268" s="234"/>
      <c r="CK268" s="234"/>
      <c r="CL268" s="234"/>
      <c r="CM268" s="234"/>
      <c r="CN268" s="234"/>
      <c r="CO268" s="234"/>
      <c r="CP268" s="234"/>
      <c r="CQ268" s="234"/>
      <c r="CR268" s="234"/>
      <c r="CS268" s="234"/>
      <c r="CT268" s="234"/>
      <c r="CU268" s="234"/>
      <c r="CV268" s="234"/>
      <c r="CW268" s="234"/>
      <c r="CX268" s="234"/>
      <c r="CY268" s="234"/>
      <c r="CZ268" s="234"/>
      <c r="DA268" s="234"/>
      <c r="DB268" s="234"/>
      <c r="DC268" s="234"/>
      <c r="DD268" s="234"/>
      <c r="DE268" s="234"/>
      <c r="DF268" s="234"/>
      <c r="DG268" s="234"/>
      <c r="DH268" s="234"/>
      <c r="DI268" s="234"/>
      <c r="DJ268" s="234"/>
      <c r="DK268" s="234"/>
      <c r="DL268" s="234"/>
      <c r="DM268" s="234"/>
      <c r="DN268" s="234"/>
      <c r="DO268" s="234"/>
      <c r="DP268" s="234"/>
      <c r="DQ268" s="234"/>
      <c r="DR268" s="234"/>
      <c r="DS268" s="234"/>
      <c r="DT268" s="234"/>
    </row>
    <row r="269" spans="8:124" s="231" customFormat="1" x14ac:dyDescent="0.25">
      <c r="H269" s="232"/>
      <c r="K269" s="232"/>
      <c r="N269" s="232"/>
      <c r="W269" s="232"/>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4"/>
      <c r="AZ269" s="234"/>
      <c r="BA269" s="234"/>
      <c r="BB269" s="234"/>
      <c r="BC269" s="234"/>
      <c r="BD269" s="234"/>
      <c r="BE269" s="234"/>
      <c r="BF269" s="234"/>
      <c r="BG269" s="234"/>
      <c r="BH269" s="234"/>
      <c r="BI269" s="234"/>
      <c r="BJ269" s="234"/>
      <c r="BK269" s="234"/>
      <c r="BL269" s="234"/>
      <c r="BM269" s="234"/>
      <c r="BN269" s="234"/>
      <c r="BO269" s="234"/>
      <c r="BP269" s="234"/>
      <c r="BQ269" s="234"/>
      <c r="BR269" s="234"/>
      <c r="BS269" s="234"/>
      <c r="BT269" s="234"/>
      <c r="BU269" s="234"/>
      <c r="BV269" s="234"/>
      <c r="BW269" s="234"/>
      <c r="BX269" s="234"/>
      <c r="BY269" s="234"/>
      <c r="BZ269" s="234"/>
      <c r="CA269" s="234"/>
      <c r="CB269" s="234"/>
      <c r="CC269" s="234"/>
      <c r="CD269" s="234"/>
      <c r="CE269" s="234"/>
      <c r="CF269" s="234"/>
      <c r="CG269" s="234"/>
      <c r="CH269" s="234"/>
      <c r="CI269" s="234"/>
      <c r="CJ269" s="234"/>
      <c r="CK269" s="234"/>
      <c r="CL269" s="234"/>
      <c r="CM269" s="234"/>
      <c r="CN269" s="234"/>
      <c r="CO269" s="234"/>
      <c r="CP269" s="234"/>
      <c r="CQ269" s="234"/>
      <c r="CR269" s="234"/>
      <c r="CS269" s="234"/>
      <c r="CT269" s="234"/>
      <c r="CU269" s="234"/>
      <c r="CV269" s="234"/>
      <c r="CW269" s="234"/>
      <c r="CX269" s="234"/>
      <c r="CY269" s="234"/>
      <c r="CZ269" s="234"/>
      <c r="DA269" s="234"/>
      <c r="DB269" s="234"/>
      <c r="DC269" s="234"/>
      <c r="DD269" s="234"/>
      <c r="DE269" s="234"/>
      <c r="DF269" s="234"/>
      <c r="DG269" s="234"/>
      <c r="DH269" s="234"/>
      <c r="DI269" s="234"/>
      <c r="DJ269" s="234"/>
      <c r="DK269" s="234"/>
      <c r="DL269" s="234"/>
      <c r="DM269" s="234"/>
      <c r="DN269" s="234"/>
      <c r="DO269" s="234"/>
      <c r="DP269" s="234"/>
      <c r="DQ269" s="234"/>
      <c r="DR269" s="234"/>
      <c r="DS269" s="234"/>
      <c r="DT269" s="234"/>
    </row>
    <row r="270" spans="8:124" s="231" customFormat="1" x14ac:dyDescent="0.25">
      <c r="H270" s="232"/>
      <c r="K270" s="232"/>
      <c r="N270" s="232"/>
      <c r="W270" s="232"/>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4"/>
      <c r="AZ270" s="234"/>
      <c r="BA270" s="234"/>
      <c r="BB270" s="234"/>
      <c r="BC270" s="234"/>
      <c r="BD270" s="234"/>
      <c r="BE270" s="234"/>
      <c r="BF270" s="234"/>
      <c r="BG270" s="234"/>
      <c r="BH270" s="234"/>
      <c r="BI270" s="234"/>
      <c r="BJ270" s="234"/>
      <c r="BK270" s="234"/>
      <c r="BL270" s="234"/>
      <c r="BM270" s="234"/>
      <c r="BN270" s="234"/>
      <c r="BO270" s="234"/>
      <c r="BP270" s="234"/>
      <c r="BQ270" s="234"/>
      <c r="BR270" s="234"/>
      <c r="BS270" s="234"/>
      <c r="BT270" s="234"/>
      <c r="BU270" s="234"/>
      <c r="BV270" s="234"/>
      <c r="BW270" s="234"/>
      <c r="BX270" s="234"/>
      <c r="BY270" s="234"/>
      <c r="BZ270" s="234"/>
      <c r="CA270" s="234"/>
      <c r="CB270" s="234"/>
      <c r="CC270" s="234"/>
      <c r="CD270" s="234"/>
      <c r="CE270" s="234"/>
      <c r="CF270" s="234"/>
      <c r="CG270" s="234"/>
      <c r="CH270" s="234"/>
      <c r="CI270" s="234"/>
      <c r="CJ270" s="234"/>
      <c r="CK270" s="234"/>
      <c r="CL270" s="234"/>
      <c r="CM270" s="234"/>
      <c r="CN270" s="234"/>
      <c r="CO270" s="234"/>
      <c r="CP270" s="234"/>
      <c r="CQ270" s="234"/>
      <c r="CR270" s="234"/>
      <c r="CS270" s="234"/>
      <c r="CT270" s="234"/>
      <c r="CU270" s="234"/>
      <c r="CV270" s="234"/>
      <c r="CW270" s="234"/>
      <c r="CX270" s="234"/>
      <c r="CY270" s="234"/>
      <c r="CZ270" s="234"/>
      <c r="DA270" s="234"/>
      <c r="DB270" s="234"/>
      <c r="DC270" s="234"/>
      <c r="DD270" s="234"/>
      <c r="DE270" s="234"/>
      <c r="DF270" s="234"/>
      <c r="DG270" s="234"/>
      <c r="DH270" s="234"/>
      <c r="DI270" s="234"/>
      <c r="DJ270" s="234"/>
      <c r="DK270" s="234"/>
      <c r="DL270" s="234"/>
      <c r="DM270" s="234"/>
      <c r="DN270" s="234"/>
      <c r="DO270" s="234"/>
      <c r="DP270" s="234"/>
      <c r="DQ270" s="234"/>
      <c r="DR270" s="234"/>
      <c r="DS270" s="234"/>
      <c r="DT270" s="234"/>
    </row>
    <row r="271" spans="8:124" s="231" customFormat="1" x14ac:dyDescent="0.25">
      <c r="H271" s="232"/>
      <c r="K271" s="232"/>
      <c r="N271" s="232"/>
      <c r="W271" s="232"/>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4"/>
      <c r="AZ271" s="234"/>
      <c r="BA271" s="234"/>
      <c r="BB271" s="234"/>
      <c r="BC271" s="234"/>
      <c r="BD271" s="234"/>
      <c r="BE271" s="234"/>
      <c r="BF271" s="234"/>
      <c r="BG271" s="234"/>
      <c r="BH271" s="234"/>
      <c r="BI271" s="234"/>
      <c r="BJ271" s="234"/>
      <c r="BK271" s="234"/>
      <c r="BL271" s="234"/>
      <c r="BM271" s="234"/>
      <c r="BN271" s="234"/>
      <c r="BO271" s="234"/>
      <c r="BP271" s="234"/>
      <c r="BQ271" s="234"/>
      <c r="BR271" s="234"/>
      <c r="BS271" s="234"/>
      <c r="BT271" s="234"/>
      <c r="BU271" s="234"/>
      <c r="BV271" s="234"/>
      <c r="BW271" s="234"/>
      <c r="BX271" s="234"/>
      <c r="BY271" s="234"/>
      <c r="BZ271" s="234"/>
      <c r="CA271" s="234"/>
      <c r="CB271" s="234"/>
      <c r="CC271" s="234"/>
      <c r="CD271" s="234"/>
      <c r="CE271" s="234"/>
      <c r="CF271" s="234"/>
      <c r="CG271" s="234"/>
      <c r="CH271" s="234"/>
      <c r="CI271" s="234"/>
      <c r="CJ271" s="234"/>
      <c r="CK271" s="234"/>
      <c r="CL271" s="234"/>
      <c r="CM271" s="234"/>
      <c r="CN271" s="234"/>
      <c r="CO271" s="234"/>
      <c r="CP271" s="234"/>
      <c r="CQ271" s="234"/>
      <c r="CR271" s="234"/>
      <c r="CS271" s="234"/>
      <c r="CT271" s="234"/>
      <c r="CU271" s="234"/>
      <c r="CV271" s="234"/>
      <c r="CW271" s="234"/>
      <c r="CX271" s="234"/>
      <c r="CY271" s="234"/>
      <c r="CZ271" s="234"/>
      <c r="DA271" s="234"/>
      <c r="DB271" s="234"/>
      <c r="DC271" s="234"/>
      <c r="DD271" s="234"/>
      <c r="DE271" s="234"/>
      <c r="DF271" s="234"/>
      <c r="DG271" s="234"/>
      <c r="DH271" s="234"/>
      <c r="DI271" s="234"/>
      <c r="DJ271" s="234"/>
      <c r="DK271" s="234"/>
      <c r="DL271" s="234"/>
      <c r="DM271" s="234"/>
      <c r="DN271" s="234"/>
      <c r="DO271" s="234"/>
      <c r="DP271" s="234"/>
      <c r="DQ271" s="234"/>
      <c r="DR271" s="234"/>
      <c r="DS271" s="234"/>
      <c r="DT271" s="234"/>
    </row>
    <row r="272" spans="8:124" s="231" customFormat="1" x14ac:dyDescent="0.25">
      <c r="H272" s="232"/>
      <c r="K272" s="232"/>
      <c r="N272" s="232"/>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4"/>
      <c r="AZ272" s="234"/>
      <c r="BA272" s="234"/>
      <c r="BB272" s="234"/>
      <c r="BC272" s="234"/>
      <c r="BD272" s="234"/>
      <c r="BE272" s="234"/>
      <c r="BF272" s="234"/>
      <c r="BG272" s="234"/>
      <c r="BH272" s="234"/>
      <c r="BI272" s="234"/>
      <c r="BJ272" s="234"/>
      <c r="BK272" s="234"/>
      <c r="BL272" s="234"/>
      <c r="BM272" s="234"/>
      <c r="BN272" s="234"/>
      <c r="BO272" s="234"/>
      <c r="BP272" s="234"/>
      <c r="BQ272" s="234"/>
      <c r="BR272" s="234"/>
      <c r="BS272" s="234"/>
      <c r="BT272" s="234"/>
      <c r="BU272" s="234"/>
      <c r="BV272" s="234"/>
      <c r="BW272" s="234"/>
      <c r="BX272" s="234"/>
      <c r="BY272" s="234"/>
      <c r="BZ272" s="234"/>
      <c r="CA272" s="234"/>
      <c r="CB272" s="234"/>
      <c r="CC272" s="234"/>
      <c r="CD272" s="234"/>
      <c r="CE272" s="234"/>
      <c r="CF272" s="234"/>
      <c r="CG272" s="234"/>
      <c r="CH272" s="234"/>
      <c r="CI272" s="234"/>
      <c r="CJ272" s="234"/>
      <c r="CK272" s="234"/>
      <c r="CL272" s="234"/>
      <c r="CM272" s="234"/>
      <c r="CN272" s="234"/>
      <c r="CO272" s="234"/>
      <c r="CP272" s="234"/>
      <c r="CQ272" s="234"/>
      <c r="CR272" s="234"/>
      <c r="CS272" s="234"/>
      <c r="CT272" s="234"/>
      <c r="CU272" s="234"/>
      <c r="CV272" s="234"/>
      <c r="CW272" s="234"/>
      <c r="CX272" s="234"/>
      <c r="CY272" s="234"/>
      <c r="CZ272" s="234"/>
      <c r="DA272" s="234"/>
      <c r="DB272" s="234"/>
      <c r="DC272" s="234"/>
      <c r="DD272" s="234"/>
      <c r="DE272" s="234"/>
      <c r="DF272" s="234"/>
      <c r="DG272" s="234"/>
      <c r="DH272" s="234"/>
      <c r="DI272" s="234"/>
      <c r="DJ272" s="234"/>
      <c r="DK272" s="234"/>
      <c r="DL272" s="234"/>
      <c r="DM272" s="234"/>
      <c r="DN272" s="234"/>
      <c r="DO272" s="234"/>
      <c r="DP272" s="234"/>
      <c r="DQ272" s="234"/>
      <c r="DR272" s="234"/>
      <c r="DS272" s="234"/>
      <c r="DT272" s="234"/>
    </row>
    <row r="273" spans="1:156" s="231" customFormat="1" x14ac:dyDescent="0.25">
      <c r="H273" s="232"/>
      <c r="K273" s="232"/>
      <c r="N273" s="232"/>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4"/>
      <c r="AZ273" s="234"/>
      <c r="BA273" s="234"/>
      <c r="BB273" s="234"/>
      <c r="BC273" s="234"/>
      <c r="BD273" s="234"/>
      <c r="BE273" s="234"/>
      <c r="BF273" s="234"/>
      <c r="BG273" s="234"/>
      <c r="BH273" s="234"/>
      <c r="BI273" s="234"/>
      <c r="BJ273" s="234"/>
      <c r="BK273" s="234"/>
      <c r="BL273" s="234"/>
      <c r="BM273" s="234"/>
      <c r="BN273" s="234"/>
      <c r="BO273" s="234"/>
      <c r="BP273" s="234"/>
      <c r="BQ273" s="234"/>
      <c r="BR273" s="234"/>
      <c r="BS273" s="234"/>
      <c r="BT273" s="234"/>
      <c r="BU273" s="234"/>
      <c r="BV273" s="234"/>
      <c r="BW273" s="234"/>
      <c r="BX273" s="234"/>
      <c r="BY273" s="234"/>
      <c r="BZ273" s="234"/>
      <c r="CA273" s="234"/>
      <c r="CB273" s="234"/>
      <c r="CC273" s="234"/>
      <c r="CD273" s="234"/>
      <c r="CE273" s="234"/>
      <c r="CF273" s="234"/>
      <c r="CG273" s="234"/>
      <c r="CH273" s="234"/>
      <c r="CI273" s="234"/>
      <c r="CJ273" s="234"/>
      <c r="CK273" s="234"/>
      <c r="CL273" s="234"/>
      <c r="CM273" s="234"/>
      <c r="CN273" s="234"/>
      <c r="CO273" s="234"/>
      <c r="CP273" s="234"/>
      <c r="CQ273" s="234"/>
      <c r="CR273" s="234"/>
      <c r="CS273" s="234"/>
      <c r="CT273" s="234"/>
      <c r="CU273" s="234"/>
      <c r="CV273" s="234"/>
      <c r="CW273" s="234"/>
      <c r="CX273" s="234"/>
      <c r="CY273" s="234"/>
      <c r="CZ273" s="234"/>
      <c r="DA273" s="234"/>
      <c r="DB273" s="234"/>
      <c r="DC273" s="234"/>
      <c r="DD273" s="234"/>
      <c r="DE273" s="234"/>
      <c r="DF273" s="234"/>
      <c r="DG273" s="234"/>
      <c r="DH273" s="234"/>
      <c r="DI273" s="234"/>
      <c r="DJ273" s="234"/>
      <c r="DK273" s="234"/>
      <c r="DL273" s="234"/>
      <c r="DM273" s="234"/>
      <c r="DN273" s="234"/>
      <c r="DO273" s="234"/>
      <c r="DP273" s="234"/>
      <c r="DQ273" s="234"/>
      <c r="DR273" s="234"/>
      <c r="DS273" s="234"/>
      <c r="DT273" s="234"/>
    </row>
    <row r="274" spans="1:156" s="231" customFormat="1" x14ac:dyDescent="0.25">
      <c r="H274" s="232"/>
      <c r="K274" s="232"/>
      <c r="N274" s="232"/>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4"/>
      <c r="AZ274" s="234"/>
      <c r="BA274" s="234"/>
      <c r="BB274" s="234"/>
      <c r="BC274" s="234"/>
      <c r="BD274" s="234"/>
      <c r="BE274" s="234"/>
      <c r="BF274" s="234"/>
      <c r="BG274" s="234"/>
      <c r="BH274" s="234"/>
      <c r="BI274" s="234"/>
      <c r="BJ274" s="234"/>
      <c r="BK274" s="234"/>
      <c r="BL274" s="234"/>
      <c r="BM274" s="234"/>
      <c r="BN274" s="234"/>
      <c r="BO274" s="234"/>
      <c r="BP274" s="234"/>
      <c r="BQ274" s="234"/>
      <c r="BR274" s="234"/>
      <c r="BS274" s="234"/>
      <c r="BT274" s="234"/>
      <c r="BU274" s="234"/>
      <c r="BV274" s="234"/>
      <c r="BW274" s="234"/>
      <c r="BX274" s="234"/>
      <c r="BY274" s="234"/>
      <c r="BZ274" s="234"/>
      <c r="CA274" s="234"/>
      <c r="CB274" s="234"/>
      <c r="CC274" s="234"/>
      <c r="CD274" s="234"/>
      <c r="CE274" s="234"/>
      <c r="CF274" s="234"/>
      <c r="CG274" s="234"/>
      <c r="CH274" s="234"/>
      <c r="CI274" s="234"/>
      <c r="CJ274" s="234"/>
      <c r="CK274" s="234"/>
      <c r="CL274" s="234"/>
      <c r="CM274" s="234"/>
      <c r="CN274" s="234"/>
      <c r="CO274" s="234"/>
      <c r="CP274" s="234"/>
      <c r="CQ274" s="234"/>
      <c r="CR274" s="234"/>
      <c r="CS274" s="234"/>
      <c r="CT274" s="234"/>
      <c r="CU274" s="234"/>
      <c r="CV274" s="234"/>
      <c r="CW274" s="234"/>
      <c r="CX274" s="234"/>
      <c r="CY274" s="234"/>
      <c r="CZ274" s="234"/>
      <c r="DA274" s="234"/>
      <c r="DB274" s="234"/>
      <c r="DC274" s="234"/>
      <c r="DD274" s="234"/>
      <c r="DE274" s="234"/>
      <c r="DF274" s="234"/>
      <c r="DG274" s="234"/>
      <c r="DH274" s="234"/>
      <c r="DI274" s="234"/>
      <c r="DJ274" s="234"/>
      <c r="DK274" s="234"/>
      <c r="DL274" s="234"/>
      <c r="DM274" s="234"/>
      <c r="DN274" s="234"/>
      <c r="DO274" s="234"/>
      <c r="DP274" s="234"/>
      <c r="DQ274" s="234"/>
      <c r="DR274" s="234"/>
      <c r="DS274" s="234"/>
      <c r="DT274" s="234"/>
    </row>
    <row r="275" spans="1:156" s="231" customFormat="1" x14ac:dyDescent="0.25">
      <c r="H275" s="232"/>
      <c r="K275" s="232"/>
      <c r="N275" s="232"/>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4"/>
      <c r="AZ275" s="234"/>
      <c r="BA275" s="234"/>
      <c r="BB275" s="234"/>
      <c r="BC275" s="234"/>
      <c r="BD275" s="234"/>
      <c r="BE275" s="234"/>
      <c r="BF275" s="234"/>
      <c r="BG275" s="234"/>
      <c r="BH275" s="234"/>
      <c r="BI275" s="234"/>
      <c r="BJ275" s="234"/>
      <c r="BK275" s="234"/>
      <c r="BL275" s="234"/>
      <c r="BM275" s="234"/>
      <c r="BN275" s="234"/>
      <c r="BO275" s="234"/>
      <c r="BP275" s="234"/>
      <c r="BQ275" s="234"/>
      <c r="BR275" s="234"/>
      <c r="BS275" s="234"/>
      <c r="BT275" s="234"/>
      <c r="BU275" s="234"/>
      <c r="BV275" s="234"/>
      <c r="BW275" s="234"/>
      <c r="BX275" s="234"/>
      <c r="BY275" s="234"/>
      <c r="BZ275" s="234"/>
      <c r="CA275" s="234"/>
      <c r="CB275" s="234"/>
      <c r="CC275" s="234"/>
      <c r="CD275" s="234"/>
      <c r="CE275" s="234"/>
      <c r="CF275" s="234"/>
      <c r="CG275" s="234"/>
      <c r="CH275" s="234"/>
      <c r="CI275" s="234"/>
      <c r="CJ275" s="234"/>
      <c r="CK275" s="234"/>
      <c r="CL275" s="234"/>
      <c r="CM275" s="234"/>
      <c r="CN275" s="234"/>
      <c r="CO275" s="234"/>
      <c r="CP275" s="234"/>
      <c r="CQ275" s="234"/>
      <c r="CR275" s="234"/>
      <c r="CS275" s="234"/>
      <c r="CT275" s="234"/>
      <c r="CU275" s="234"/>
      <c r="CV275" s="234"/>
      <c r="CW275" s="234"/>
      <c r="CX275" s="234"/>
      <c r="CY275" s="234"/>
      <c r="CZ275" s="234"/>
      <c r="DA275" s="234"/>
      <c r="DB275" s="234"/>
      <c r="DC275" s="234"/>
      <c r="DD275" s="234"/>
      <c r="DE275" s="234"/>
      <c r="DF275" s="234"/>
      <c r="DG275" s="234"/>
      <c r="DH275" s="234"/>
      <c r="DI275" s="234"/>
      <c r="DJ275" s="234"/>
      <c r="DK275" s="234"/>
      <c r="DL275" s="234"/>
      <c r="DM275" s="234"/>
      <c r="DN275" s="234"/>
      <c r="DO275" s="234"/>
      <c r="DP275" s="234"/>
      <c r="DQ275" s="234"/>
      <c r="DR275" s="234"/>
      <c r="DS275" s="234"/>
      <c r="DT275" s="234"/>
    </row>
    <row r="276" spans="1:156" s="231" customFormat="1" x14ac:dyDescent="0.25">
      <c r="H276" s="232"/>
      <c r="K276" s="232"/>
      <c r="N276" s="232"/>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4"/>
      <c r="AZ276" s="234"/>
      <c r="BA276" s="234"/>
      <c r="BB276" s="234"/>
      <c r="BC276" s="234"/>
      <c r="BD276" s="234"/>
      <c r="BE276" s="234"/>
      <c r="BF276" s="234"/>
      <c r="BG276" s="234"/>
      <c r="BH276" s="234"/>
      <c r="BI276" s="234"/>
      <c r="BJ276" s="234"/>
      <c r="BK276" s="234"/>
      <c r="BL276" s="234"/>
      <c r="BM276" s="234"/>
      <c r="BN276" s="234"/>
      <c r="BO276" s="234"/>
      <c r="BP276" s="234"/>
      <c r="BQ276" s="234"/>
      <c r="BR276" s="234"/>
      <c r="BS276" s="234"/>
      <c r="BT276" s="234"/>
      <c r="BU276" s="234"/>
      <c r="BV276" s="234"/>
      <c r="BW276" s="234"/>
      <c r="BX276" s="234"/>
      <c r="BY276" s="234"/>
      <c r="BZ276" s="234"/>
      <c r="CA276" s="234"/>
      <c r="CB276" s="234"/>
      <c r="CC276" s="234"/>
      <c r="CD276" s="234"/>
      <c r="CE276" s="234"/>
      <c r="CF276" s="234"/>
      <c r="CG276" s="234"/>
      <c r="CH276" s="234"/>
      <c r="CI276" s="234"/>
      <c r="CJ276" s="234"/>
      <c r="CK276" s="234"/>
      <c r="CL276" s="234"/>
      <c r="CM276" s="234"/>
      <c r="CN276" s="234"/>
      <c r="CO276" s="234"/>
      <c r="CP276" s="234"/>
      <c r="CQ276" s="234"/>
      <c r="CR276" s="234"/>
      <c r="CS276" s="234"/>
      <c r="CT276" s="234"/>
      <c r="CU276" s="234"/>
      <c r="CV276" s="234"/>
      <c r="CW276" s="234"/>
      <c r="CX276" s="234"/>
      <c r="CY276" s="234"/>
      <c r="CZ276" s="234"/>
      <c r="DA276" s="234"/>
      <c r="DB276" s="234"/>
      <c r="DC276" s="234"/>
      <c r="DD276" s="234"/>
      <c r="DE276" s="234"/>
      <c r="DF276" s="234"/>
      <c r="DG276" s="234"/>
      <c r="DH276" s="234"/>
      <c r="DI276" s="234"/>
      <c r="DJ276" s="234"/>
      <c r="DK276" s="234"/>
      <c r="DL276" s="234"/>
      <c r="DM276" s="234"/>
      <c r="DN276" s="234"/>
      <c r="DO276" s="234"/>
      <c r="DP276" s="234"/>
      <c r="DQ276" s="234"/>
      <c r="DR276" s="234"/>
      <c r="DS276" s="234"/>
      <c r="DT276" s="234"/>
    </row>
    <row r="277" spans="1:156" s="231" customFormat="1" x14ac:dyDescent="0.25">
      <c r="H277" s="232"/>
      <c r="K277" s="232"/>
      <c r="N277" s="232"/>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4"/>
      <c r="AZ277" s="234"/>
      <c r="BA277" s="234"/>
      <c r="BB277" s="234"/>
      <c r="BC277" s="234"/>
      <c r="BD277" s="234"/>
      <c r="BE277" s="234"/>
      <c r="BF277" s="234"/>
      <c r="BG277" s="234"/>
      <c r="BH277" s="234"/>
      <c r="BI277" s="234"/>
      <c r="BJ277" s="234"/>
      <c r="BK277" s="234"/>
      <c r="BL277" s="234"/>
      <c r="BM277" s="234"/>
      <c r="BN277" s="234"/>
      <c r="BO277" s="234"/>
      <c r="BP277" s="234"/>
      <c r="BQ277" s="234"/>
      <c r="BR277" s="234"/>
      <c r="BS277" s="234"/>
      <c r="BT277" s="234"/>
      <c r="BU277" s="234"/>
      <c r="BV277" s="234"/>
      <c r="BW277" s="234"/>
      <c r="BX277" s="234"/>
      <c r="BY277" s="234"/>
      <c r="BZ277" s="234"/>
      <c r="CA277" s="234"/>
      <c r="CB277" s="234"/>
      <c r="CC277" s="234"/>
      <c r="CD277" s="234"/>
      <c r="CE277" s="234"/>
      <c r="CF277" s="234"/>
      <c r="CG277" s="234"/>
      <c r="CH277" s="234"/>
      <c r="CI277" s="234"/>
      <c r="CJ277" s="234"/>
      <c r="CK277" s="234"/>
      <c r="CL277" s="234"/>
      <c r="CM277" s="234"/>
      <c r="CN277" s="234"/>
      <c r="CO277" s="234"/>
      <c r="CP277" s="234"/>
      <c r="CQ277" s="234"/>
      <c r="CR277" s="234"/>
      <c r="CS277" s="234"/>
      <c r="CT277" s="234"/>
      <c r="CU277" s="234"/>
      <c r="CV277" s="234"/>
      <c r="CW277" s="234"/>
      <c r="CX277" s="234"/>
      <c r="CY277" s="234"/>
      <c r="CZ277" s="234"/>
      <c r="DA277" s="234"/>
      <c r="DB277" s="234"/>
      <c r="DC277" s="234"/>
      <c r="DD277" s="234"/>
      <c r="DE277" s="234"/>
      <c r="DF277" s="234"/>
      <c r="DG277" s="234"/>
      <c r="DH277" s="234"/>
      <c r="DI277" s="234"/>
      <c r="DJ277" s="234"/>
      <c r="DK277" s="234"/>
      <c r="DL277" s="234"/>
      <c r="DM277" s="234"/>
      <c r="DN277" s="234"/>
      <c r="DO277" s="234"/>
      <c r="DP277" s="234"/>
      <c r="DQ277" s="234"/>
      <c r="DR277" s="234"/>
      <c r="DS277" s="234"/>
      <c r="DT277" s="234"/>
    </row>
    <row r="278" spans="1:156" s="231" customFormat="1" x14ac:dyDescent="0.25">
      <c r="H278" s="232"/>
      <c r="K278" s="232"/>
      <c r="N278" s="232"/>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4"/>
      <c r="AZ278" s="234"/>
      <c r="BA278" s="234"/>
      <c r="BB278" s="234"/>
      <c r="BC278" s="234"/>
      <c r="BD278" s="234"/>
      <c r="BE278" s="234"/>
      <c r="BF278" s="234"/>
      <c r="BG278" s="234"/>
      <c r="BH278" s="234"/>
      <c r="BI278" s="234"/>
      <c r="BJ278" s="234"/>
      <c r="BK278" s="234"/>
      <c r="BL278" s="234"/>
      <c r="BM278" s="234"/>
      <c r="BN278" s="234"/>
      <c r="BO278" s="234"/>
      <c r="BP278" s="234"/>
      <c r="BQ278" s="234"/>
      <c r="BR278" s="234"/>
      <c r="BS278" s="234"/>
      <c r="BT278" s="234"/>
      <c r="BU278" s="234"/>
      <c r="BV278" s="234"/>
      <c r="BW278" s="234"/>
      <c r="BX278" s="234"/>
      <c r="BY278" s="234"/>
      <c r="BZ278" s="234"/>
      <c r="CA278" s="234"/>
      <c r="CB278" s="234"/>
      <c r="CC278" s="234"/>
      <c r="CD278" s="234"/>
      <c r="CE278" s="234"/>
      <c r="CF278" s="234"/>
      <c r="CG278" s="234"/>
      <c r="CH278" s="234"/>
      <c r="CI278" s="234"/>
      <c r="CJ278" s="234"/>
      <c r="CK278" s="234"/>
      <c r="CL278" s="234"/>
      <c r="CM278" s="234"/>
      <c r="CN278" s="234"/>
      <c r="CO278" s="234"/>
      <c r="CP278" s="234"/>
      <c r="CQ278" s="234"/>
      <c r="CR278" s="234"/>
      <c r="CS278" s="234"/>
      <c r="CT278" s="234"/>
      <c r="CU278" s="234"/>
      <c r="CV278" s="234"/>
      <c r="CW278" s="234"/>
      <c r="CX278" s="234"/>
      <c r="CY278" s="234"/>
      <c r="CZ278" s="234"/>
      <c r="DA278" s="234"/>
      <c r="DB278" s="234"/>
      <c r="DC278" s="234"/>
      <c r="DD278" s="234"/>
      <c r="DE278" s="234"/>
      <c r="DF278" s="234"/>
      <c r="DG278" s="234"/>
      <c r="DH278" s="234"/>
      <c r="DI278" s="234"/>
      <c r="DJ278" s="234"/>
      <c r="DK278" s="234"/>
      <c r="DL278" s="234"/>
      <c r="DM278" s="234"/>
      <c r="DN278" s="234"/>
      <c r="DO278" s="234"/>
      <c r="DP278" s="234"/>
      <c r="DQ278" s="234"/>
      <c r="DR278" s="234"/>
      <c r="DS278" s="234"/>
      <c r="DT278" s="234"/>
    </row>
    <row r="279" spans="1:156" s="231" customFormat="1" x14ac:dyDescent="0.25">
      <c r="H279" s="232"/>
      <c r="K279" s="232"/>
      <c r="N279" s="232"/>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4"/>
      <c r="AZ279" s="234"/>
      <c r="BA279" s="234"/>
      <c r="BB279" s="234"/>
      <c r="BC279" s="234"/>
      <c r="BD279" s="234"/>
      <c r="BE279" s="234"/>
      <c r="BF279" s="234"/>
      <c r="BG279" s="234"/>
      <c r="BH279" s="234"/>
      <c r="BI279" s="234"/>
      <c r="BJ279" s="234"/>
      <c r="BK279" s="234"/>
      <c r="BL279" s="234"/>
      <c r="BM279" s="234"/>
      <c r="BN279" s="234"/>
      <c r="BO279" s="234"/>
      <c r="BP279" s="234"/>
      <c r="BQ279" s="234"/>
      <c r="BR279" s="234"/>
      <c r="BS279" s="234"/>
      <c r="BT279" s="234"/>
      <c r="BU279" s="234"/>
      <c r="BV279" s="234"/>
      <c r="BW279" s="234"/>
      <c r="BX279" s="234"/>
      <c r="BY279" s="234"/>
      <c r="BZ279" s="234"/>
      <c r="CA279" s="234"/>
      <c r="CB279" s="234"/>
      <c r="CC279" s="234"/>
      <c r="CD279" s="234"/>
      <c r="CE279" s="234"/>
      <c r="CF279" s="234"/>
      <c r="CG279" s="234"/>
      <c r="CH279" s="234"/>
      <c r="CI279" s="234"/>
      <c r="CJ279" s="234"/>
      <c r="CK279" s="234"/>
      <c r="CL279" s="234"/>
      <c r="CM279" s="234"/>
      <c r="CN279" s="234"/>
      <c r="CO279" s="234"/>
      <c r="CP279" s="234"/>
      <c r="CQ279" s="234"/>
      <c r="CR279" s="234"/>
      <c r="CS279" s="234"/>
      <c r="CT279" s="234"/>
      <c r="CU279" s="234"/>
      <c r="CV279" s="234"/>
      <c r="CW279" s="234"/>
      <c r="CX279" s="234"/>
      <c r="CY279" s="234"/>
      <c r="CZ279" s="234"/>
      <c r="DA279" s="234"/>
      <c r="DB279" s="234"/>
      <c r="DC279" s="234"/>
      <c r="DD279" s="234"/>
      <c r="DE279" s="234"/>
      <c r="DF279" s="234"/>
      <c r="DG279" s="234"/>
      <c r="DH279" s="234"/>
      <c r="DI279" s="234"/>
      <c r="DJ279" s="234"/>
      <c r="DK279" s="234"/>
      <c r="DL279" s="234"/>
      <c r="DM279" s="234"/>
      <c r="DN279" s="234"/>
      <c r="DO279" s="234"/>
      <c r="DP279" s="234"/>
      <c r="DQ279" s="234"/>
      <c r="DR279" s="234"/>
      <c r="DS279" s="234"/>
      <c r="DT279" s="234"/>
    </row>
    <row r="280" spans="1:156" s="231" customFormat="1" x14ac:dyDescent="0.25">
      <c r="H280" s="232"/>
      <c r="K280" s="232"/>
      <c r="N280" s="232"/>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4"/>
      <c r="AZ280" s="234"/>
      <c r="BA280" s="234"/>
      <c r="BB280" s="234"/>
      <c r="BC280" s="234"/>
      <c r="BD280" s="234"/>
      <c r="BE280" s="234"/>
      <c r="BF280" s="234"/>
      <c r="BG280" s="234"/>
      <c r="BH280" s="234"/>
      <c r="BI280" s="234"/>
      <c r="BJ280" s="234"/>
      <c r="BK280" s="234"/>
      <c r="BL280" s="234"/>
      <c r="BM280" s="234"/>
      <c r="BN280" s="234"/>
      <c r="BO280" s="234"/>
      <c r="BP280" s="234"/>
      <c r="BQ280" s="234"/>
      <c r="BR280" s="234"/>
      <c r="BS280" s="234"/>
      <c r="BT280" s="234"/>
      <c r="BU280" s="234"/>
      <c r="BV280" s="234"/>
      <c r="BW280" s="234"/>
      <c r="BX280" s="234"/>
      <c r="BY280" s="234"/>
      <c r="BZ280" s="234"/>
      <c r="CA280" s="234"/>
      <c r="CB280" s="234"/>
      <c r="CC280" s="234"/>
      <c r="CD280" s="234"/>
      <c r="CE280" s="234"/>
      <c r="CF280" s="234"/>
      <c r="CG280" s="234"/>
      <c r="CH280" s="234"/>
      <c r="CI280" s="234"/>
      <c r="CJ280" s="234"/>
      <c r="CK280" s="234"/>
      <c r="CL280" s="234"/>
      <c r="CM280" s="234"/>
      <c r="CN280" s="234"/>
      <c r="CO280" s="234"/>
      <c r="CP280" s="234"/>
      <c r="CQ280" s="234"/>
      <c r="CR280" s="234"/>
      <c r="CS280" s="234"/>
      <c r="CT280" s="234"/>
      <c r="CU280" s="234"/>
      <c r="CV280" s="234"/>
      <c r="CW280" s="234"/>
      <c r="CX280" s="234"/>
      <c r="CY280" s="234"/>
      <c r="CZ280" s="234"/>
      <c r="DA280" s="234"/>
      <c r="DB280" s="234"/>
      <c r="DC280" s="234"/>
      <c r="DD280" s="234"/>
      <c r="DE280" s="234"/>
      <c r="DF280" s="234"/>
      <c r="DG280" s="234"/>
      <c r="DH280" s="234"/>
      <c r="DI280" s="234"/>
      <c r="DJ280" s="234"/>
      <c r="DK280" s="234"/>
      <c r="DL280" s="234"/>
      <c r="DM280" s="234"/>
      <c r="DN280" s="234"/>
      <c r="DO280" s="234"/>
      <c r="DP280" s="234"/>
      <c r="DQ280" s="234"/>
      <c r="DR280" s="234"/>
      <c r="DS280" s="234"/>
      <c r="DT280" s="234"/>
    </row>
    <row r="281" spans="1:156" s="231" customFormat="1" x14ac:dyDescent="0.25">
      <c r="H281" s="232"/>
      <c r="K281" s="232"/>
      <c r="N281" s="232"/>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4"/>
      <c r="AZ281" s="234"/>
      <c r="BA281" s="234"/>
      <c r="BB281" s="234"/>
      <c r="BC281" s="234"/>
      <c r="BD281" s="234"/>
      <c r="BE281" s="234"/>
      <c r="BF281" s="234"/>
      <c r="BG281" s="234"/>
      <c r="BH281" s="234"/>
      <c r="BI281" s="234"/>
      <c r="BJ281" s="234"/>
      <c r="BK281" s="234"/>
      <c r="BL281" s="234"/>
      <c r="BM281" s="234"/>
      <c r="BN281" s="234"/>
      <c r="BO281" s="234"/>
      <c r="BP281" s="234"/>
      <c r="BQ281" s="234"/>
      <c r="BR281" s="234"/>
      <c r="BS281" s="234"/>
      <c r="BT281" s="234"/>
      <c r="BU281" s="234"/>
      <c r="BV281" s="234"/>
      <c r="BW281" s="234"/>
      <c r="BX281" s="234"/>
      <c r="BY281" s="234"/>
      <c r="BZ281" s="234"/>
      <c r="CA281" s="234"/>
      <c r="CB281" s="234"/>
      <c r="CC281" s="234"/>
      <c r="CD281" s="234"/>
      <c r="CE281" s="234"/>
      <c r="CF281" s="234"/>
      <c r="CG281" s="234"/>
      <c r="CH281" s="234"/>
      <c r="CI281" s="234"/>
      <c r="CJ281" s="234"/>
      <c r="CK281" s="234"/>
      <c r="CL281" s="234"/>
      <c r="CM281" s="234"/>
      <c r="CN281" s="234"/>
      <c r="CO281" s="234"/>
      <c r="CP281" s="234"/>
      <c r="CQ281" s="234"/>
      <c r="CR281" s="234"/>
      <c r="CS281" s="234"/>
      <c r="CT281" s="234"/>
      <c r="CU281" s="234"/>
      <c r="CV281" s="234"/>
      <c r="CW281" s="234"/>
      <c r="CX281" s="234"/>
      <c r="CY281" s="234"/>
      <c r="CZ281" s="234"/>
      <c r="DA281" s="234"/>
      <c r="DB281" s="234"/>
      <c r="DC281" s="234"/>
      <c r="DD281" s="234"/>
      <c r="DE281" s="234"/>
      <c r="DF281" s="234"/>
      <c r="DG281" s="234"/>
      <c r="DH281" s="234"/>
      <c r="DI281" s="234"/>
      <c r="DJ281" s="234"/>
      <c r="DK281" s="234"/>
      <c r="DL281" s="234"/>
      <c r="DM281" s="234"/>
      <c r="DN281" s="234"/>
      <c r="DO281" s="234"/>
      <c r="DP281" s="234"/>
      <c r="DQ281" s="234"/>
      <c r="DR281" s="234"/>
      <c r="DS281" s="234"/>
      <c r="DT281" s="234"/>
    </row>
    <row r="282" spans="1:156" s="231" customFormat="1" x14ac:dyDescent="0.25">
      <c r="H282" s="232"/>
      <c r="K282" s="232"/>
      <c r="N282" s="232"/>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4"/>
      <c r="AZ282" s="234"/>
      <c r="BA282" s="234"/>
      <c r="BB282" s="234"/>
      <c r="BC282" s="234"/>
      <c r="BD282" s="234"/>
      <c r="BE282" s="234"/>
      <c r="BF282" s="234"/>
      <c r="BG282" s="234"/>
      <c r="BH282" s="234"/>
      <c r="BI282" s="234"/>
      <c r="BJ282" s="234"/>
      <c r="BK282" s="234"/>
      <c r="BL282" s="234"/>
      <c r="BM282" s="234"/>
      <c r="BN282" s="234"/>
      <c r="BO282" s="234"/>
      <c r="BP282" s="234"/>
      <c r="BQ282" s="234"/>
      <c r="BR282" s="234"/>
      <c r="BS282" s="234"/>
      <c r="BT282" s="234"/>
      <c r="BU282" s="234"/>
      <c r="BV282" s="234"/>
      <c r="BW282" s="234"/>
      <c r="BX282" s="234"/>
      <c r="BY282" s="234"/>
      <c r="BZ282" s="234"/>
      <c r="CA282" s="234"/>
      <c r="CB282" s="234"/>
      <c r="CC282" s="234"/>
      <c r="CD282" s="234"/>
      <c r="CE282" s="234"/>
      <c r="CF282" s="234"/>
      <c r="CG282" s="234"/>
      <c r="CH282" s="234"/>
      <c r="CI282" s="234"/>
      <c r="CJ282" s="234"/>
      <c r="CK282" s="234"/>
      <c r="CL282" s="234"/>
      <c r="CM282" s="234"/>
      <c r="CN282" s="234"/>
      <c r="CO282" s="234"/>
      <c r="CP282" s="234"/>
      <c r="CQ282" s="234"/>
      <c r="CR282" s="234"/>
      <c r="CS282" s="234"/>
      <c r="CT282" s="234"/>
      <c r="CU282" s="234"/>
      <c r="CV282" s="234"/>
      <c r="CW282" s="234"/>
      <c r="CX282" s="234"/>
      <c r="CY282" s="234"/>
      <c r="CZ282" s="234"/>
      <c r="DA282" s="234"/>
      <c r="DB282" s="234"/>
      <c r="DC282" s="234"/>
      <c r="DD282" s="234"/>
      <c r="DE282" s="234"/>
      <c r="DF282" s="234"/>
      <c r="DG282" s="234"/>
      <c r="DH282" s="234"/>
      <c r="DI282" s="234"/>
      <c r="DJ282" s="234"/>
      <c r="DK282" s="234"/>
      <c r="DL282" s="234"/>
      <c r="DM282" s="234"/>
      <c r="DN282" s="234"/>
      <c r="DO282" s="234"/>
      <c r="DP282" s="234"/>
      <c r="DQ282" s="234"/>
      <c r="DR282" s="234"/>
      <c r="DS282" s="234"/>
      <c r="DT282" s="234"/>
    </row>
    <row r="283" spans="1:156" s="231" customFormat="1" x14ac:dyDescent="0.25">
      <c r="H283" s="232"/>
      <c r="K283" s="232"/>
      <c r="N283" s="232"/>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4"/>
      <c r="AZ283" s="234"/>
      <c r="BA283" s="234"/>
      <c r="BB283" s="234"/>
      <c r="BC283" s="234"/>
      <c r="BD283" s="234"/>
      <c r="BE283" s="234"/>
      <c r="BF283" s="234"/>
      <c r="BG283" s="234"/>
      <c r="BH283" s="234"/>
      <c r="BI283" s="234"/>
      <c r="BJ283" s="234"/>
      <c r="BK283" s="234"/>
      <c r="BL283" s="234"/>
      <c r="BM283" s="234"/>
      <c r="BN283" s="234"/>
      <c r="BO283" s="234"/>
      <c r="BP283" s="234"/>
      <c r="BQ283" s="234"/>
      <c r="BR283" s="234"/>
      <c r="BS283" s="234"/>
      <c r="BT283" s="234"/>
      <c r="BU283" s="234"/>
      <c r="BV283" s="234"/>
      <c r="BW283" s="234"/>
      <c r="BX283" s="234"/>
      <c r="BY283" s="234"/>
      <c r="BZ283" s="234"/>
      <c r="CA283" s="234"/>
      <c r="CB283" s="234"/>
      <c r="CC283" s="234"/>
      <c r="CD283" s="234"/>
      <c r="CE283" s="234"/>
      <c r="CF283" s="234"/>
      <c r="CG283" s="234"/>
      <c r="CH283" s="234"/>
      <c r="CI283" s="234"/>
      <c r="CJ283" s="234"/>
      <c r="CK283" s="234"/>
      <c r="CL283" s="234"/>
      <c r="CM283" s="234"/>
      <c r="CN283" s="234"/>
      <c r="CO283" s="234"/>
      <c r="CP283" s="234"/>
      <c r="CQ283" s="234"/>
      <c r="CR283" s="234"/>
      <c r="CS283" s="234"/>
      <c r="CT283" s="234"/>
      <c r="CU283" s="234"/>
      <c r="CV283" s="234"/>
      <c r="CW283" s="234"/>
      <c r="CX283" s="234"/>
      <c r="CY283" s="234"/>
      <c r="CZ283" s="234"/>
      <c r="DA283" s="234"/>
      <c r="DB283" s="234"/>
      <c r="DC283" s="234"/>
      <c r="DD283" s="234"/>
      <c r="DE283" s="234"/>
      <c r="DF283" s="234"/>
      <c r="DG283" s="234"/>
      <c r="DH283" s="234"/>
      <c r="DI283" s="234"/>
      <c r="DJ283" s="234"/>
      <c r="DK283" s="234"/>
      <c r="DL283" s="234"/>
      <c r="DM283" s="234"/>
      <c r="DN283" s="234"/>
      <c r="DO283" s="234"/>
      <c r="DP283" s="234"/>
      <c r="DQ283" s="234"/>
      <c r="DR283" s="234"/>
      <c r="DS283" s="234"/>
      <c r="DT283" s="234"/>
    </row>
    <row r="284" spans="1:156" s="231" customFormat="1" x14ac:dyDescent="0.25">
      <c r="H284" s="232"/>
      <c r="K284" s="232"/>
      <c r="N284" s="232"/>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4"/>
      <c r="AZ284" s="234"/>
      <c r="BA284" s="234"/>
      <c r="BB284" s="234"/>
      <c r="BC284" s="234"/>
      <c r="BD284" s="234"/>
      <c r="BE284" s="234"/>
      <c r="BF284" s="234"/>
      <c r="BG284" s="234"/>
      <c r="BH284" s="234"/>
      <c r="BI284" s="234"/>
      <c r="BJ284" s="234"/>
      <c r="BK284" s="234"/>
      <c r="BL284" s="234"/>
      <c r="BM284" s="234"/>
      <c r="BN284" s="234"/>
      <c r="BO284" s="234"/>
      <c r="BP284" s="234"/>
      <c r="BQ284" s="234"/>
      <c r="BR284" s="234"/>
      <c r="BS284" s="234"/>
      <c r="BT284" s="234"/>
      <c r="BU284" s="234"/>
      <c r="BV284" s="234"/>
      <c r="BW284" s="234"/>
      <c r="BX284" s="234"/>
      <c r="BY284" s="234"/>
      <c r="BZ284" s="234"/>
      <c r="CA284" s="234"/>
      <c r="CB284" s="234"/>
      <c r="CC284" s="234"/>
      <c r="CD284" s="234"/>
      <c r="CE284" s="234"/>
      <c r="CF284" s="234"/>
      <c r="CG284" s="234"/>
      <c r="CH284" s="234"/>
      <c r="CI284" s="234"/>
      <c r="CJ284" s="234"/>
      <c r="CK284" s="234"/>
      <c r="CL284" s="234"/>
      <c r="CM284" s="234"/>
      <c r="CN284" s="234"/>
      <c r="CO284" s="234"/>
      <c r="CP284" s="234"/>
      <c r="CQ284" s="234"/>
      <c r="CR284" s="234"/>
      <c r="CS284" s="234"/>
      <c r="CT284" s="234"/>
      <c r="CU284" s="234"/>
      <c r="CV284" s="234"/>
      <c r="CW284" s="234"/>
      <c r="CX284" s="234"/>
      <c r="CY284" s="234"/>
      <c r="CZ284" s="234"/>
      <c r="DA284" s="234"/>
      <c r="DB284" s="234"/>
      <c r="DC284" s="234"/>
      <c r="DD284" s="234"/>
      <c r="DE284" s="234"/>
      <c r="DF284" s="234"/>
      <c r="DG284" s="234"/>
      <c r="DH284" s="234"/>
      <c r="DI284" s="234"/>
      <c r="DJ284" s="234"/>
      <c r="DK284" s="234"/>
      <c r="DL284" s="234"/>
      <c r="DM284" s="234"/>
      <c r="DN284" s="234"/>
      <c r="DO284" s="234"/>
      <c r="DP284" s="234"/>
      <c r="DQ284" s="234"/>
      <c r="DR284" s="234"/>
      <c r="DS284" s="234"/>
      <c r="DT284" s="234"/>
    </row>
    <row r="285" spans="1:156" s="231" customFormat="1" x14ac:dyDescent="0.25">
      <c r="H285" s="232"/>
      <c r="K285" s="232"/>
      <c r="N285" s="232"/>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4"/>
      <c r="AZ285" s="234"/>
      <c r="BA285" s="234"/>
      <c r="BB285" s="234"/>
      <c r="BC285" s="234"/>
      <c r="BD285" s="234"/>
      <c r="BE285" s="234"/>
      <c r="BF285" s="234"/>
      <c r="BG285" s="234"/>
      <c r="BH285" s="234"/>
      <c r="BI285" s="234"/>
      <c r="BJ285" s="234"/>
      <c r="BK285" s="234"/>
      <c r="BL285" s="234"/>
      <c r="BM285" s="234"/>
      <c r="BN285" s="234"/>
      <c r="BO285" s="234"/>
      <c r="BP285" s="234"/>
      <c r="BQ285" s="234"/>
      <c r="BR285" s="234"/>
      <c r="BS285" s="234"/>
      <c r="BT285" s="234"/>
      <c r="BU285" s="234"/>
      <c r="BV285" s="234"/>
      <c r="BW285" s="234"/>
      <c r="BX285" s="234"/>
      <c r="BY285" s="234"/>
      <c r="BZ285" s="234"/>
      <c r="CA285" s="234"/>
      <c r="CB285" s="234"/>
      <c r="CC285" s="234"/>
      <c r="CD285" s="234"/>
      <c r="CE285" s="234"/>
      <c r="CF285" s="234"/>
      <c r="CG285" s="234"/>
      <c r="CH285" s="234"/>
      <c r="CI285" s="234"/>
      <c r="CJ285" s="234"/>
      <c r="CK285" s="234"/>
      <c r="CL285" s="234"/>
      <c r="CM285" s="234"/>
      <c r="CN285" s="234"/>
      <c r="CO285" s="234"/>
      <c r="CP285" s="234"/>
      <c r="CQ285" s="234"/>
      <c r="CR285" s="234"/>
      <c r="CS285" s="234"/>
      <c r="CT285" s="234"/>
      <c r="CU285" s="234"/>
      <c r="CV285" s="234"/>
      <c r="CW285" s="234"/>
      <c r="CX285" s="234"/>
      <c r="CY285" s="234"/>
      <c r="CZ285" s="234"/>
      <c r="DA285" s="234"/>
      <c r="DB285" s="234"/>
      <c r="DC285" s="234"/>
      <c r="DD285" s="234"/>
      <c r="DE285" s="234"/>
      <c r="DF285" s="234"/>
      <c r="DG285" s="234"/>
      <c r="DH285" s="234"/>
      <c r="DI285" s="234"/>
      <c r="DJ285" s="234"/>
      <c r="DK285" s="234"/>
      <c r="DL285" s="234"/>
      <c r="DM285" s="234"/>
      <c r="DN285" s="234"/>
      <c r="DO285" s="234"/>
      <c r="DP285" s="234"/>
      <c r="DQ285" s="234"/>
      <c r="DR285" s="234"/>
      <c r="DS285" s="234"/>
      <c r="DT285" s="234"/>
    </row>
    <row r="286" spans="1:156" s="231" customFormat="1" x14ac:dyDescent="0.25">
      <c r="H286" s="232"/>
      <c r="K286" s="232"/>
      <c r="N286" s="232"/>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4"/>
      <c r="AZ286" s="234"/>
      <c r="BA286" s="234"/>
      <c r="BB286" s="234"/>
      <c r="BC286" s="234"/>
      <c r="BD286" s="234"/>
      <c r="BE286" s="234"/>
      <c r="BF286" s="234"/>
      <c r="BG286" s="234"/>
      <c r="BH286" s="234"/>
      <c r="BI286" s="234"/>
      <c r="BJ286" s="234"/>
      <c r="BK286" s="234"/>
      <c r="BL286" s="234"/>
      <c r="BM286" s="234"/>
      <c r="BN286" s="234"/>
      <c r="BO286" s="234"/>
      <c r="BP286" s="234"/>
      <c r="BQ286" s="234"/>
      <c r="BR286" s="234"/>
      <c r="BS286" s="234"/>
      <c r="BT286" s="234"/>
      <c r="BU286" s="234"/>
      <c r="BV286" s="234"/>
      <c r="BW286" s="234"/>
      <c r="BX286" s="234"/>
      <c r="BY286" s="234"/>
      <c r="BZ286" s="234"/>
      <c r="CA286" s="234"/>
      <c r="CB286" s="234"/>
      <c r="CC286" s="234"/>
      <c r="CD286" s="234"/>
      <c r="CE286" s="234"/>
      <c r="CF286" s="234"/>
      <c r="CG286" s="234"/>
      <c r="CH286" s="234"/>
      <c r="CI286" s="234"/>
      <c r="CJ286" s="234"/>
      <c r="CK286" s="234"/>
      <c r="CL286" s="234"/>
      <c r="CM286" s="234"/>
      <c r="CN286" s="234"/>
      <c r="CO286" s="234"/>
      <c r="CP286" s="234"/>
      <c r="CQ286" s="234"/>
      <c r="CR286" s="234"/>
      <c r="CS286" s="234"/>
      <c r="CT286" s="234"/>
      <c r="CU286" s="234"/>
      <c r="CV286" s="234"/>
      <c r="CW286" s="234"/>
      <c r="CX286" s="234"/>
      <c r="CY286" s="234"/>
      <c r="CZ286" s="234"/>
      <c r="DA286" s="234"/>
      <c r="DB286" s="234"/>
      <c r="DC286" s="234"/>
      <c r="DD286" s="234"/>
      <c r="DE286" s="234"/>
      <c r="DF286" s="234"/>
      <c r="DG286" s="234"/>
      <c r="DH286" s="234"/>
      <c r="DI286" s="234"/>
      <c r="DJ286" s="234"/>
      <c r="DK286" s="234"/>
      <c r="DL286" s="234"/>
      <c r="DM286" s="234"/>
      <c r="DN286" s="234"/>
      <c r="DO286" s="234"/>
      <c r="DP286" s="234"/>
      <c r="DQ286" s="234"/>
      <c r="DR286" s="234"/>
      <c r="DS286" s="234"/>
      <c r="DT286" s="234"/>
    </row>
    <row r="287" spans="1:156" x14ac:dyDescent="0.25">
      <c r="A287" s="231"/>
      <c r="B287" s="231"/>
      <c r="M287" s="231"/>
      <c r="O287" s="231"/>
      <c r="P287" s="231"/>
      <c r="DU287" s="231"/>
      <c r="DV287" s="231"/>
      <c r="DW287" s="231"/>
      <c r="DX287" s="231"/>
      <c r="DY287" s="231"/>
      <c r="DZ287" s="231"/>
      <c r="EA287" s="231"/>
      <c r="EB287" s="231"/>
      <c r="EC287" s="231"/>
      <c r="ED287" s="231"/>
      <c r="EE287" s="231"/>
      <c r="EF287" s="231"/>
      <c r="EG287" s="231"/>
      <c r="EH287" s="231"/>
      <c r="EI287" s="231"/>
      <c r="EJ287" s="231"/>
      <c r="EK287" s="231"/>
      <c r="EL287" s="231"/>
      <c r="EM287" s="231"/>
      <c r="EN287" s="231"/>
      <c r="EO287" s="231"/>
      <c r="EP287" s="231"/>
      <c r="EQ287" s="231"/>
      <c r="ER287" s="231"/>
      <c r="ES287" s="231"/>
      <c r="ET287" s="231"/>
      <c r="EU287" s="231"/>
      <c r="EV287" s="231"/>
      <c r="EW287" s="231"/>
      <c r="EX287" s="231"/>
      <c r="EY287" s="231"/>
      <c r="EZ287" s="231"/>
    </row>
    <row r="288" spans="1:156" x14ac:dyDescent="0.25">
      <c r="A288" s="231"/>
      <c r="B288" s="231"/>
      <c r="M288" s="231"/>
      <c r="O288" s="231"/>
      <c r="P288" s="231"/>
      <c r="DW288" s="231"/>
      <c r="DX288" s="231"/>
      <c r="DY288" s="231"/>
      <c r="DZ288" s="231"/>
      <c r="EA288" s="231"/>
      <c r="EB288" s="231"/>
      <c r="EC288" s="231"/>
      <c r="ED288" s="231"/>
      <c r="EE288" s="231"/>
      <c r="EF288" s="231"/>
      <c r="EG288" s="231"/>
      <c r="EH288" s="231"/>
      <c r="EI288" s="231"/>
      <c r="EJ288" s="231"/>
      <c r="EK288" s="231"/>
      <c r="EL288" s="231"/>
      <c r="EM288" s="231"/>
      <c r="EN288" s="231"/>
      <c r="EO288" s="231"/>
      <c r="EP288" s="231"/>
      <c r="EQ288" s="231"/>
      <c r="ER288" s="231"/>
      <c r="ES288" s="231"/>
      <c r="ET288" s="231"/>
      <c r="EU288" s="231"/>
      <c r="EV288" s="231"/>
      <c r="EW288" s="231"/>
      <c r="EX288" s="231"/>
      <c r="EY288" s="231"/>
      <c r="EZ288" s="231"/>
    </row>
    <row r="289" spans="1:16" x14ac:dyDescent="0.25">
      <c r="A289" s="231"/>
      <c r="B289" s="231"/>
      <c r="M289" s="231"/>
      <c r="O289" s="231"/>
      <c r="P289" s="231"/>
    </row>
    <row r="290" spans="1:16" x14ac:dyDescent="0.25">
      <c r="A290" s="231"/>
    </row>
  </sheetData>
  <sheetProtection algorithmName="SHA-512" hashValue="pjwGCJmIqzKetc0cnl0JyGYp8NrF+XxaFHsf0wDgPrlHM4B+BOEkq7X6tQ+bpl0GitF4Mh6w5MsuSJsbY4/nbg==" saltValue="tkooHuAvUHEpc1LfrDmBAA==" spinCount="100000" sheet="1" objects="1" scenarios="1" selectLockedCells="1"/>
  <mergeCells count="19">
    <mergeCell ref="F39:G39"/>
    <mergeCell ref="F13:G13"/>
    <mergeCell ref="C16:D19"/>
    <mergeCell ref="AW16:AW18"/>
    <mergeCell ref="AT17:AT18"/>
    <mergeCell ref="AU17:AU18"/>
    <mergeCell ref="F177:L181"/>
    <mergeCell ref="C112:D114"/>
    <mergeCell ref="AU41:AU43"/>
    <mergeCell ref="AT42:AT43"/>
    <mergeCell ref="AW42:AW43"/>
    <mergeCell ref="C44:D47"/>
    <mergeCell ref="F79:G79"/>
    <mergeCell ref="C82:D85"/>
    <mergeCell ref="F102:G102"/>
    <mergeCell ref="F128:G128"/>
    <mergeCell ref="C131:D133"/>
    <mergeCell ref="F153:G153"/>
    <mergeCell ref="C158:D160"/>
  </mergeCells>
  <conditionalFormatting sqref="O13:P17 O19:P31 O18">
    <cfRule type="expression" dxfId="88" priority="109">
      <formula>$D$14&lt;3</formula>
    </cfRule>
  </conditionalFormatting>
  <conditionalFormatting sqref="L13:M17 L19:M32 L18">
    <cfRule type="expression" dxfId="87" priority="108">
      <formula>$D$14&lt;2</formula>
    </cfRule>
  </conditionalFormatting>
  <conditionalFormatting sqref="L39:M43 L57:M57 L44:L56">
    <cfRule type="expression" dxfId="86" priority="107">
      <formula>$D$40&lt;2</formula>
    </cfRule>
  </conditionalFormatting>
  <conditionalFormatting sqref="L60:M61 L75:M75 L62:L74">
    <cfRule type="expression" dxfId="85" priority="105">
      <formula>$D$40&lt;2</formula>
    </cfRule>
  </conditionalFormatting>
  <conditionalFormatting sqref="O79:P83 O97:P97 O84:O96">
    <cfRule type="expression" dxfId="84" priority="104">
      <formula>$D$80&lt;3</formula>
    </cfRule>
  </conditionalFormatting>
  <conditionalFormatting sqref="I79:J83 I97:J97 I84:I96">
    <cfRule type="expression" dxfId="83" priority="102">
      <formula>$D$80=0</formula>
    </cfRule>
  </conditionalFormatting>
  <conditionalFormatting sqref="O102:P106 O120:P120 O107:O119">
    <cfRule type="expression" dxfId="82" priority="101">
      <formula>$D$103&lt;3</formula>
    </cfRule>
  </conditionalFormatting>
  <conditionalFormatting sqref="L102:M106 L120:M120 L107:L119">
    <cfRule type="expression" dxfId="81" priority="100">
      <formula>$D$103&lt;2</formula>
    </cfRule>
  </conditionalFormatting>
  <conditionalFormatting sqref="U128:V132 U146:V147 U133:U145">
    <cfRule type="expression" dxfId="80" priority="99">
      <formula>$D$129&lt;5</formula>
    </cfRule>
  </conditionalFormatting>
  <conditionalFormatting sqref="L128:M132 L133:L145">
    <cfRule type="expression" dxfId="79" priority="81">
      <formula>$D$129=0</formula>
    </cfRule>
  </conditionalFormatting>
  <conditionalFormatting sqref="I128:J132 I146:J146 I133:I145">
    <cfRule type="expression" dxfId="78" priority="97">
      <formula>$D$129=0</formula>
    </cfRule>
  </conditionalFormatting>
  <conditionalFormatting sqref="O39:P43 O57:P57 O44:O56">
    <cfRule type="expression" dxfId="77" priority="96">
      <formula>$D$40&lt;3</formula>
    </cfRule>
  </conditionalFormatting>
  <conditionalFormatting sqref="I39:J43 I57:J57 I44:I56">
    <cfRule type="expression" dxfId="76" priority="95">
      <formula>$D$40=0</formula>
    </cfRule>
  </conditionalFormatting>
  <conditionalFormatting sqref="I13:J17 I18:I31">
    <cfRule type="expression" dxfId="75" priority="94">
      <formula>$D$14=0</formula>
    </cfRule>
  </conditionalFormatting>
  <conditionalFormatting sqref="I60:J61 I75:J75 I62:I74">
    <cfRule type="expression" dxfId="74" priority="93">
      <formula>$D$40=0</formula>
    </cfRule>
  </conditionalFormatting>
  <conditionalFormatting sqref="I102:J106 I120:J120 I107:I119">
    <cfRule type="expression" dxfId="73" priority="92">
      <formula>$D$103=0</formula>
    </cfRule>
  </conditionalFormatting>
  <conditionalFormatting sqref="O128:P132 O146:P147 O133:O145">
    <cfRule type="expression" dxfId="72" priority="91">
      <formula>$D$129&lt;3</formula>
    </cfRule>
  </conditionalFormatting>
  <conditionalFormatting sqref="R128:S132 R146:S147 R133:R145">
    <cfRule type="expression" dxfId="71" priority="90">
      <formula>$D$129&lt;4</formula>
    </cfRule>
  </conditionalFormatting>
  <conditionalFormatting sqref="F176:L181 C182:D196 C198:D201">
    <cfRule type="expression" dxfId="70" priority="89">
      <formula>$D$177="Mätdata ej tillgänglig"</formula>
    </cfRule>
  </conditionalFormatting>
  <conditionalFormatting sqref="C109:D110">
    <cfRule type="expression" dxfId="69" priority="87">
      <formula>$D$107="Mäts separat"</formula>
    </cfRule>
  </conditionalFormatting>
  <conditionalFormatting sqref="I153:J157 I171:J171 I158:I170">
    <cfRule type="expression" dxfId="68" priority="110">
      <formula>$D$156=0</formula>
    </cfRule>
  </conditionalFormatting>
  <conditionalFormatting sqref="L153:M157 L171:M171">
    <cfRule type="expression" dxfId="67" priority="111">
      <formula>$D$156&lt;2</formula>
    </cfRule>
  </conditionalFormatting>
  <conditionalFormatting sqref="C156:D156 I153:P157 I171:P171 I158:I170">
    <cfRule type="expression" dxfId="66" priority="82">
      <formula>$D$154="Mätdata ej tillgänglig"</formula>
    </cfRule>
  </conditionalFormatting>
  <conditionalFormatting sqref="I18:I31 L18:L31 M31 O18:O31 P31 I44:I57 J57 L44:L57 M57 O44:O57 P57 J75 M75 P75 I84:I97 J97 L84:L97 M97 O84:O97 P97 I107:I120 J120 L107:L120 M120 O107:O120 P120 J146 L133:L146 M146 O133:O146 P146 R133:R146 S146 U133:U146 V146 I62:I75 L62:L75 O62:O75 I158:I171 L171:M171 O171:P171 F7:F9 I133:I146 F147:F150 J171:J172">
    <cfRule type="expression" dxfId="65" priority="113">
      <formula>$Z$4=$Z$5</formula>
    </cfRule>
  </conditionalFormatting>
  <conditionalFormatting sqref="C41:D41">
    <cfRule type="expression" dxfId="64" priority="114">
      <formula>OR($C$20="Kallvattenvolym",$C$20="Tappvarmvattenvolym")</formula>
    </cfRule>
  </conditionalFormatting>
  <conditionalFormatting sqref="C107:D110">
    <cfRule type="expression" dxfId="63" priority="76">
      <formula>$D$105="Finns ej"</formula>
    </cfRule>
  </conditionalFormatting>
  <conditionalFormatting sqref="O60:P61 O75:P75 O62:O74">
    <cfRule type="expression" dxfId="62" priority="106">
      <formula>$D$40&lt;3</formula>
    </cfRule>
  </conditionalFormatting>
  <conditionalFormatting sqref="G147:G150">
    <cfRule type="expression" dxfId="61" priority="63">
      <formula>$Z$4=$Z$5</formula>
    </cfRule>
  </conditionalFormatting>
  <conditionalFormatting sqref="I60:P61 I75:P75 I62:I74 K62:L74 N62:O74">
    <cfRule type="expression" dxfId="60" priority="78">
      <formula>$D$41="Inkluderad i energi för uppvärmning"</formula>
    </cfRule>
    <cfRule type="expression" dxfId="59" priority="79">
      <formula>$D$41="Inkluderad i energi för tappvarmvatten"</formula>
    </cfRule>
  </conditionalFormatting>
  <conditionalFormatting sqref="L79:M83 L97:M97 L84:L96">
    <cfRule type="expression" dxfId="58" priority="103">
      <formula>$D$80&lt;2</formula>
    </cfRule>
  </conditionalFormatting>
  <conditionalFormatting sqref="L128:M132 L146:M146 L133:L145">
    <cfRule type="expression" dxfId="57" priority="98">
      <formula>$D$129&lt;2</formula>
    </cfRule>
  </conditionalFormatting>
  <conditionalFormatting sqref="O153:P157 O171:P171">
    <cfRule type="expression" dxfId="56" priority="112">
      <formula>$D$156&lt;3</formula>
    </cfRule>
  </conditionalFormatting>
  <conditionalFormatting sqref="J19:J31">
    <cfRule type="expression" dxfId="55" priority="39">
      <formula>$D$14=0</formula>
    </cfRule>
  </conditionalFormatting>
  <conditionalFormatting sqref="J31">
    <cfRule type="expression" dxfId="54" priority="40">
      <formula>$Z$4=$Z$5</formula>
    </cfRule>
  </conditionalFormatting>
  <conditionalFormatting sqref="J45:J56">
    <cfRule type="expression" dxfId="53" priority="38">
      <formula>$D$14=0</formula>
    </cfRule>
  </conditionalFormatting>
  <conditionalFormatting sqref="M18">
    <cfRule type="expression" dxfId="52" priority="36">
      <formula>$D$14&lt;2</formula>
    </cfRule>
  </conditionalFormatting>
  <conditionalFormatting sqref="P18">
    <cfRule type="expression" dxfId="51" priority="35">
      <formula>$D$14&lt;3</formula>
    </cfRule>
  </conditionalFormatting>
  <conditionalFormatting sqref="M44:M56">
    <cfRule type="expression" dxfId="50" priority="34">
      <formula>$D$40&lt;2</formula>
    </cfRule>
  </conditionalFormatting>
  <conditionalFormatting sqref="P44:P56">
    <cfRule type="expression" dxfId="49" priority="33">
      <formula>$D$40&lt;3</formula>
    </cfRule>
  </conditionalFormatting>
  <conditionalFormatting sqref="M62:M74">
    <cfRule type="expression" dxfId="48" priority="32">
      <formula>$D$40&lt;2</formula>
    </cfRule>
  </conditionalFormatting>
  <conditionalFormatting sqref="M62:M74">
    <cfRule type="expression" dxfId="47" priority="30">
      <formula>$D$41="Inkluderad i energi för uppvärmning"</formula>
    </cfRule>
    <cfRule type="expression" dxfId="46" priority="31">
      <formula>$D$41="Inkluderad i energi för tappvarmvatten"</formula>
    </cfRule>
  </conditionalFormatting>
  <conditionalFormatting sqref="P62:P74">
    <cfRule type="expression" dxfId="45" priority="29">
      <formula>$D$40&lt;3</formula>
    </cfRule>
  </conditionalFormatting>
  <conditionalFormatting sqref="P62:P74">
    <cfRule type="expression" dxfId="44" priority="27">
      <formula>$D$41="Inkluderad i energi för uppvärmning"</formula>
    </cfRule>
    <cfRule type="expression" dxfId="43" priority="28">
      <formula>$D$41="Inkluderad i energi för tappvarmvatten"</formula>
    </cfRule>
  </conditionalFormatting>
  <conditionalFormatting sqref="J62:J74">
    <cfRule type="expression" dxfId="42" priority="26">
      <formula>$D$40=0</formula>
    </cfRule>
  </conditionalFormatting>
  <conditionalFormatting sqref="J62:J74">
    <cfRule type="expression" dxfId="41" priority="24">
      <formula>$D$41="Inkluderad i energi för uppvärmning"</formula>
    </cfRule>
    <cfRule type="expression" dxfId="40" priority="25">
      <formula>$D$41="Inkluderad i energi för tappvarmvatten"</formula>
    </cfRule>
  </conditionalFormatting>
  <conditionalFormatting sqref="J84:J96">
    <cfRule type="expression" dxfId="39" priority="23">
      <formula>$D$80=0</formula>
    </cfRule>
  </conditionalFormatting>
  <conditionalFormatting sqref="M84:M96">
    <cfRule type="expression" dxfId="38" priority="21">
      <formula>$D$80=0</formula>
    </cfRule>
    <cfRule type="expression" dxfId="37" priority="22">
      <formula>$D$80&lt;2</formula>
    </cfRule>
  </conditionalFormatting>
  <conditionalFormatting sqref="P84:P96">
    <cfRule type="expression" dxfId="36" priority="20">
      <formula>$D$80&lt;3</formula>
    </cfRule>
  </conditionalFormatting>
  <conditionalFormatting sqref="J107:J119">
    <cfRule type="expression" dxfId="35" priority="19">
      <formula>$D$103=0</formula>
    </cfRule>
  </conditionalFormatting>
  <conditionalFormatting sqref="M107:M119">
    <cfRule type="expression" dxfId="34" priority="18">
      <formula>$D$103&lt;2</formula>
    </cfRule>
  </conditionalFormatting>
  <conditionalFormatting sqref="P107:P119">
    <cfRule type="expression" dxfId="33" priority="17">
      <formula>$D$103&lt;3</formula>
    </cfRule>
  </conditionalFormatting>
  <conditionalFormatting sqref="J133:J145">
    <cfRule type="expression" dxfId="32" priority="16">
      <formula>$D$129=0</formula>
    </cfRule>
  </conditionalFormatting>
  <conditionalFormatting sqref="M133:M145">
    <cfRule type="expression" dxfId="31" priority="14">
      <formula>$D$129=0</formula>
    </cfRule>
    <cfRule type="expression" dxfId="30" priority="15">
      <formula>$D$129&lt;2</formula>
    </cfRule>
  </conditionalFormatting>
  <conditionalFormatting sqref="P133:P145">
    <cfRule type="expression" dxfId="29" priority="13">
      <formula>$D$129&lt;3</formula>
    </cfRule>
  </conditionalFormatting>
  <conditionalFormatting sqref="S133:S145">
    <cfRule type="expression" dxfId="28" priority="12">
      <formula>$D$129&lt;4</formula>
    </cfRule>
  </conditionalFormatting>
  <conditionalFormatting sqref="V133:V145">
    <cfRule type="expression" dxfId="27" priority="11">
      <formula>$D$129&lt;5</formula>
    </cfRule>
  </conditionalFormatting>
  <conditionalFormatting sqref="J158:J170">
    <cfRule type="expression" dxfId="26" priority="7">
      <formula>$D$156=0</formula>
    </cfRule>
  </conditionalFormatting>
  <conditionalFormatting sqref="L158:M170">
    <cfRule type="expression" dxfId="25" priority="8">
      <formula>$D$156&lt;2</formula>
    </cfRule>
  </conditionalFormatting>
  <conditionalFormatting sqref="O158:P170">
    <cfRule type="expression" dxfId="24" priority="1">
      <formula>$D$156=0</formula>
    </cfRule>
    <cfRule type="expression" dxfId="23" priority="3">
      <formula>$D$156=0</formula>
    </cfRule>
    <cfRule type="expression" dxfId="22" priority="5">
      <formula>$D$156&lt;2</formula>
    </cfRule>
    <cfRule type="expression" dxfId="21" priority="9">
      <formula>$D$156&lt;3</formula>
    </cfRule>
  </conditionalFormatting>
  <conditionalFormatting sqref="L158:M170">
    <cfRule type="expression" dxfId="20" priority="4">
      <formula>$D$156=0</formula>
    </cfRule>
    <cfRule type="expression" dxfId="19" priority="6">
      <formula>$D$156&lt;2</formula>
    </cfRule>
  </conditionalFormatting>
  <conditionalFormatting sqref="J158:P170">
    <cfRule type="expression" dxfId="18" priority="2">
      <formula>$D$154="Mätdata ej tillgänglig"</formula>
    </cfRule>
  </conditionalFormatting>
  <conditionalFormatting sqref="L158:L170 O158:O170">
    <cfRule type="expression" dxfId="17" priority="10">
      <formula>$Z$4=$Z$5</formula>
    </cfRule>
  </conditionalFormatting>
  <dataValidations count="25">
    <dataValidation type="whole" allowBlank="1" showInputMessage="1" showErrorMessage="1" error="Ange mätdata i MWh!" sqref="M159:M170 P159:P170 J159:J170" xr:uid="{7A849C83-CFD4-4CAF-B78C-0E19119ACF1C}">
      <formula1>0</formula1>
      <formula2>100</formula2>
    </dataValidation>
    <dataValidation type="decimal" allowBlank="1" showInputMessage="1" showErrorMessage="1" error="Ange mätdata i MWh!" sqref="V134:V145 P45:P56 M19:M30 P19:P30 J19:J30 M45:M56 J63:J74 M63:M74 P63:P74 J45:J56 M85:M96 P85:P96 J85:J96 M108:M119 P108:P119 J134:J145 M134:M145 P134:P145 S134:S145 J108:J119" xr:uid="{E45F1DAA-F1C4-486C-A2F0-E0A0494F33C6}">
      <formula1>0</formula1>
      <formula2>1000</formula2>
    </dataValidation>
    <dataValidation type="decimal" operator="lessThan" allowBlank="1" showInputMessage="1" showErrorMessage="1" error="Ange endast siffror!" sqref="D184 D188 D192" xr:uid="{9B6DE46A-0378-467F-AFFE-C9F6DC363124}">
      <formula1>30</formula1>
    </dataValidation>
    <dataValidation type="whole" allowBlank="1" showInputMessage="1" showErrorMessage="1" error="Areaandel ska vara mellan 0 och 100 %!" sqref="D183 D191 D187" xr:uid="{2C38CC03-58C4-4C40-A4FF-D55E94ABE22C}">
      <formula1>0</formula1>
      <formula2>100</formula2>
    </dataValidation>
    <dataValidation type="list" allowBlank="1" showInputMessage="1" showErrorMessage="1" sqref="J155 M155 P155" xr:uid="{142432B6-57C1-4091-A428-54D1CCA8D1A7}">
      <formula1>$EP$3:$EP$4</formula1>
    </dataValidation>
    <dataValidation type="list" allowBlank="1" showInputMessage="1" showErrorMessage="1" sqref="D105" xr:uid="{E984C7F1-53D3-4E14-AB53-3C6DB62457B0}">
      <formula1>$ES$3:$ES$4</formula1>
    </dataValidation>
    <dataValidation type="list" allowBlank="1" showInputMessage="1" showErrorMessage="1" sqref="D107" xr:uid="{D63183F7-0D5F-4E58-9866-8031341A89F1}">
      <formula1>$ET$3:$ET$5</formula1>
    </dataValidation>
    <dataValidation type="list" allowBlank="1" showInputMessage="1" showErrorMessage="1" sqref="D14 D40 D103" xr:uid="{164CBB00-78EF-4DA3-8552-30EA5150B3BD}">
      <formula1>$DX$4:$DX$6</formula1>
    </dataValidation>
    <dataValidation type="list" allowBlank="1" showInputMessage="1" showErrorMessage="1" sqref="D41" xr:uid="{C7A27833-8B05-4EBC-9987-999F2F1A4B40}">
      <formula1>$ER$3:$ER$5</formula1>
    </dataValidation>
    <dataValidation type="list" allowBlank="1" showInputMessage="1" showErrorMessage="1" sqref="Z4" xr:uid="{33BE05BB-A7B7-4E22-A765-B13564FCB7DF}">
      <formula1>$Z$5:$Z$6</formula1>
    </dataValidation>
    <dataValidation type="list" allowBlank="1" showInputMessage="1" showErrorMessage="1" sqref="D129" xr:uid="{7B50E11C-9BBC-4BB9-B967-8612541F2F92}">
      <formula1>$DX$3:$DX$8</formula1>
    </dataValidation>
    <dataValidation type="list" allowBlank="1" showInputMessage="1" showErrorMessage="1" sqref="J131 V131 M131 S131 P131" xr:uid="{F3E918B8-EF6D-44B2-8383-4BABA08D631A}">
      <formula1>$DW$3:$DW$4</formula1>
    </dataValidation>
    <dataValidation type="list" allowBlank="1" showInputMessage="1" showErrorMessage="1" sqref="D156 D80" xr:uid="{D65960D0-F9DF-4879-9970-BD6EEDFE2723}">
      <formula1>$DX$3:$DX$6</formula1>
    </dataValidation>
    <dataValidation type="list" allowBlank="1" showInputMessage="1" showErrorMessage="1" sqref="P40:V40 J40 M40 R59:V59" xr:uid="{88B06959-209A-4068-B5F0-066AF1538E01}">
      <formula1>$DY$3:$DY$7</formula1>
    </dataValidation>
    <dataValidation type="list" allowBlank="1" showInputMessage="1" showErrorMessage="1" sqref="K40 P14:V14 M14:N14 J14:K14 N40" xr:uid="{3598BA26-6242-412C-8BFA-6369287F8042}">
      <formula1>$DY$3:$DY$9</formula1>
    </dataValidation>
    <dataValidation type="list" allowBlank="1" showInputMessage="1" showErrorMessage="1" sqref="M103 J103 M154 J154 P103:V103 P154:V154" xr:uid="{136D58DE-B0CA-498E-A444-AF0AA9079C30}">
      <formula1>$EA$3:$EA$7</formula1>
    </dataValidation>
    <dataValidation type="list" allowBlank="1" showInputMessage="1" showErrorMessage="1" sqref="V130 P130 S130 M130 J130" xr:uid="{9C2A3B65-23E9-49E9-9E32-E19669658E63}">
      <formula1>$EG$3:$EG$6</formula1>
    </dataValidation>
    <dataValidation type="list" allowBlank="1" showInputMessage="1" showErrorMessage="1" sqref="M129 P129 V129 S129 J129" xr:uid="{B08B2F90-095E-47EB-8D5B-192D2CAF54E4}">
      <formula1>$EF$3:$EF$6</formula1>
    </dataValidation>
    <dataValidation type="list" allowBlank="1" showInputMessage="1" showErrorMessage="1" sqref="M80:N80 J80:K80 P80:V80" xr:uid="{7D75E30E-3E85-41BF-A885-0F8454861C93}">
      <formula1>$EC$3:$EC$4</formula1>
    </dataValidation>
    <dataValidation type="list" allowBlank="1" showInputMessage="1" showErrorMessage="1" sqref="G14:H14 H103 H40 H154 H80 H129" xr:uid="{092ADA82-F818-4ECA-BDB0-29EDE347A198}">
      <formula1>$EH$3:$EH$10</formula1>
    </dataValidation>
    <dataValidation type="list" allowBlank="1" showInputMessage="1" showErrorMessage="1" sqref="D177 D154 Q155:V155" xr:uid="{DB9A2A0C-80E1-48DF-9C35-74D3EE03C922}">
      <formula1>$EO$3:$EO$4</formula1>
    </dataValidation>
    <dataValidation type="list" allowBlank="1" showInputMessage="1" showErrorMessage="1" sqref="M104:N104 N155 AB100:AB101 K155 J104:K104 P104:V104 AI101 AB145:AB146" xr:uid="{43455FCB-8549-425F-975D-B08923F65EC1}">
      <formula1>$EL$3:$EL$4</formula1>
    </dataValidation>
    <dataValidation type="list" allowBlank="1" showInputMessage="1" showErrorMessage="1" sqref="J16 P16:V16 M82 J82 P42:V42 M42 J42 M16 P82:V82" xr:uid="{88E18954-F904-4C36-B5E1-6CBC9CC5EBBD}">
      <formula1>$EN$3:$EN$4</formula1>
    </dataValidation>
    <dataValidation type="list" allowBlank="1" showInputMessage="1" showErrorMessage="1" sqref="G15 H15:H16 D179:D180 H41:H42 H104:H105 H130:H131 H81:H82 H155:H156" xr:uid="{F95BDDD0-8631-4B82-AD28-8EAF30BEE618}">
      <formula1>$EI$3:$EI$14</formula1>
    </dataValidation>
    <dataValidation type="list" allowBlank="1" showInputMessage="1" showErrorMessage="1" sqref="D42" xr:uid="{629D556F-E3A5-4682-9EBB-F5FEB15118A1}">
      <formula1>$EQ$3:$EQ$4</formula1>
    </dataValidation>
  </dataValidations>
  <pageMargins left="0.7" right="0.7" top="0.75" bottom="0.75" header="0.3" footer="0.3"/>
  <pageSetup paperSize="9" scale="1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7" id="{B3033752-BDB6-4467-BB5F-4BD09EFEC0D4}">
            <xm:f>'Indata byggnad och BBR krav'!$C$17=0</xm:f>
            <x14:dxf>
              <font>
                <color theme="0"/>
              </font>
              <fill>
                <patternFill>
                  <bgColor theme="0"/>
                </patternFill>
              </fill>
              <border>
                <left/>
                <right/>
                <top/>
                <bottom/>
                <vertical/>
                <horizontal/>
              </border>
            </x14:dxf>
          </x14:cfRule>
          <xm:sqref>C105:D105 C107:D110</xm:sqref>
        </x14:conditionalFormatting>
        <x14:conditionalFormatting xmlns:xm="http://schemas.microsoft.com/office/excel/2006/main">
          <x14:cfRule type="expression" priority="62" id="{3112B39D-8562-4226-A685-A10E76E4F139}">
            <xm:f>'Indata byggnad och BBR krav'!$C$18=0</xm:f>
            <x14:dxf>
              <font>
                <color theme="0"/>
              </font>
              <fill>
                <patternFill>
                  <bgColor theme="0"/>
                </patternFill>
              </fill>
              <border>
                <left/>
                <right/>
                <top/>
                <bottom/>
                <vertical/>
                <horizontal/>
              </border>
            </x14:dxf>
          </x14:cfRule>
          <xm:sqref>C198:D198</xm:sqref>
        </x14:conditionalFormatting>
        <x14:conditionalFormatting xmlns:xm="http://schemas.microsoft.com/office/excel/2006/main">
          <x14:cfRule type="expression" priority="61" id="{D5305A65-BF13-4EA9-BA85-72F99F266E9A}">
            <xm:f>'Indata byggnad och BBR krav'!$C$17=0</xm:f>
            <x14:dxf>
              <font>
                <b val="0"/>
                <i val="0"/>
                <color theme="0"/>
              </font>
              <fill>
                <patternFill>
                  <bgColor theme="0"/>
                </patternFill>
              </fill>
              <border>
                <left/>
                <right/>
                <top/>
                <bottom/>
                <vertical/>
                <horizontal/>
              </border>
            </x14:dxf>
          </x14:cfRule>
          <xm:sqref>C196:D196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7A13B-1839-46F5-A21E-3E086ECEF26A}">
  <sheetPr codeName="Sheet4">
    <tabColor theme="8"/>
  </sheetPr>
  <dimension ref="A1:CW68"/>
  <sheetViews>
    <sheetView showGridLines="0" topLeftCell="A4" zoomScale="80" zoomScaleNormal="80" workbookViewId="0">
      <selection activeCell="F40" activeCellId="1" sqref="DI16 F40:G47"/>
    </sheetView>
  </sheetViews>
  <sheetFormatPr defaultColWidth="9.140625" defaultRowHeight="15" x14ac:dyDescent="0.25"/>
  <cols>
    <col min="1" max="1" width="4" style="229" customWidth="1"/>
    <col min="2" max="2" width="38.7109375" style="229" customWidth="1"/>
    <col min="3" max="3" width="36.7109375" style="229" customWidth="1"/>
    <col min="4" max="4" width="36.28515625" style="229" customWidth="1"/>
    <col min="5" max="5" width="4" style="231" customWidth="1"/>
    <col min="6" max="6" width="59.140625" style="231" customWidth="1"/>
    <col min="7" max="7" width="22.28515625" style="231" customWidth="1"/>
    <col min="8" max="8" width="4.28515625" style="229" customWidth="1"/>
    <col min="9" max="10" width="15" style="229" customWidth="1"/>
    <col min="11" max="12" width="15.85546875" style="229" customWidth="1"/>
    <col min="13" max="13" width="14.42578125" style="229" customWidth="1"/>
    <col min="14" max="30" width="9.140625" style="229"/>
    <col min="31" max="31" width="36.7109375" style="311" hidden="1" customWidth="1"/>
    <col min="32" max="32" width="14" style="311" hidden="1" customWidth="1"/>
    <col min="33" max="35" width="13.5703125" style="311" hidden="1" customWidth="1"/>
    <col min="36" max="36" width="16.42578125" style="311" hidden="1" customWidth="1"/>
    <col min="37" max="37" width="13.5703125" style="311" hidden="1" customWidth="1"/>
    <col min="38" max="42" width="13.85546875" style="311" hidden="1" customWidth="1"/>
    <col min="43" max="101" width="9.140625" style="311" hidden="1" customWidth="1"/>
    <col min="102" max="102" width="9.140625" style="229" customWidth="1"/>
    <col min="103" max="16384" width="9.140625" style="229"/>
  </cols>
  <sheetData>
    <row r="1" spans="2:101" ht="29.25" customHeight="1" x14ac:dyDescent="0.25">
      <c r="B1" s="231"/>
      <c r="C1" s="231"/>
      <c r="D1" s="231"/>
      <c r="H1" s="231"/>
      <c r="I1" s="231"/>
      <c r="J1" s="231"/>
      <c r="K1" s="231"/>
      <c r="AE1" s="311" t="s">
        <v>1457</v>
      </c>
      <c r="AF1" s="311" t="s">
        <v>1457</v>
      </c>
      <c r="AG1" s="311" t="s">
        <v>1457</v>
      </c>
      <c r="AH1" s="311" t="s">
        <v>1457</v>
      </c>
      <c r="AI1" s="311" t="s">
        <v>1457</v>
      </c>
      <c r="AJ1" s="311" t="s">
        <v>1457</v>
      </c>
      <c r="AK1" s="311" t="s">
        <v>1457</v>
      </c>
      <c r="AL1" s="311" t="s">
        <v>1457</v>
      </c>
      <c r="AM1" s="311" t="s">
        <v>1457</v>
      </c>
      <c r="AN1" s="311" t="s">
        <v>1457</v>
      </c>
      <c r="AO1" s="311" t="s">
        <v>1457</v>
      </c>
      <c r="AP1" s="311" t="s">
        <v>1457</v>
      </c>
      <c r="AQ1" s="311" t="s">
        <v>1457</v>
      </c>
      <c r="AR1" s="311" t="s">
        <v>1457</v>
      </c>
      <c r="AS1" s="311" t="s">
        <v>1457</v>
      </c>
      <c r="AT1" s="311" t="s">
        <v>1457</v>
      </c>
      <c r="AU1" s="311" t="s">
        <v>1457</v>
      </c>
      <c r="AV1" s="311" t="s">
        <v>1457</v>
      </c>
      <c r="AW1" s="311" t="s">
        <v>1457</v>
      </c>
      <c r="AX1" s="311" t="s">
        <v>1457</v>
      </c>
      <c r="AY1" s="311" t="s">
        <v>1457</v>
      </c>
      <c r="AZ1" s="311" t="s">
        <v>1457</v>
      </c>
      <c r="BA1" s="311" t="s">
        <v>1457</v>
      </c>
      <c r="BB1" s="311" t="s">
        <v>1457</v>
      </c>
      <c r="BC1" s="311" t="s">
        <v>1457</v>
      </c>
      <c r="BD1" s="311" t="s">
        <v>1457</v>
      </c>
      <c r="BE1" s="311" t="s">
        <v>1457</v>
      </c>
      <c r="BF1" s="311" t="s">
        <v>1457</v>
      </c>
      <c r="BG1" s="311" t="s">
        <v>1457</v>
      </c>
      <c r="BH1" s="311" t="s">
        <v>1457</v>
      </c>
      <c r="BI1" s="311" t="s">
        <v>1457</v>
      </c>
      <c r="BJ1" s="311" t="s">
        <v>1457</v>
      </c>
      <c r="BK1" s="311" t="s">
        <v>1457</v>
      </c>
      <c r="BL1" s="311" t="s">
        <v>1457</v>
      </c>
      <c r="BM1" s="311" t="s">
        <v>1457</v>
      </c>
      <c r="BN1" s="311" t="s">
        <v>1457</v>
      </c>
      <c r="BO1" s="311" t="s">
        <v>1457</v>
      </c>
      <c r="BP1" s="311" t="s">
        <v>1457</v>
      </c>
      <c r="BQ1" s="311" t="s">
        <v>1457</v>
      </c>
      <c r="BR1" s="311" t="s">
        <v>1457</v>
      </c>
      <c r="BS1" s="311" t="s">
        <v>1457</v>
      </c>
      <c r="BT1" s="311" t="s">
        <v>1457</v>
      </c>
      <c r="BU1" s="311" t="s">
        <v>1457</v>
      </c>
      <c r="BV1" s="311" t="s">
        <v>1457</v>
      </c>
      <c r="BW1" s="311" t="s">
        <v>1457</v>
      </c>
      <c r="BX1" s="311" t="s">
        <v>1457</v>
      </c>
      <c r="BY1" s="311" t="s">
        <v>1457</v>
      </c>
      <c r="BZ1" s="311" t="s">
        <v>1457</v>
      </c>
      <c r="CA1" s="311" t="s">
        <v>1457</v>
      </c>
      <c r="CB1" s="311" t="s">
        <v>1457</v>
      </c>
      <c r="CC1" s="311" t="s">
        <v>1457</v>
      </c>
      <c r="CD1" s="311" t="s">
        <v>1457</v>
      </c>
      <c r="CE1" s="311" t="s">
        <v>1457</v>
      </c>
      <c r="CF1" s="311" t="s">
        <v>1457</v>
      </c>
      <c r="CG1" s="311" t="s">
        <v>1457</v>
      </c>
      <c r="CH1" s="311" t="s">
        <v>1457</v>
      </c>
      <c r="CI1" s="311" t="s">
        <v>1457</v>
      </c>
      <c r="CJ1" s="311" t="s">
        <v>1457</v>
      </c>
      <c r="CK1" s="311" t="s">
        <v>1457</v>
      </c>
      <c r="CL1" s="311" t="s">
        <v>1457</v>
      </c>
      <c r="CM1" s="311" t="s">
        <v>1457</v>
      </c>
      <c r="CN1" s="311" t="s">
        <v>1457</v>
      </c>
      <c r="CO1" s="311" t="s">
        <v>1457</v>
      </c>
      <c r="CP1" s="311" t="s">
        <v>1457</v>
      </c>
      <c r="CQ1" s="311" t="s">
        <v>1457</v>
      </c>
      <c r="CR1" s="311" t="s">
        <v>1457</v>
      </c>
      <c r="CS1" s="311" t="s">
        <v>1457</v>
      </c>
      <c r="CT1" s="311" t="s">
        <v>1457</v>
      </c>
      <c r="CU1" s="311" t="s">
        <v>1457</v>
      </c>
      <c r="CV1" s="311" t="s">
        <v>1457</v>
      </c>
      <c r="CW1" s="311" t="s">
        <v>1457</v>
      </c>
    </row>
    <row r="2" spans="2:101" ht="42" customHeight="1" x14ac:dyDescent="0.3">
      <c r="B2" s="230"/>
      <c r="C2" s="312" t="s">
        <v>8</v>
      </c>
      <c r="D2" s="231"/>
      <c r="H2" s="231"/>
      <c r="I2" s="231"/>
      <c r="J2" s="231"/>
      <c r="K2" s="231"/>
    </row>
    <row r="3" spans="2:101" ht="31.5" customHeight="1" x14ac:dyDescent="0.25">
      <c r="B3" s="231"/>
      <c r="C3" s="231"/>
      <c r="D3" s="231"/>
      <c r="H3" s="231"/>
      <c r="I3" s="231"/>
      <c r="J3" s="231"/>
      <c r="K3" s="231"/>
    </row>
    <row r="4" spans="2:101" ht="76.5" customHeight="1" x14ac:dyDescent="0.3">
      <c r="B4" s="230" t="s">
        <v>1143</v>
      </c>
      <c r="C4" s="231"/>
      <c r="D4" s="231"/>
      <c r="H4" s="231"/>
      <c r="I4" s="231"/>
      <c r="J4" s="231"/>
      <c r="K4" s="231"/>
      <c r="AF4" s="311" t="s">
        <v>1215</v>
      </c>
      <c r="AG4" s="311" t="s">
        <v>1202</v>
      </c>
    </row>
    <row r="5" spans="2:101" ht="9.75" customHeight="1" x14ac:dyDescent="0.25">
      <c r="D5" s="231"/>
      <c r="H5" s="231"/>
      <c r="I5" s="231"/>
      <c r="J5" s="231"/>
      <c r="K5" s="313"/>
      <c r="AI5" s="311" t="s">
        <v>1155</v>
      </c>
      <c r="AJ5" s="311" t="s">
        <v>1156</v>
      </c>
    </row>
    <row r="6" spans="2:101" ht="16.5" customHeight="1" x14ac:dyDescent="0.25">
      <c r="B6" s="500" t="s">
        <v>1133</v>
      </c>
      <c r="C6" s="500"/>
      <c r="D6" s="231"/>
      <c r="H6" s="231"/>
      <c r="I6" s="231"/>
      <c r="J6" s="231"/>
      <c r="K6" s="231"/>
      <c r="AF6" s="314">
        <f>$C$20*AJ6</f>
        <v>0</v>
      </c>
      <c r="AG6" s="315">
        <f>$C$20*AI6+0.001</f>
        <v>1E-3</v>
      </c>
      <c r="AH6" s="316">
        <v>1</v>
      </c>
      <c r="AI6" s="316">
        <v>0</v>
      </c>
      <c r="AJ6" s="316">
        <v>0.5</v>
      </c>
      <c r="AK6" s="316" t="s">
        <v>1148</v>
      </c>
    </row>
    <row r="7" spans="2:101" ht="16.5" customHeight="1" x14ac:dyDescent="0.25">
      <c r="B7" s="54" t="s">
        <v>1211</v>
      </c>
      <c r="C7" s="375" t="str">
        <f>IF('Indata byggnad och BBR krav'!C7="","",'Indata byggnad och BBR krav'!C7)</f>
        <v>Ny byggnad</v>
      </c>
      <c r="D7" s="231"/>
      <c r="H7" s="231"/>
      <c r="I7" s="231"/>
      <c r="J7" s="231"/>
      <c r="K7" s="231"/>
      <c r="AF7" s="314">
        <f t="shared" ref="AF7:AF12" si="0">$C$20*AJ7</f>
        <v>0</v>
      </c>
      <c r="AG7" s="315">
        <f t="shared" ref="AG7:AG12" si="1">$C$20*AI7+0.001</f>
        <v>1E-3</v>
      </c>
      <c r="AH7" s="316">
        <v>2</v>
      </c>
      <c r="AI7" s="316">
        <v>0.5</v>
      </c>
      <c r="AJ7" s="316">
        <v>0.75</v>
      </c>
      <c r="AK7" s="316" t="s">
        <v>1149</v>
      </c>
    </row>
    <row r="8" spans="2:101" ht="16.5" customHeight="1" x14ac:dyDescent="0.25">
      <c r="B8" s="54" t="s">
        <v>10</v>
      </c>
      <c r="C8" s="375" t="str">
        <f>IF('Indata byggnad och BBR krav'!C13="","",'Indata byggnad och BBR krav'!C13)</f>
        <v/>
      </c>
      <c r="D8" s="231"/>
      <c r="H8" s="231"/>
      <c r="I8" s="231"/>
      <c r="J8" s="231"/>
      <c r="K8" s="231"/>
      <c r="AF8" s="314">
        <f t="shared" si="0"/>
        <v>0</v>
      </c>
      <c r="AG8" s="315">
        <f t="shared" si="1"/>
        <v>1E-3</v>
      </c>
      <c r="AH8" s="316">
        <v>3</v>
      </c>
      <c r="AI8" s="316">
        <v>0.75</v>
      </c>
      <c r="AJ8" s="316">
        <v>1</v>
      </c>
      <c r="AK8" s="316" t="s">
        <v>1150</v>
      </c>
    </row>
    <row r="9" spans="2:101" ht="16.5" customHeight="1" x14ac:dyDescent="0.25">
      <c r="B9" s="54" t="s">
        <v>12</v>
      </c>
      <c r="C9" s="375" t="str">
        <f>IF('Indata byggnad och BBR krav'!C14="","",'Indata byggnad och BBR krav'!C14)</f>
        <v/>
      </c>
      <c r="D9" s="232"/>
      <c r="H9" s="231"/>
      <c r="I9" s="231"/>
      <c r="J9" s="231"/>
      <c r="K9" s="231"/>
      <c r="AF9" s="314">
        <f t="shared" si="0"/>
        <v>0</v>
      </c>
      <c r="AG9" s="315">
        <f t="shared" si="1"/>
        <v>1E-3</v>
      </c>
      <c r="AH9" s="316">
        <v>4</v>
      </c>
      <c r="AI9" s="316">
        <v>1</v>
      </c>
      <c r="AJ9" s="316">
        <v>1.35</v>
      </c>
      <c r="AK9" s="316" t="s">
        <v>1151</v>
      </c>
    </row>
    <row r="10" spans="2:101" ht="16.5" customHeight="1" x14ac:dyDescent="0.25">
      <c r="B10" s="164" t="s">
        <v>1210</v>
      </c>
      <c r="C10" s="375" t="str">
        <f>IF('Indata byggnad och BBR krav'!C16="","",'Indata byggnad och BBR krav'!C16)</f>
        <v/>
      </c>
      <c r="D10" s="231"/>
      <c r="H10" s="231"/>
      <c r="I10" s="231"/>
      <c r="J10" s="231"/>
      <c r="K10" s="231"/>
      <c r="AF10" s="314">
        <f t="shared" si="0"/>
        <v>0</v>
      </c>
      <c r="AG10" s="315">
        <f t="shared" si="1"/>
        <v>1E-3</v>
      </c>
      <c r="AH10" s="316">
        <v>5</v>
      </c>
      <c r="AI10" s="316">
        <v>1.35</v>
      </c>
      <c r="AJ10" s="316">
        <v>1.8</v>
      </c>
      <c r="AK10" s="316" t="s">
        <v>1152</v>
      </c>
    </row>
    <row r="11" spans="2:101" ht="16.5" customHeight="1" x14ac:dyDescent="0.25">
      <c r="B11" s="54" t="s">
        <v>11</v>
      </c>
      <c r="C11" s="375" t="str">
        <f>IF('Indata byggnad och BBR krav'!C15="","",'Indata byggnad och BBR krav'!C15)</f>
        <v>Ale</v>
      </c>
      <c r="D11" s="231"/>
      <c r="H11" s="231"/>
      <c r="I11" s="231"/>
      <c r="J11" s="231"/>
      <c r="K11" s="231"/>
      <c r="AF11" s="314">
        <f t="shared" si="0"/>
        <v>0</v>
      </c>
      <c r="AG11" s="315">
        <f t="shared" si="1"/>
        <v>1E-3</v>
      </c>
      <c r="AH11" s="316">
        <v>6</v>
      </c>
      <c r="AI11" s="316">
        <v>1.8</v>
      </c>
      <c r="AJ11" s="316">
        <v>2.35</v>
      </c>
      <c r="AK11" s="316" t="s">
        <v>1153</v>
      </c>
    </row>
    <row r="12" spans="2:101" ht="16.5" customHeight="1" x14ac:dyDescent="0.25">
      <c r="B12" s="54" t="s">
        <v>1134</v>
      </c>
      <c r="C12" s="375" t="str">
        <f>IF('Indata byggnad och BBR krav'!C8="","",'Indata byggnad och BBR krav'!C8)</f>
        <v/>
      </c>
      <c r="D12" s="231"/>
      <c r="H12" s="231"/>
      <c r="I12" s="231"/>
      <c r="J12" s="231"/>
      <c r="K12" s="231"/>
      <c r="AF12" s="311">
        <f t="shared" si="0"/>
        <v>0</v>
      </c>
      <c r="AG12" s="315">
        <f t="shared" si="1"/>
        <v>1E-3</v>
      </c>
      <c r="AH12" s="316">
        <v>7</v>
      </c>
      <c r="AI12" s="316">
        <v>2.35</v>
      </c>
      <c r="AJ12" s="316"/>
      <c r="AK12" s="316" t="s">
        <v>1154</v>
      </c>
    </row>
    <row r="13" spans="2:101" ht="16.5" customHeight="1" x14ac:dyDescent="0.25">
      <c r="B13" s="54" t="s">
        <v>1135</v>
      </c>
      <c r="C13" s="375" t="str">
        <f>IF('Indata byggnad och BBR krav'!C9="","",'Indata byggnad och BBR krav'!C9)</f>
        <v/>
      </c>
      <c r="D13" s="231"/>
      <c r="H13" s="231"/>
      <c r="I13" s="231"/>
      <c r="J13" s="231"/>
      <c r="K13" s="231"/>
    </row>
    <row r="14" spans="2:101" ht="16.5" customHeight="1" x14ac:dyDescent="0.25">
      <c r="B14" s="54" t="s">
        <v>1113</v>
      </c>
      <c r="C14" s="402" t="str">
        <f>IF('Indata byggnad och BBR krav'!C9="","",'Indata byggnad och BBR krav'!C10)</f>
        <v/>
      </c>
      <c r="D14" s="231"/>
      <c r="H14" s="231"/>
      <c r="I14" s="231"/>
      <c r="J14" s="231"/>
      <c r="K14" s="231"/>
      <c r="AF14" s="317" t="s">
        <v>1408</v>
      </c>
      <c r="AJ14" s="311" t="s">
        <v>1406</v>
      </c>
    </row>
    <row r="15" spans="2:101" ht="16.5" customHeight="1" x14ac:dyDescent="0.25">
      <c r="D15" s="231"/>
      <c r="H15" s="231"/>
      <c r="I15" s="231"/>
      <c r="J15" s="231"/>
      <c r="K15" s="231"/>
      <c r="AF15" s="311" t="s">
        <v>1318</v>
      </c>
      <c r="AJ15" s="317" t="s">
        <v>1244</v>
      </c>
      <c r="AK15" s="311" t="e">
        <f ca="1">IF(AND($C$21&lt;=-0.3,$C$7="Befintlig byggnad Alternativ 1"),"JA","NEJ")</f>
        <v>#DIV/0!</v>
      </c>
    </row>
    <row r="16" spans="2:101" ht="16.5" customHeight="1" x14ac:dyDescent="0.25">
      <c r="H16" s="231"/>
      <c r="I16" s="231"/>
      <c r="J16" s="231"/>
      <c r="K16" s="231"/>
      <c r="AF16" s="311" t="s">
        <v>1238</v>
      </c>
      <c r="AG16" s="318" t="e">
        <f ca="1">Mätvärden!$BK$218</f>
        <v>#DIV/0!</v>
      </c>
      <c r="AJ16" s="317" t="s">
        <v>1245</v>
      </c>
      <c r="AK16" s="319" t="e">
        <f ca="1">IF(AND($C$19&lt;$AF$8,$C$7="Befintlig byggnad Alternativ 2"),"JA","NEJ")</f>
        <v>#DIV/0!</v>
      </c>
    </row>
    <row r="17" spans="1:101" s="60" customFormat="1" ht="16.5" customHeight="1" x14ac:dyDescent="0.25">
      <c r="A17" s="229"/>
      <c r="B17" s="500" t="s">
        <v>1319</v>
      </c>
      <c r="C17" s="500"/>
      <c r="D17" s="231"/>
      <c r="E17" s="231"/>
      <c r="F17" s="231"/>
      <c r="G17" s="231"/>
      <c r="H17" s="229"/>
      <c r="I17" s="231"/>
      <c r="J17" s="231"/>
      <c r="K17" s="231"/>
      <c r="L17" s="229"/>
      <c r="M17" s="229"/>
      <c r="N17" s="229"/>
      <c r="O17" s="229"/>
      <c r="P17" s="229"/>
      <c r="Q17" s="229"/>
      <c r="R17" s="229"/>
      <c r="S17" s="229"/>
      <c r="T17" s="229"/>
      <c r="U17" s="229"/>
      <c r="V17" s="229"/>
      <c r="W17" s="229"/>
      <c r="X17" s="229"/>
      <c r="Y17" s="229"/>
      <c r="Z17" s="229"/>
      <c r="AA17" s="229"/>
      <c r="AB17" s="229"/>
      <c r="AC17" s="229"/>
      <c r="AD17" s="229"/>
      <c r="AE17" s="319"/>
      <c r="AF17" s="311" t="s">
        <v>1240</v>
      </c>
      <c r="AG17" s="318" t="e">
        <f ca="1">Mätvärden!$BK$219</f>
        <v>#DIV/0!</v>
      </c>
      <c r="AH17" s="319"/>
      <c r="AI17" s="319"/>
      <c r="AJ17" s="320" t="s">
        <v>1213</v>
      </c>
      <c r="AK17" s="311" t="e">
        <f ca="1">IF(AND($C$19&lt;$AF$7,$C$7="Ny Byggnad"),"JA","NEJ")</f>
        <v>#DIV/0!</v>
      </c>
      <c r="AL17" s="319"/>
      <c r="AM17" s="319"/>
      <c r="AN17" s="319"/>
      <c r="AO17" s="319"/>
      <c r="AP17" s="319"/>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c r="CJ17" s="319"/>
      <c r="CK17" s="319"/>
      <c r="CL17" s="319"/>
      <c r="CM17" s="319"/>
      <c r="CN17" s="319"/>
      <c r="CO17" s="319"/>
      <c r="CP17" s="319"/>
      <c r="CQ17" s="319"/>
      <c r="CR17" s="319"/>
      <c r="CS17" s="319"/>
      <c r="CT17" s="319"/>
      <c r="CU17" s="319"/>
      <c r="CV17" s="319"/>
      <c r="CW17" s="319"/>
    </row>
    <row r="18" spans="1:101" s="60" customFormat="1" ht="16.5" customHeight="1" x14ac:dyDescent="0.25">
      <c r="A18" s="229"/>
      <c r="B18" s="321" t="s">
        <v>1316</v>
      </c>
      <c r="C18" s="375" t="str">
        <f>'Indata byggnad och BBR krav'!$C$24</f>
        <v>BBR25</v>
      </c>
      <c r="E18" s="231"/>
      <c r="F18" s="231"/>
      <c r="G18" s="231"/>
      <c r="H18" s="229"/>
      <c r="I18" s="231"/>
      <c r="J18" s="231"/>
      <c r="K18" s="231"/>
      <c r="L18" s="229"/>
      <c r="M18" s="22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c r="BG18" s="319"/>
      <c r="BH18" s="319"/>
      <c r="BI18" s="319"/>
      <c r="BJ18" s="319"/>
      <c r="BK18" s="319"/>
      <c r="BL18" s="319"/>
      <c r="BM18" s="319"/>
      <c r="BN18" s="319"/>
      <c r="BO18" s="319"/>
      <c r="BP18" s="319"/>
      <c r="BQ18" s="319"/>
      <c r="BR18" s="319"/>
      <c r="BS18" s="319"/>
      <c r="BT18" s="319"/>
      <c r="BU18" s="319"/>
      <c r="BV18" s="319"/>
      <c r="BW18" s="319"/>
      <c r="BX18" s="319"/>
      <c r="BY18" s="319"/>
      <c r="BZ18" s="319"/>
      <c r="CA18" s="319"/>
      <c r="CB18" s="319"/>
      <c r="CC18" s="319"/>
      <c r="CD18" s="319"/>
      <c r="CE18" s="319"/>
      <c r="CF18" s="319"/>
      <c r="CG18" s="319"/>
      <c r="CH18" s="319"/>
      <c r="CI18" s="319"/>
      <c r="CJ18" s="319"/>
      <c r="CK18" s="319"/>
      <c r="CL18" s="319"/>
      <c r="CM18" s="319"/>
      <c r="CN18" s="319"/>
      <c r="CO18" s="319"/>
      <c r="CP18" s="319"/>
      <c r="CQ18" s="319"/>
      <c r="CR18" s="319"/>
      <c r="CS18" s="319"/>
      <c r="CT18" s="319"/>
      <c r="CU18" s="319"/>
      <c r="CV18" s="319"/>
      <c r="CW18" s="319"/>
    </row>
    <row r="19" spans="1:101" s="60" customFormat="1" ht="16.5" customHeight="1" x14ac:dyDescent="0.35">
      <c r="A19" s="229"/>
      <c r="B19" s="321" t="s">
        <v>1317</v>
      </c>
      <c r="C19" s="393" t="e">
        <f ca="1">IF($C$7="Befintlig byggnad Alternativ 1",$AG$22,VLOOKUP($C$18,AF16:AG17,2,TRUE))</f>
        <v>#DIV/0!</v>
      </c>
      <c r="D19" s="232" t="s">
        <v>1230</v>
      </c>
      <c r="E19" s="322"/>
      <c r="F19" s="322"/>
      <c r="G19" s="322"/>
      <c r="H19" s="232"/>
      <c r="I19" s="232"/>
      <c r="J19" s="232"/>
      <c r="K19" s="232"/>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c r="BG19" s="319"/>
      <c r="BH19" s="319"/>
      <c r="BI19" s="319"/>
      <c r="BJ19" s="319"/>
      <c r="BK19" s="319"/>
      <c r="BL19" s="319"/>
      <c r="BM19" s="319"/>
      <c r="BN19" s="319"/>
      <c r="BO19" s="319"/>
      <c r="BP19" s="319"/>
      <c r="BQ19" s="319"/>
      <c r="BR19" s="319"/>
      <c r="BS19" s="319"/>
      <c r="BT19" s="319"/>
      <c r="BU19" s="319"/>
      <c r="BV19" s="319"/>
      <c r="BW19" s="319"/>
      <c r="BX19" s="319"/>
      <c r="BY19" s="319"/>
      <c r="BZ19" s="319"/>
      <c r="CA19" s="319"/>
      <c r="CB19" s="319"/>
      <c r="CC19" s="319"/>
      <c r="CD19" s="319"/>
      <c r="CE19" s="319"/>
      <c r="CF19" s="319"/>
      <c r="CG19" s="319"/>
      <c r="CH19" s="319"/>
      <c r="CI19" s="319"/>
      <c r="CJ19" s="319"/>
      <c r="CK19" s="319"/>
      <c r="CL19" s="319"/>
      <c r="CM19" s="319"/>
      <c r="CN19" s="319"/>
      <c r="CO19" s="319"/>
      <c r="CP19" s="319"/>
      <c r="CQ19" s="319"/>
      <c r="CR19" s="319"/>
      <c r="CS19" s="319"/>
      <c r="CT19" s="319"/>
      <c r="CU19" s="319"/>
      <c r="CV19" s="319"/>
      <c r="CW19" s="319"/>
    </row>
    <row r="20" spans="1:101" ht="16.5" customHeight="1" x14ac:dyDescent="0.35">
      <c r="A20" s="60"/>
      <c r="B20" s="55" t="str">
        <f>IF($C$7="Befintlig byggnad Alternativ 1", "Beräknat primärenergital (EPpet) referensår","BBR krav på primärenergital (EPpet)")</f>
        <v>BBR krav på primärenergital (EPpet)</v>
      </c>
      <c r="C20" s="403">
        <f>IF($C$7="Befintlig byggnad Alternativ 1",$AG$24,'Indata byggnad och BBR krav'!$C$35)</f>
        <v>0</v>
      </c>
      <c r="D20" s="232" t="s">
        <v>1230</v>
      </c>
      <c r="E20" s="232"/>
      <c r="F20" s="232"/>
      <c r="G20" s="232"/>
      <c r="H20" s="232"/>
      <c r="I20" s="232"/>
      <c r="J20" s="232"/>
      <c r="K20" s="232"/>
      <c r="L20" s="60"/>
      <c r="M20" s="60"/>
      <c r="N20" s="60"/>
      <c r="O20" s="60"/>
      <c r="P20" s="60"/>
      <c r="Q20" s="60"/>
      <c r="R20" s="60"/>
      <c r="S20" s="60"/>
      <c r="T20" s="60"/>
      <c r="U20" s="60"/>
      <c r="V20" s="60"/>
      <c r="W20" s="60"/>
      <c r="X20" s="60"/>
      <c r="Y20" s="60"/>
      <c r="Z20" s="60"/>
      <c r="AA20" s="60"/>
      <c r="AB20" s="60"/>
      <c r="AC20" s="60"/>
      <c r="AD20" s="60"/>
      <c r="AF20" s="317" t="s">
        <v>1244</v>
      </c>
    </row>
    <row r="21" spans="1:101" ht="16.5" customHeight="1" x14ac:dyDescent="0.25">
      <c r="A21" s="60"/>
      <c r="B21" s="268" t="str">
        <f>IF($C$7="Befintlig byggnad Alternativ 1","Ändring av primärenergital (EPpet), %","Energiklass")</f>
        <v>Energiklass</v>
      </c>
      <c r="C21" s="404" t="e">
        <f ca="1">IF($B$21="Energiklass",(OFFSET(AK6,LOOKUP(C19,AG6:AH12)-1,0)),C19/C20-1)</f>
        <v>#DIV/0!</v>
      </c>
      <c r="D21" s="60"/>
      <c r="E21" s="232"/>
      <c r="F21" s="232"/>
      <c r="G21" s="232"/>
      <c r="H21" s="232"/>
      <c r="I21" s="232"/>
      <c r="J21" s="232"/>
      <c r="K21" s="232"/>
      <c r="L21" s="60"/>
      <c r="M21" s="60"/>
      <c r="N21" s="60"/>
      <c r="O21" s="60"/>
      <c r="AF21" s="311" t="s">
        <v>1420</v>
      </c>
    </row>
    <row r="22" spans="1:101" ht="16.5" customHeight="1" x14ac:dyDescent="0.25">
      <c r="A22" s="60"/>
      <c r="B22" s="268" t="s">
        <v>1223</v>
      </c>
      <c r="C22" s="375" t="e">
        <f ca="1">VLOOKUP($C$7,AJ15:AK17,2,TRUE)</f>
        <v>#DIV/0!</v>
      </c>
      <c r="D22" s="60"/>
      <c r="E22" s="232"/>
      <c r="F22" s="232"/>
      <c r="G22" s="232"/>
      <c r="H22" s="232"/>
      <c r="I22" s="232"/>
      <c r="J22" s="232"/>
      <c r="K22" s="232"/>
      <c r="L22" s="60"/>
      <c r="M22" s="60"/>
      <c r="N22" s="60"/>
      <c r="O22" s="60"/>
      <c r="AF22" s="311" t="s">
        <v>1240</v>
      </c>
      <c r="AG22" s="318" t="e">
        <f ca="1">Mätvärden!$BO$219</f>
        <v>#DIV/0!</v>
      </c>
    </row>
    <row r="23" spans="1:101" ht="15.75" customHeight="1" x14ac:dyDescent="0.25">
      <c r="A23" s="60"/>
      <c r="D23" s="60"/>
      <c r="E23" s="232"/>
      <c r="F23" s="232"/>
      <c r="G23" s="232"/>
      <c r="H23" s="232"/>
      <c r="I23" s="232"/>
      <c r="J23" s="232"/>
      <c r="K23" s="232"/>
      <c r="L23" s="60"/>
      <c r="M23" s="60"/>
      <c r="N23" s="60"/>
      <c r="O23" s="60"/>
      <c r="AF23" s="319" t="s">
        <v>1419</v>
      </c>
      <c r="AG23" s="319"/>
    </row>
    <row r="24" spans="1:101" ht="16.5" customHeight="1" x14ac:dyDescent="0.25">
      <c r="A24" s="60"/>
      <c r="B24" s="500" t="s">
        <v>1431</v>
      </c>
      <c r="C24" s="500"/>
      <c r="D24" s="232"/>
      <c r="E24" s="232"/>
      <c r="F24" s="232"/>
      <c r="G24" s="232"/>
      <c r="H24" s="232"/>
      <c r="I24" s="232"/>
      <c r="J24" s="232"/>
      <c r="K24" s="232"/>
      <c r="L24" s="60"/>
      <c r="M24" s="60"/>
      <c r="AF24" s="311" t="s">
        <v>1240</v>
      </c>
      <c r="AG24" s="323" t="e">
        <f ca="1">'Mätvärden referensår'!$BK$219</f>
        <v>#DIV/0!</v>
      </c>
    </row>
    <row r="25" spans="1:101" ht="16.5" customHeight="1" x14ac:dyDescent="0.35">
      <c r="A25" s="60"/>
      <c r="B25" s="321" t="s">
        <v>1409</v>
      </c>
      <c r="C25" s="405" t="e">
        <f ca="1">IF($C$7="Befintlig byggnad Alternativ 1",$AG$30,$AG$29)</f>
        <v>#DIV/0!</v>
      </c>
      <c r="D25" s="17" t="s">
        <v>1368</v>
      </c>
      <c r="E25" s="232"/>
    </row>
    <row r="26" spans="1:101" ht="16.5" customHeight="1" x14ac:dyDescent="0.25">
      <c r="A26" s="60"/>
      <c r="B26" s="440"/>
      <c r="C26" s="405" t="e">
        <f ca="1">IF($C$7="Befintlig byggnad Alternativ 1",$AH$30,$AH$29)</f>
        <v>#DIV/0!</v>
      </c>
      <c r="D26" s="17" t="s">
        <v>1463</v>
      </c>
      <c r="E26" s="232"/>
    </row>
    <row r="27" spans="1:101" ht="16.5" customHeight="1" x14ac:dyDescent="0.25">
      <c r="B27" s="440"/>
      <c r="C27" s="405" t="e">
        <f ca="1">IF($C$7="Befintlig byggnad Alternativ 1",$AI$30,$AI$29)</f>
        <v>#DIV/0!</v>
      </c>
      <c r="D27" s="17" t="s">
        <v>1465</v>
      </c>
      <c r="E27" s="232"/>
    </row>
    <row r="28" spans="1:101" ht="29.25" customHeight="1" x14ac:dyDescent="0.25">
      <c r="B28" s="60"/>
      <c r="C28" s="60"/>
      <c r="D28" s="60"/>
      <c r="E28" s="232"/>
      <c r="AF28" s="311" t="s">
        <v>1407</v>
      </c>
      <c r="AG28" s="436" t="s">
        <v>1462</v>
      </c>
      <c r="AH28" s="434" t="s">
        <v>1463</v>
      </c>
      <c r="AI28" s="434" t="s">
        <v>1464</v>
      </c>
    </row>
    <row r="29" spans="1:101" ht="15" customHeight="1" x14ac:dyDescent="0.35">
      <c r="B29" s="321" t="s">
        <v>1427</v>
      </c>
      <c r="C29" s="441" t="str">
        <f>IF($C$7="Befintlig byggnad Alternativ 1",$AG$31,"")</f>
        <v/>
      </c>
      <c r="D29" s="229" t="s">
        <v>1368</v>
      </c>
      <c r="E29" s="232"/>
      <c r="F29" s="324"/>
      <c r="G29" s="324"/>
      <c r="AF29" s="317" t="s">
        <v>1408</v>
      </c>
      <c r="AG29" s="435" t="e">
        <f ca="1">Mätvärden!$BK$228</f>
        <v>#DIV/0!</v>
      </c>
      <c r="AH29" s="435" t="e">
        <f ca="1">Mätvärden!$BK$239</f>
        <v>#DIV/0!</v>
      </c>
      <c r="AI29" s="435" t="e">
        <f ca="1">Mätvärden!$BK$250</f>
        <v>#DIV/0!</v>
      </c>
      <c r="AJ29" s="229"/>
    </row>
    <row r="30" spans="1:101" ht="15" customHeight="1" x14ac:dyDescent="0.25">
      <c r="B30" s="440"/>
      <c r="C30" s="441" t="str">
        <f>IF($C$7="Befintlig byggnad Alternativ 1",$AH$31,"")</f>
        <v/>
      </c>
      <c r="D30" s="229" t="s">
        <v>1463</v>
      </c>
      <c r="E30" s="232"/>
      <c r="F30" s="324"/>
      <c r="G30" s="324"/>
      <c r="AF30" s="317" t="s">
        <v>1244</v>
      </c>
      <c r="AG30" s="435" t="e">
        <f ca="1">Mätvärden!$BO$228</f>
        <v>#DIV/0!</v>
      </c>
      <c r="AH30" s="435" t="e">
        <f ca="1">Mätvärden!$BO$239</f>
        <v>#DIV/0!</v>
      </c>
      <c r="AI30" s="435" t="e">
        <f ca="1">Mätvärden!$BO$250</f>
        <v>#DIV/0!</v>
      </c>
      <c r="AJ30" s="229"/>
    </row>
    <row r="31" spans="1:101" ht="15" customHeight="1" x14ac:dyDescent="0.25">
      <c r="B31" s="440"/>
      <c r="C31" s="441" t="str">
        <f>IF($C$7="Befintlig byggnad Alternativ 1",$AI$31,"")</f>
        <v/>
      </c>
      <c r="D31" s="229" t="s">
        <v>1465</v>
      </c>
      <c r="E31" s="232"/>
      <c r="F31" s="324"/>
      <c r="G31" s="324"/>
      <c r="AF31" s="320" t="s">
        <v>1335</v>
      </c>
      <c r="AG31" s="435" t="e">
        <f ca="1">'Mätvärden referensår'!$BK$228</f>
        <v>#DIV/0!</v>
      </c>
      <c r="AH31" s="435" t="e">
        <f ca="1">'Mätvärden referensår'!$BK$239</f>
        <v>#DIV/0!</v>
      </c>
      <c r="AI31" s="435" t="e">
        <f ca="1">'Mätvärden referensår'!$BK$250</f>
        <v>#DIV/0!</v>
      </c>
      <c r="AJ31" s="229"/>
    </row>
    <row r="32" spans="1:101" ht="15" customHeight="1" x14ac:dyDescent="0.25">
      <c r="E32" s="325"/>
      <c r="F32" s="173"/>
      <c r="G32" s="325"/>
    </row>
    <row r="33" spans="1:43" ht="15" customHeight="1" x14ac:dyDescent="0.25">
      <c r="B33" s="535" t="s">
        <v>1412</v>
      </c>
      <c r="C33" s="537"/>
      <c r="D33" s="536"/>
      <c r="E33" s="326"/>
      <c r="F33" s="535" t="s">
        <v>1413</v>
      </c>
      <c r="G33" s="536"/>
      <c r="I33" s="401" t="s">
        <v>1414</v>
      </c>
      <c r="J33" s="408"/>
      <c r="K33" s="408"/>
      <c r="L33" s="408"/>
      <c r="M33" s="409"/>
    </row>
    <row r="34" spans="1:43" ht="15" customHeight="1" x14ac:dyDescent="0.35">
      <c r="B34" s="327"/>
      <c r="C34" s="328" t="s">
        <v>1144</v>
      </c>
      <c r="D34" s="329" t="s">
        <v>1145</v>
      </c>
      <c r="E34" s="330"/>
      <c r="F34" s="331" t="s">
        <v>1320</v>
      </c>
      <c r="G34" s="375" t="s">
        <v>1205</v>
      </c>
      <c r="I34" s="533" t="s">
        <v>1415</v>
      </c>
      <c r="J34" s="533"/>
      <c r="K34" s="533"/>
      <c r="L34" s="533"/>
      <c r="M34" s="533"/>
    </row>
    <row r="35" spans="1:43" ht="15" customHeight="1" x14ac:dyDescent="0.25">
      <c r="B35" s="332" t="s">
        <v>1425</v>
      </c>
      <c r="C35" s="326" t="s">
        <v>1146</v>
      </c>
      <c r="D35" s="333" t="s">
        <v>1146</v>
      </c>
      <c r="E35" s="334"/>
      <c r="F35" s="331" t="s">
        <v>1321</v>
      </c>
      <c r="G35" s="375" t="e">
        <f ca="1">IF(Mätvärden!$BO$12=1,"NEJ","JA")</f>
        <v>#DIV/0!</v>
      </c>
      <c r="I35" s="212" t="s">
        <v>19</v>
      </c>
      <c r="J35" s="335" t="s">
        <v>1308</v>
      </c>
      <c r="K35" s="335" t="s">
        <v>1309</v>
      </c>
      <c r="L35" s="335" t="s">
        <v>1310</v>
      </c>
      <c r="M35" s="335" t="s">
        <v>1078</v>
      </c>
    </row>
    <row r="36" spans="1:43" ht="15" customHeight="1" x14ac:dyDescent="0.25">
      <c r="B36" s="55" t="s">
        <v>1219</v>
      </c>
      <c r="C36" s="406" t="e">
        <f ca="1">Mätvärden!$AE$209</f>
        <v>#DIV/0!</v>
      </c>
      <c r="D36" s="407" t="e">
        <f ca="1">IF($C$7="Befintlig byggnad Alternativ 1",Mätvärden!$BO$210,Mätvärden!$BK$210)</f>
        <v>#DIV/0!</v>
      </c>
      <c r="E36" s="330"/>
      <c r="F36" s="331" t="s">
        <v>1324</v>
      </c>
      <c r="G36" s="375" t="str">
        <f>IF(Mätvärden!$BD$169="Ja","JA","NEJ")</f>
        <v>NEJ</v>
      </c>
      <c r="I36" s="336" t="s">
        <v>1061</v>
      </c>
      <c r="J36" s="403" t="e">
        <f t="shared" ref="J36:J47" ca="1" si="2">VLOOKUP(I36,$AL$39:$AP$50,2,FALSE)</f>
        <v>#DIV/0!</v>
      </c>
      <c r="K36" s="403" t="e">
        <f t="shared" ref="K36:K47" ca="1" si="3">VLOOKUP(I36,$AL$39:$AP$50,3,FALSE)</f>
        <v>#DIV/0!</v>
      </c>
      <c r="L36" s="403" t="e">
        <f t="shared" ref="L36:L47" ca="1" si="4">VLOOKUP(I36,$AL$39:$AP$50,4,FALSE)</f>
        <v>#DIV/0!</v>
      </c>
      <c r="M36" s="403" t="e">
        <f t="shared" ref="M36:M47" ca="1" si="5">VLOOKUP(I36,$AL$39:$AP$50,5,FALSE)</f>
        <v>#DIV/0!</v>
      </c>
    </row>
    <row r="37" spans="1:43" ht="15" customHeight="1" x14ac:dyDescent="0.25">
      <c r="B37" s="337" t="s">
        <v>29</v>
      </c>
      <c r="C37" s="334"/>
      <c r="D37" s="338"/>
      <c r="E37" s="330"/>
      <c r="F37" s="331" t="s">
        <v>1322</v>
      </c>
      <c r="G37" s="375" t="str">
        <f>IF(Mätvärden!$CK$11&gt;0,"JA","NEJ")</f>
        <v>NEJ</v>
      </c>
      <c r="I37" s="339" t="s">
        <v>1062</v>
      </c>
      <c r="J37" s="403" t="e">
        <f t="shared" ca="1" si="2"/>
        <v>#DIV/0!</v>
      </c>
      <c r="K37" s="403" t="e">
        <f t="shared" ca="1" si="3"/>
        <v>#DIV/0!</v>
      </c>
      <c r="L37" s="403" t="e">
        <f t="shared" ca="1" si="4"/>
        <v>#DIV/0!</v>
      </c>
      <c r="M37" s="403" t="e">
        <f t="shared" ca="1" si="5"/>
        <v>#DIV/0!</v>
      </c>
      <c r="AF37" s="319"/>
      <c r="AG37" s="319" t="s">
        <v>1132</v>
      </c>
      <c r="AH37" s="319"/>
      <c r="AI37" s="319"/>
      <c r="AJ37" s="319"/>
      <c r="AK37" s="319"/>
      <c r="AL37" s="319"/>
      <c r="AM37" s="319" t="s">
        <v>1315</v>
      </c>
      <c r="AN37" s="319"/>
      <c r="AO37" s="319"/>
      <c r="AP37" s="319"/>
      <c r="AQ37" s="319"/>
    </row>
    <row r="38" spans="1:43" ht="15" customHeight="1" x14ac:dyDescent="0.25">
      <c r="B38" s="286" t="s">
        <v>22</v>
      </c>
      <c r="C38" s="407" t="e">
        <f ca="1">Mätvärden!$AE$211</f>
        <v>#DIV/0!</v>
      </c>
      <c r="D38" s="407" t="e">
        <f ca="1">IF($C$7="Befintlig byggnad Alternativ 1",Mätvärden!$BO$212,Mätvärden!$BK$212)</f>
        <v>#DIV/0!</v>
      </c>
      <c r="E38" s="330"/>
      <c r="F38" s="331" t="s">
        <v>1323</v>
      </c>
      <c r="G38" s="375" t="s">
        <v>1205</v>
      </c>
      <c r="I38" s="339" t="s">
        <v>1063</v>
      </c>
      <c r="J38" s="403" t="e">
        <f t="shared" ca="1" si="2"/>
        <v>#DIV/0!</v>
      </c>
      <c r="K38" s="403" t="e">
        <f t="shared" ca="1" si="3"/>
        <v>#DIV/0!</v>
      </c>
      <c r="L38" s="403" t="e">
        <f t="shared" ca="1" si="4"/>
        <v>#DIV/0!</v>
      </c>
      <c r="M38" s="403" t="e">
        <f t="shared" ca="1" si="5"/>
        <v>#DIV/0!</v>
      </c>
      <c r="AF38" s="340" t="s">
        <v>19</v>
      </c>
      <c r="AG38" s="340" t="s">
        <v>1308</v>
      </c>
      <c r="AH38" s="340" t="s">
        <v>1309</v>
      </c>
      <c r="AI38" s="340" t="s">
        <v>1310</v>
      </c>
      <c r="AJ38" s="340" t="s">
        <v>1078</v>
      </c>
      <c r="AL38" s="340" t="s">
        <v>19</v>
      </c>
      <c r="AM38" s="340" t="s">
        <v>1308</v>
      </c>
      <c r="AN38" s="340" t="s">
        <v>1309</v>
      </c>
      <c r="AO38" s="340" t="s">
        <v>1310</v>
      </c>
      <c r="AP38" s="340" t="s">
        <v>1078</v>
      </c>
    </row>
    <row r="39" spans="1:43" ht="15" customHeight="1" x14ac:dyDescent="0.25">
      <c r="B39" s="286" t="s">
        <v>23</v>
      </c>
      <c r="C39" s="407" t="e">
        <f>Mätvärden!$AE$212</f>
        <v>#DIV/0!</v>
      </c>
      <c r="D39" s="407" t="e">
        <f>IF($C$7="Befintlig byggnad Alternativ 1",Mätvärden!$BO$213,Mätvärden!$BK$213)</f>
        <v>#DIV/0!</v>
      </c>
      <c r="E39" s="330"/>
      <c r="F39" s="547" t="s">
        <v>1325</v>
      </c>
      <c r="G39" s="547"/>
      <c r="I39" s="339" t="s">
        <v>1064</v>
      </c>
      <c r="J39" s="403" t="e">
        <f t="shared" ca="1" si="2"/>
        <v>#DIV/0!</v>
      </c>
      <c r="K39" s="403" t="e">
        <f t="shared" ca="1" si="3"/>
        <v>#DIV/0!</v>
      </c>
      <c r="L39" s="403" t="e">
        <f t="shared" ca="1" si="4"/>
        <v>#DIV/0!</v>
      </c>
      <c r="M39" s="403" t="e">
        <f t="shared" ca="1" si="5"/>
        <v>#DIV/0!</v>
      </c>
      <c r="AF39" s="340" t="str">
        <f ca="1">Mätvärden!G19</f>
        <v>jan</v>
      </c>
      <c r="AG39" s="341" t="e">
        <f ca="1">Mätvärden!AU19+Mätvärden!AO105</f>
        <v>#DIV/0!</v>
      </c>
      <c r="AH39" s="341">
        <f>Mätvärden!AU44</f>
        <v>0</v>
      </c>
      <c r="AI39" s="341">
        <f>Mätvärden!AF82</f>
        <v>0</v>
      </c>
      <c r="AJ39" s="341">
        <f>Mätvärden!AJ105</f>
        <v>0</v>
      </c>
      <c r="AL39" s="340" t="str">
        <f ca="1">AF39</f>
        <v>jan</v>
      </c>
      <c r="AM39" s="341" t="e">
        <f ca="1">AG39*1000/'Indata byggnad och BBR krav'!$C$16</f>
        <v>#DIV/0!</v>
      </c>
      <c r="AN39" s="341" t="e">
        <f>AH39*1000/'Indata byggnad och BBR krav'!$C$16</f>
        <v>#DIV/0!</v>
      </c>
      <c r="AO39" s="341" t="e">
        <f>AI39*1000/'Indata byggnad och BBR krav'!$C$16</f>
        <v>#DIV/0!</v>
      </c>
      <c r="AP39" s="341" t="e">
        <f>AJ39*1000/'Indata byggnad och BBR krav'!$C$16</f>
        <v>#DIV/0!</v>
      </c>
      <c r="AQ39" s="318"/>
    </row>
    <row r="40" spans="1:43" ht="15" customHeight="1" x14ac:dyDescent="0.25">
      <c r="B40" s="286" t="s">
        <v>24</v>
      </c>
      <c r="C40" s="407" t="e">
        <f>Mätvärden!$AE$213</f>
        <v>#DIV/0!</v>
      </c>
      <c r="D40" s="407" t="e">
        <f>IF($C$7="Befintlig byggnad Alternativ 1",Mätvärden!$BO$214,Mätvärden!$BK$214)</f>
        <v>#DIV/0!</v>
      </c>
      <c r="F40" s="541"/>
      <c r="G40" s="542"/>
      <c r="I40" s="339" t="s">
        <v>1065</v>
      </c>
      <c r="J40" s="403" t="e">
        <f t="shared" ca="1" si="2"/>
        <v>#DIV/0!</v>
      </c>
      <c r="K40" s="403" t="e">
        <f t="shared" ca="1" si="3"/>
        <v>#DIV/0!</v>
      </c>
      <c r="L40" s="403" t="e">
        <f t="shared" ca="1" si="4"/>
        <v>#DIV/0!</v>
      </c>
      <c r="M40" s="403" t="e">
        <f t="shared" ca="1" si="5"/>
        <v>#DIV/0!</v>
      </c>
      <c r="AF40" s="340" t="str">
        <f ca="1">Mätvärden!G20</f>
        <v>feb</v>
      </c>
      <c r="AG40" s="341" t="e">
        <f ca="1">Mätvärden!AU20+Mätvärden!AO106</f>
        <v>#DIV/0!</v>
      </c>
      <c r="AH40" s="341">
        <f>Mätvärden!AU45</f>
        <v>0</v>
      </c>
      <c r="AI40" s="341">
        <f>Mätvärden!AF83</f>
        <v>0</v>
      </c>
      <c r="AJ40" s="341">
        <f>Mätvärden!AJ106</f>
        <v>0</v>
      </c>
      <c r="AL40" s="340" t="str">
        <f t="shared" ref="AL40:AL50" ca="1" si="6">AF40</f>
        <v>feb</v>
      </c>
      <c r="AM40" s="341" t="e">
        <f ca="1">AG40*1000/'Indata byggnad och BBR krav'!$C$16</f>
        <v>#DIV/0!</v>
      </c>
      <c r="AN40" s="341" t="e">
        <f>AH40*1000/'Indata byggnad och BBR krav'!$C$16</f>
        <v>#DIV/0!</v>
      </c>
      <c r="AO40" s="341" t="e">
        <f>AI40*1000/'Indata byggnad och BBR krav'!$C$16</f>
        <v>#DIV/0!</v>
      </c>
      <c r="AP40" s="341" t="e">
        <f>AJ40*1000/'Indata byggnad och BBR krav'!$C$16</f>
        <v>#DIV/0!</v>
      </c>
    </row>
    <row r="41" spans="1:43" ht="15" customHeight="1" x14ac:dyDescent="0.25">
      <c r="B41" s="286" t="s">
        <v>1078</v>
      </c>
      <c r="C41" s="407" t="e">
        <f>Mätvärden!$AE$214</f>
        <v>#DIV/0!</v>
      </c>
      <c r="D41" s="407" t="e">
        <f>IF($C$7="Befintlig byggnad Alternativ 1",Mätvärden!$BO$215,Mätvärden!$BK$215)</f>
        <v>#DIV/0!</v>
      </c>
      <c r="F41" s="543"/>
      <c r="G41" s="544"/>
      <c r="I41" s="339" t="s">
        <v>1066</v>
      </c>
      <c r="J41" s="403" t="e">
        <f t="shared" ca="1" si="2"/>
        <v>#DIV/0!</v>
      </c>
      <c r="K41" s="403" t="e">
        <f t="shared" ca="1" si="3"/>
        <v>#DIV/0!</v>
      </c>
      <c r="L41" s="403" t="e">
        <f t="shared" ca="1" si="4"/>
        <v>#DIV/0!</v>
      </c>
      <c r="M41" s="403" t="e">
        <f t="shared" ca="1" si="5"/>
        <v>#DIV/0!</v>
      </c>
      <c r="AF41" s="340" t="str">
        <f ca="1">Mätvärden!G21</f>
        <v>mars</v>
      </c>
      <c r="AG41" s="341" t="e">
        <f ca="1">Mätvärden!AU21+Mätvärden!AO107</f>
        <v>#DIV/0!</v>
      </c>
      <c r="AH41" s="341">
        <f>Mätvärden!AU46</f>
        <v>0</v>
      </c>
      <c r="AI41" s="341">
        <f>Mätvärden!AF84</f>
        <v>0</v>
      </c>
      <c r="AJ41" s="341">
        <f>Mätvärden!AJ107</f>
        <v>0</v>
      </c>
      <c r="AL41" s="340" t="str">
        <f t="shared" ca="1" si="6"/>
        <v>mars</v>
      </c>
      <c r="AM41" s="341" t="e">
        <f ca="1">AG41*1000/'Indata byggnad och BBR krav'!$C$16</f>
        <v>#DIV/0!</v>
      </c>
      <c r="AN41" s="341" t="e">
        <f>AH41*1000/'Indata byggnad och BBR krav'!$C$16</f>
        <v>#DIV/0!</v>
      </c>
      <c r="AO41" s="341" t="e">
        <f>AI41*1000/'Indata byggnad och BBR krav'!$C$16</f>
        <v>#DIV/0!</v>
      </c>
      <c r="AP41" s="341" t="e">
        <f>AJ41*1000/'Indata byggnad och BBR krav'!$C$16</f>
        <v>#DIV/0!</v>
      </c>
    </row>
    <row r="42" spans="1:43" ht="15" customHeight="1" x14ac:dyDescent="0.25">
      <c r="F42" s="543"/>
      <c r="G42" s="544"/>
      <c r="I42" s="339" t="s">
        <v>1067</v>
      </c>
      <c r="J42" s="403" t="e">
        <f t="shared" ca="1" si="2"/>
        <v>#DIV/0!</v>
      </c>
      <c r="K42" s="403" t="e">
        <f t="shared" ca="1" si="3"/>
        <v>#DIV/0!</v>
      </c>
      <c r="L42" s="403" t="e">
        <f t="shared" ca="1" si="4"/>
        <v>#DIV/0!</v>
      </c>
      <c r="M42" s="403" t="e">
        <f t="shared" ca="1" si="5"/>
        <v>#DIV/0!</v>
      </c>
      <c r="AF42" s="340" t="str">
        <f ca="1">Mätvärden!G22</f>
        <v>apr</v>
      </c>
      <c r="AG42" s="341" t="e">
        <f ca="1">Mätvärden!AU22+Mätvärden!AO108</f>
        <v>#DIV/0!</v>
      </c>
      <c r="AH42" s="341">
        <f>Mätvärden!AU47</f>
        <v>0</v>
      </c>
      <c r="AI42" s="341">
        <f>Mätvärden!AF85</f>
        <v>0</v>
      </c>
      <c r="AJ42" s="341">
        <f>Mätvärden!AJ108</f>
        <v>0</v>
      </c>
      <c r="AL42" s="340" t="str">
        <f t="shared" ca="1" si="6"/>
        <v>apr</v>
      </c>
      <c r="AM42" s="341" t="e">
        <f ca="1">AG42*1000/'Indata byggnad och BBR krav'!$C$16</f>
        <v>#DIV/0!</v>
      </c>
      <c r="AN42" s="341" t="e">
        <f>AH42*1000/'Indata byggnad och BBR krav'!$C$16</f>
        <v>#DIV/0!</v>
      </c>
      <c r="AO42" s="341" t="e">
        <f>AI42*1000/'Indata byggnad och BBR krav'!$C$16</f>
        <v>#DIV/0!</v>
      </c>
      <c r="AP42" s="341" t="e">
        <f>AJ42*1000/'Indata byggnad och BBR krav'!$C$16</f>
        <v>#DIV/0!</v>
      </c>
    </row>
    <row r="43" spans="1:43" ht="15" customHeight="1" x14ac:dyDescent="0.35">
      <c r="B43" s="535" t="s">
        <v>1458</v>
      </c>
      <c r="C43" s="537"/>
      <c r="D43" s="536"/>
      <c r="F43" s="543"/>
      <c r="G43" s="544"/>
      <c r="I43" s="339" t="s">
        <v>1068</v>
      </c>
      <c r="J43" s="403" t="e">
        <f t="shared" ca="1" si="2"/>
        <v>#DIV/0!</v>
      </c>
      <c r="K43" s="403" t="e">
        <f t="shared" ca="1" si="3"/>
        <v>#DIV/0!</v>
      </c>
      <c r="L43" s="403" t="e">
        <f t="shared" ca="1" si="4"/>
        <v>#DIV/0!</v>
      </c>
      <c r="M43" s="403" t="e">
        <f t="shared" ca="1" si="5"/>
        <v>#DIV/0!</v>
      </c>
      <c r="AF43" s="340" t="str">
        <f ca="1">Mätvärden!G23</f>
        <v>maj</v>
      </c>
      <c r="AG43" s="341" t="e">
        <f ca="1">Mätvärden!AU23+Mätvärden!AO109</f>
        <v>#DIV/0!</v>
      </c>
      <c r="AH43" s="341">
        <f>Mätvärden!AU48</f>
        <v>0</v>
      </c>
      <c r="AI43" s="341">
        <f>Mätvärden!AF86</f>
        <v>0</v>
      </c>
      <c r="AJ43" s="341">
        <f>Mätvärden!AJ109</f>
        <v>0</v>
      </c>
      <c r="AL43" s="340" t="str">
        <f t="shared" ca="1" si="6"/>
        <v>maj</v>
      </c>
      <c r="AM43" s="341" t="e">
        <f ca="1">AG43*1000/'Indata byggnad och BBR krav'!$C$16</f>
        <v>#DIV/0!</v>
      </c>
      <c r="AN43" s="341" t="e">
        <f>AH43*1000/'Indata byggnad och BBR krav'!$C$16</f>
        <v>#DIV/0!</v>
      </c>
      <c r="AO43" s="341" t="e">
        <f>AI43*1000/'Indata byggnad och BBR krav'!$C$16</f>
        <v>#DIV/0!</v>
      </c>
      <c r="AP43" s="341" t="e">
        <f>AJ43*1000/'Indata byggnad och BBR krav'!$C$16</f>
        <v>#DIV/0!</v>
      </c>
    </row>
    <row r="44" spans="1:43" ht="14.25" customHeight="1" x14ac:dyDescent="0.25">
      <c r="B44" s="327"/>
      <c r="C44" s="328" t="s">
        <v>1144</v>
      </c>
      <c r="D44" s="329" t="s">
        <v>1145</v>
      </c>
      <c r="F44" s="543"/>
      <c r="G44" s="544"/>
      <c r="I44" s="339" t="s">
        <v>1069</v>
      </c>
      <c r="J44" s="403" t="e">
        <f t="shared" ca="1" si="2"/>
        <v>#DIV/0!</v>
      </c>
      <c r="K44" s="403" t="e">
        <f t="shared" ca="1" si="3"/>
        <v>#DIV/0!</v>
      </c>
      <c r="L44" s="403" t="e">
        <f t="shared" ca="1" si="4"/>
        <v>#DIV/0!</v>
      </c>
      <c r="M44" s="403" t="e">
        <f t="shared" ca="1" si="5"/>
        <v>#DIV/0!</v>
      </c>
      <c r="O44" s="231"/>
      <c r="P44" s="231"/>
      <c r="Q44" s="231"/>
      <c r="R44" s="231"/>
      <c r="S44" s="231"/>
      <c r="T44" s="231"/>
      <c r="U44" s="231"/>
      <c r="V44" s="231"/>
      <c r="W44" s="231"/>
      <c r="X44" s="231"/>
      <c r="Y44" s="231"/>
      <c r="Z44" s="231"/>
      <c r="AA44" s="231"/>
      <c r="AB44" s="231"/>
      <c r="AC44" s="231"/>
      <c r="AD44" s="231"/>
      <c r="AF44" s="340" t="str">
        <f ca="1">Mätvärden!G24</f>
        <v xml:space="preserve">jun </v>
      </c>
      <c r="AG44" s="341" t="e">
        <f ca="1">Mätvärden!AU24+Mätvärden!AO110</f>
        <v>#DIV/0!</v>
      </c>
      <c r="AH44" s="341">
        <f>Mätvärden!AU49</f>
        <v>0</v>
      </c>
      <c r="AI44" s="341">
        <f>Mätvärden!AF87</f>
        <v>0</v>
      </c>
      <c r="AJ44" s="341">
        <f>Mätvärden!AJ110</f>
        <v>0</v>
      </c>
      <c r="AL44" s="340" t="str">
        <f t="shared" ca="1" si="6"/>
        <v xml:space="preserve">jun </v>
      </c>
      <c r="AM44" s="341" t="e">
        <f ca="1">AG44*1000/'Indata byggnad och BBR krav'!$C$16</f>
        <v>#DIV/0!</v>
      </c>
      <c r="AN44" s="341" t="e">
        <f>AH44*1000/'Indata byggnad och BBR krav'!$C$16</f>
        <v>#DIV/0!</v>
      </c>
      <c r="AO44" s="341" t="e">
        <f>AI44*1000/'Indata byggnad och BBR krav'!$C$16</f>
        <v>#DIV/0!</v>
      </c>
      <c r="AP44" s="341" t="e">
        <f>AJ44*1000/'Indata byggnad och BBR krav'!$C$16</f>
        <v>#DIV/0!</v>
      </c>
    </row>
    <row r="45" spans="1:43" ht="15.75" customHeight="1" x14ac:dyDescent="0.25">
      <c r="B45" s="332" t="s">
        <v>1426</v>
      </c>
      <c r="C45" s="326" t="s">
        <v>1146</v>
      </c>
      <c r="D45" s="333" t="s">
        <v>1146</v>
      </c>
      <c r="F45" s="543"/>
      <c r="G45" s="544"/>
      <c r="I45" s="339" t="s">
        <v>1070</v>
      </c>
      <c r="J45" s="403" t="e">
        <f t="shared" ca="1" si="2"/>
        <v>#DIV/0!</v>
      </c>
      <c r="K45" s="403" t="e">
        <f t="shared" ca="1" si="3"/>
        <v>#DIV/0!</v>
      </c>
      <c r="L45" s="403" t="e">
        <f t="shared" ca="1" si="4"/>
        <v>#DIV/0!</v>
      </c>
      <c r="M45" s="403" t="e">
        <f t="shared" ca="1" si="5"/>
        <v>#DIV/0!</v>
      </c>
      <c r="AF45" s="340" t="str">
        <f ca="1">Mätvärden!G25</f>
        <v>jul</v>
      </c>
      <c r="AG45" s="341" t="e">
        <f ca="1">Mätvärden!AU25+Mätvärden!AO111</f>
        <v>#DIV/0!</v>
      </c>
      <c r="AH45" s="341">
        <f>Mätvärden!AU50</f>
        <v>0</v>
      </c>
      <c r="AI45" s="341">
        <f>Mätvärden!AF88</f>
        <v>0</v>
      </c>
      <c r="AJ45" s="341">
        <f>Mätvärden!AJ111</f>
        <v>0</v>
      </c>
      <c r="AL45" s="340" t="str">
        <f t="shared" ca="1" si="6"/>
        <v>jul</v>
      </c>
      <c r="AM45" s="341" t="e">
        <f ca="1">AG45*1000/'Indata byggnad och BBR krav'!$C$16</f>
        <v>#DIV/0!</v>
      </c>
      <c r="AN45" s="341" t="e">
        <f>AH45*1000/'Indata byggnad och BBR krav'!$C$16</f>
        <v>#DIV/0!</v>
      </c>
      <c r="AO45" s="341" t="e">
        <f>AI45*1000/'Indata byggnad och BBR krav'!$C$16</f>
        <v>#DIV/0!</v>
      </c>
      <c r="AP45" s="341" t="e">
        <f>AJ45*1000/'Indata byggnad och BBR krav'!$C$16</f>
        <v>#DIV/0!</v>
      </c>
    </row>
    <row r="46" spans="1:43" ht="15.75" customHeight="1" x14ac:dyDescent="0.25">
      <c r="A46" s="231"/>
      <c r="B46" s="286" t="str">
        <f>IF('Indata byggnad och BBR krav'!C17&gt;0,"Hushållsenergi","Hushållsenergi (Finns ej)")</f>
        <v>Hushållsenergi (Finns ej)</v>
      </c>
      <c r="C46" s="403" t="str">
        <f>IF(AND('Indata byggnad och BBR krav'!$C$17&gt;0,Mätvärden!$BD$166&gt;0),Mätvärden!$BD$166,"-")</f>
        <v>-</v>
      </c>
      <c r="D46" s="375" t="str">
        <f>IF(Resultat!$C$46="-","-",Mätvärden!$BD$167)</f>
        <v>-</v>
      </c>
      <c r="F46" s="543"/>
      <c r="G46" s="544"/>
      <c r="I46" s="339" t="s">
        <v>1071</v>
      </c>
      <c r="J46" s="403" t="e">
        <f t="shared" ca="1" si="2"/>
        <v>#DIV/0!</v>
      </c>
      <c r="K46" s="403" t="e">
        <f t="shared" ca="1" si="3"/>
        <v>#DIV/0!</v>
      </c>
      <c r="L46" s="403" t="e">
        <f t="shared" ca="1" si="4"/>
        <v>#DIV/0!</v>
      </c>
      <c r="M46" s="403" t="e">
        <f t="shared" ca="1" si="5"/>
        <v>#DIV/0!</v>
      </c>
      <c r="AF46" s="340" t="str">
        <f ca="1">Mätvärden!G26</f>
        <v>aug</v>
      </c>
      <c r="AG46" s="341" t="e">
        <f ca="1">Mätvärden!AU26+Mätvärden!AO112</f>
        <v>#DIV/0!</v>
      </c>
      <c r="AH46" s="341">
        <f>Mätvärden!AU51</f>
        <v>0</v>
      </c>
      <c r="AI46" s="341">
        <f>Mätvärden!AF89</f>
        <v>0</v>
      </c>
      <c r="AJ46" s="341">
        <f>Mätvärden!AJ112</f>
        <v>0</v>
      </c>
      <c r="AL46" s="340" t="str">
        <f t="shared" ca="1" si="6"/>
        <v>aug</v>
      </c>
      <c r="AM46" s="341" t="e">
        <f ca="1">AG46*1000/'Indata byggnad och BBR krav'!$C$16</f>
        <v>#DIV/0!</v>
      </c>
      <c r="AN46" s="341" t="e">
        <f>AH46*1000/'Indata byggnad och BBR krav'!$C$16</f>
        <v>#DIV/0!</v>
      </c>
      <c r="AO46" s="341" t="e">
        <f>AI46*1000/'Indata byggnad och BBR krav'!$C$16</f>
        <v>#DIV/0!</v>
      </c>
      <c r="AP46" s="341" t="e">
        <f>AJ46*1000/'Indata byggnad och BBR krav'!$C$16</f>
        <v>#DIV/0!</v>
      </c>
    </row>
    <row r="47" spans="1:43" ht="15.75" customHeight="1" x14ac:dyDescent="0.25">
      <c r="B47" s="297" t="str">
        <f>IF('Indata byggnad och BBR krav'!C18&gt;0,"Verksamhetsenergi","Verksamhetsenergi (Finns ej)")</f>
        <v>Verksamhetsenergi (Finns ej)</v>
      </c>
      <c r="C47" s="403" t="str">
        <f>IF(AND('Indata byggnad och BBR krav'!$C$18&gt;0,Mätvärden!$AB$165&gt;0),Mätvärden!$AB$165,"-")</f>
        <v>-</v>
      </c>
      <c r="D47" s="375" t="s">
        <v>1376</v>
      </c>
      <c r="F47" s="545"/>
      <c r="G47" s="546"/>
      <c r="I47" s="339" t="s">
        <v>1072</v>
      </c>
      <c r="J47" s="403" t="e">
        <f t="shared" ca="1" si="2"/>
        <v>#DIV/0!</v>
      </c>
      <c r="K47" s="403" t="e">
        <f t="shared" ca="1" si="3"/>
        <v>#DIV/0!</v>
      </c>
      <c r="L47" s="403" t="e">
        <f t="shared" ca="1" si="4"/>
        <v>#DIV/0!</v>
      </c>
      <c r="M47" s="403" t="e">
        <f t="shared" ca="1" si="5"/>
        <v>#DIV/0!</v>
      </c>
      <c r="AF47" s="340" t="str">
        <f ca="1">Mätvärden!G27</f>
        <v>sept</v>
      </c>
      <c r="AG47" s="341" t="e">
        <f ca="1">Mätvärden!AU27+Mätvärden!AO113</f>
        <v>#DIV/0!</v>
      </c>
      <c r="AH47" s="341">
        <f>Mätvärden!AU52</f>
        <v>0</v>
      </c>
      <c r="AI47" s="341">
        <f>Mätvärden!AF90</f>
        <v>0</v>
      </c>
      <c r="AJ47" s="341">
        <f>Mätvärden!AJ113</f>
        <v>0</v>
      </c>
      <c r="AL47" s="340" t="str">
        <f t="shared" ca="1" si="6"/>
        <v>sept</v>
      </c>
      <c r="AM47" s="341" t="e">
        <f ca="1">AG47*1000/'Indata byggnad och BBR krav'!$C$16</f>
        <v>#DIV/0!</v>
      </c>
      <c r="AN47" s="341" t="e">
        <f>AH47*1000/'Indata byggnad och BBR krav'!$C$16</f>
        <v>#DIV/0!</v>
      </c>
      <c r="AO47" s="341" t="e">
        <f>AI47*1000/'Indata byggnad och BBR krav'!$C$16</f>
        <v>#DIV/0!</v>
      </c>
      <c r="AP47" s="341" t="e">
        <f>AJ47*1000/'Indata byggnad och BBR krav'!$C$16</f>
        <v>#DIV/0!</v>
      </c>
    </row>
    <row r="48" spans="1:43" ht="15.75" customHeight="1" x14ac:dyDescent="0.25">
      <c r="B48" s="232"/>
      <c r="C48" s="344"/>
      <c r="D48" s="37"/>
      <c r="F48" s="345"/>
      <c r="G48" s="345"/>
      <c r="H48" s="231"/>
      <c r="I48" s="37"/>
      <c r="J48" s="344"/>
      <c r="K48" s="344"/>
      <c r="L48" s="344"/>
      <c r="M48" s="344"/>
      <c r="N48" s="231"/>
      <c r="AF48" s="340" t="str">
        <f ca="1">Mätvärden!G28</f>
        <v>okt</v>
      </c>
      <c r="AG48" s="341" t="e">
        <f ca="1">Mätvärden!AU28+Mätvärden!AO114</f>
        <v>#DIV/0!</v>
      </c>
      <c r="AH48" s="341">
        <f>Mätvärden!AU53</f>
        <v>0</v>
      </c>
      <c r="AI48" s="341">
        <f>Mätvärden!AF91</f>
        <v>0</v>
      </c>
      <c r="AJ48" s="341">
        <f>Mätvärden!AJ114</f>
        <v>0</v>
      </c>
      <c r="AL48" s="340" t="str">
        <f t="shared" ca="1" si="6"/>
        <v>okt</v>
      </c>
      <c r="AM48" s="341" t="e">
        <f ca="1">AG48*1000/'Indata byggnad och BBR krav'!$C$16</f>
        <v>#DIV/0!</v>
      </c>
      <c r="AN48" s="341" t="e">
        <f>AH48*1000/'Indata byggnad och BBR krav'!$C$16</f>
        <v>#DIV/0!</v>
      </c>
      <c r="AO48" s="341" t="e">
        <f>AI48*1000/'Indata byggnad och BBR krav'!$C$16</f>
        <v>#DIV/0!</v>
      </c>
      <c r="AP48" s="341" t="e">
        <f>AJ48*1000/'Indata byggnad och BBR krav'!$C$16</f>
        <v>#DIV/0!</v>
      </c>
    </row>
    <row r="49" spans="1:43" ht="15.75" customHeight="1" x14ac:dyDescent="0.25">
      <c r="A49" s="17"/>
      <c r="B49" s="459" t="s">
        <v>1424</v>
      </c>
      <c r="C49" s="17"/>
      <c r="D49" s="460"/>
      <c r="E49" s="17"/>
      <c r="AF49" s="340" t="str">
        <f ca="1">Mätvärden!G29</f>
        <v>nov</v>
      </c>
      <c r="AG49" s="341" t="e">
        <f ca="1">Mätvärden!AU29+Mätvärden!AO115</f>
        <v>#DIV/0!</v>
      </c>
      <c r="AH49" s="341">
        <f>Mätvärden!AU54</f>
        <v>0</v>
      </c>
      <c r="AI49" s="341">
        <f>Mätvärden!AF92</f>
        <v>0</v>
      </c>
      <c r="AJ49" s="341">
        <f>Mätvärden!AJ115</f>
        <v>0</v>
      </c>
      <c r="AL49" s="340" t="str">
        <f t="shared" ca="1" si="6"/>
        <v>nov</v>
      </c>
      <c r="AM49" s="341" t="e">
        <f ca="1">AG49*1000/'Indata byggnad och BBR krav'!$C$16</f>
        <v>#DIV/0!</v>
      </c>
      <c r="AN49" s="341" t="e">
        <f>AH49*1000/'Indata byggnad och BBR krav'!$C$16</f>
        <v>#DIV/0!</v>
      </c>
      <c r="AO49" s="341" t="e">
        <f>AI49*1000/'Indata byggnad och BBR krav'!$C$16</f>
        <v>#DIV/0!</v>
      </c>
      <c r="AP49" s="341" t="e">
        <f>AJ49*1000/'Indata byggnad och BBR krav'!$C$16</f>
        <v>#DIV/0!</v>
      </c>
    </row>
    <row r="50" spans="1:43" ht="15.75" customHeight="1" x14ac:dyDescent="0.25">
      <c r="A50" s="17"/>
      <c r="B50" s="463" t="s">
        <v>1466</v>
      </c>
      <c r="C50" s="464"/>
      <c r="D50" s="465"/>
      <c r="E50" s="17"/>
      <c r="F50" s="538" t="s">
        <v>1468</v>
      </c>
      <c r="G50" s="540"/>
      <c r="I50" s="466" t="s">
        <v>1469</v>
      </c>
      <c r="J50" s="467"/>
      <c r="K50" s="467"/>
      <c r="L50" s="467"/>
      <c r="M50" s="468"/>
      <c r="AF50" s="340" t="str">
        <f ca="1">Mätvärden!G30</f>
        <v>dec</v>
      </c>
      <c r="AG50" s="341" t="e">
        <f ca="1">Mätvärden!AU30+Mätvärden!AO116</f>
        <v>#DIV/0!</v>
      </c>
      <c r="AH50" s="341">
        <f>Mätvärden!AU55</f>
        <v>0</v>
      </c>
      <c r="AI50" s="341">
        <f>Mätvärden!AF93</f>
        <v>0</v>
      </c>
      <c r="AJ50" s="341">
        <f>Mätvärden!AJ116</f>
        <v>0</v>
      </c>
      <c r="AL50" s="340" t="str">
        <f t="shared" ca="1" si="6"/>
        <v>dec</v>
      </c>
      <c r="AM50" s="341" t="e">
        <f ca="1">AG50*1000/'Indata byggnad och BBR krav'!$C$16</f>
        <v>#DIV/0!</v>
      </c>
      <c r="AN50" s="341" t="e">
        <f>AH50*1000/'Indata byggnad och BBR krav'!$C$16</f>
        <v>#DIV/0!</v>
      </c>
      <c r="AO50" s="341" t="e">
        <f>AI50*1000/'Indata byggnad och BBR krav'!$C$16</f>
        <v>#DIV/0!</v>
      </c>
      <c r="AP50" s="341" t="e">
        <f>AJ50*1000/'Indata byggnad och BBR krav'!$C$16</f>
        <v>#DIV/0!</v>
      </c>
    </row>
    <row r="51" spans="1:43" ht="15.75" customHeight="1" x14ac:dyDescent="0.35">
      <c r="A51" s="17"/>
      <c r="B51" s="17"/>
      <c r="C51" s="448" t="s">
        <v>1144</v>
      </c>
      <c r="D51" s="448" t="s">
        <v>1145</v>
      </c>
      <c r="E51" s="17"/>
      <c r="F51" s="458" t="s">
        <v>1320</v>
      </c>
      <c r="G51" s="470" t="s">
        <v>1205</v>
      </c>
      <c r="I51" s="534" t="s">
        <v>1415</v>
      </c>
      <c r="J51" s="534"/>
      <c r="K51" s="534"/>
      <c r="L51" s="534"/>
      <c r="M51" s="534"/>
      <c r="AF51" s="311" t="s">
        <v>1094</v>
      </c>
      <c r="AG51" s="318" t="e">
        <f ca="1">SUM(AG39:AG50)</f>
        <v>#DIV/0!</v>
      </c>
      <c r="AH51" s="318">
        <f>SUM(AH39:AH50)</f>
        <v>0</v>
      </c>
      <c r="AI51" s="318">
        <f>SUM(AI39:AI50)</f>
        <v>0</v>
      </c>
      <c r="AJ51" s="318">
        <f>SUM(AJ39:AJ50)</f>
        <v>0</v>
      </c>
      <c r="AK51" s="342" t="e">
        <f ca="1">AG51+AH51+AI51+AJ51</f>
        <v>#DIV/0!</v>
      </c>
      <c r="AL51" s="311" t="s">
        <v>1094</v>
      </c>
      <c r="AM51" s="318" t="e">
        <f ca="1">SUM(AM39:AM50)</f>
        <v>#DIV/0!</v>
      </c>
      <c r="AN51" s="318" t="e">
        <f>SUM(AN39:AN50)</f>
        <v>#DIV/0!</v>
      </c>
      <c r="AO51" s="318" t="e">
        <f>SUM(AO39:AO50)</f>
        <v>#DIV/0!</v>
      </c>
      <c r="AP51" s="318" t="e">
        <f>SUM(AP39:AP50)</f>
        <v>#DIV/0!</v>
      </c>
      <c r="AQ51" s="314" t="e">
        <f ca="1">AM51+AN51+AO51+AP51</f>
        <v>#DIV/0!</v>
      </c>
    </row>
    <row r="52" spans="1:43" ht="15.75" customHeight="1" x14ac:dyDescent="0.25">
      <c r="A52" s="17"/>
      <c r="B52" s="17"/>
      <c r="C52" s="15" t="s">
        <v>1146</v>
      </c>
      <c r="D52" s="15" t="s">
        <v>1146</v>
      </c>
      <c r="E52" s="17"/>
      <c r="F52" s="458" t="s">
        <v>1321</v>
      </c>
      <c r="G52" s="470" t="e">
        <f ca="1">IF('Mätvärden referensår'!$BO$12=1,"NEJ","JA")</f>
        <v>#DIV/0!</v>
      </c>
      <c r="I52" s="461" t="s">
        <v>19</v>
      </c>
      <c r="J52" s="461" t="s">
        <v>1308</v>
      </c>
      <c r="K52" s="461" t="s">
        <v>1309</v>
      </c>
      <c r="L52" s="461" t="s">
        <v>1310</v>
      </c>
      <c r="M52" s="461" t="s">
        <v>1078</v>
      </c>
    </row>
    <row r="53" spans="1:43" ht="15.75" customHeight="1" x14ac:dyDescent="0.25">
      <c r="A53" s="17"/>
      <c r="B53" s="449" t="s">
        <v>1219</v>
      </c>
      <c r="C53" s="378">
        <f>IF($C$7="Befintlig byggnad Alternativ 1",'Mätvärden referensår'!AE209,0)</f>
        <v>0</v>
      </c>
      <c r="D53" s="469">
        <f>IF($C$7="Befintlig byggnad Alternativ 1",'Mätvärden referensår'!$BK$210,0)</f>
        <v>0</v>
      </c>
      <c r="E53" s="17"/>
      <c r="F53" s="458" t="s">
        <v>1324</v>
      </c>
      <c r="G53" s="470" t="str">
        <f>IF('Mätvärden referensår'!$BD$169="Ja","JA","NEJ")</f>
        <v>NEJ</v>
      </c>
      <c r="I53" s="462" t="s">
        <v>1061</v>
      </c>
      <c r="J53" s="378">
        <f>IF($C$7="Befintlig byggnad Alternativ 1",VLOOKUP(I53,$AL$56:$AP$67,2,FALSE),0)</f>
        <v>0</v>
      </c>
      <c r="K53" s="378">
        <f>IF($C$7="Befintlig byggnad Alternativ 1",VLOOKUP(I53,$AL$56:$AP$67,3,FALSE),0)</f>
        <v>0</v>
      </c>
      <c r="L53" s="378">
        <f>IF($C$7="Befintlig byggnad Alternativ 1",VLOOKUP(I53,$AL$56:$AP$67,4,FALSE),0)</f>
        <v>0</v>
      </c>
      <c r="M53" s="378">
        <f>IF($C$7="Befintlig byggnad Alternativ 1",VLOOKUP(I53,$AL$56:$AP$67,5,FALSE),0)</f>
        <v>0</v>
      </c>
      <c r="AF53" s="343" t="s">
        <v>1405</v>
      </c>
    </row>
    <row r="54" spans="1:43" ht="15.75" customHeight="1" x14ac:dyDescent="0.25">
      <c r="A54" s="17"/>
      <c r="B54" s="450" t="s">
        <v>29</v>
      </c>
      <c r="C54" s="450"/>
      <c r="D54" s="451"/>
      <c r="E54" s="17"/>
      <c r="F54" s="458" t="s">
        <v>1322</v>
      </c>
      <c r="G54" s="470" t="str">
        <f>IF('Mätvärden referensår'!$CK$11&gt;0,"JA","NEJ")</f>
        <v>NEJ</v>
      </c>
      <c r="I54" s="462" t="s">
        <v>1062</v>
      </c>
      <c r="J54" s="378">
        <f t="shared" ref="J54:J64" si="7">IF($C$7="Befintlig byggnad Alternativ 1",VLOOKUP(I54,$AL$56:$AP$67,2,FALSE),0)</f>
        <v>0</v>
      </c>
      <c r="K54" s="378">
        <f t="shared" ref="K54:K64" si="8">IF($C$7="Befintlig byggnad Alternativ 1",VLOOKUP(I54,$AL$56:$AP$67,3,FALSE),0)</f>
        <v>0</v>
      </c>
      <c r="L54" s="378">
        <f t="shared" ref="L54:L64" si="9">IF($C$7="Befintlig byggnad Alternativ 1",VLOOKUP(I54,$AL$56:$AP$67,4,FALSE),0)</f>
        <v>0</v>
      </c>
      <c r="M54" s="378">
        <f t="shared" ref="M54:M64" si="10">IF($C$7="Befintlig byggnad Alternativ 1",VLOOKUP(I54,$AL$56:$AP$67,5,FALSE),0)</f>
        <v>0</v>
      </c>
      <c r="AF54" s="319"/>
      <c r="AG54" s="319" t="s">
        <v>1132</v>
      </c>
      <c r="AH54" s="319"/>
      <c r="AI54" s="319"/>
      <c r="AJ54" s="319"/>
      <c r="AK54" s="319"/>
      <c r="AL54" s="319"/>
      <c r="AM54" s="319" t="s">
        <v>1315</v>
      </c>
      <c r="AN54" s="319"/>
      <c r="AO54" s="319"/>
      <c r="AP54" s="319"/>
      <c r="AQ54" s="319"/>
    </row>
    <row r="55" spans="1:43" ht="15.75" customHeight="1" x14ac:dyDescent="0.25">
      <c r="A55" s="17"/>
      <c r="B55" s="452" t="s">
        <v>22</v>
      </c>
      <c r="C55" s="469" t="b">
        <f>IF($C$7="Befintlig byggnad Alternativ 1",'Mätvärden referensår'!$AE$211)</f>
        <v>0</v>
      </c>
      <c r="D55" s="469">
        <f>IF($C$7="Befintlig byggnad Alternativ 1",'Mätvärden referensår'!$BK$212,0)</f>
        <v>0</v>
      </c>
      <c r="E55" s="17"/>
      <c r="F55" s="458" t="s">
        <v>1323</v>
      </c>
      <c r="G55" s="470" t="s">
        <v>1205</v>
      </c>
      <c r="I55" s="462" t="s">
        <v>1063</v>
      </c>
      <c r="J55" s="378">
        <f t="shared" si="7"/>
        <v>0</v>
      </c>
      <c r="K55" s="378">
        <f t="shared" si="8"/>
        <v>0</v>
      </c>
      <c r="L55" s="378">
        <f t="shared" si="9"/>
        <v>0</v>
      </c>
      <c r="M55" s="378">
        <f t="shared" si="10"/>
        <v>0</v>
      </c>
      <c r="AF55" s="340" t="s">
        <v>19</v>
      </c>
      <c r="AG55" s="340" t="s">
        <v>1308</v>
      </c>
      <c r="AH55" s="340" t="s">
        <v>1309</v>
      </c>
      <c r="AI55" s="340" t="s">
        <v>1310</v>
      </c>
      <c r="AJ55" s="340" t="s">
        <v>1078</v>
      </c>
      <c r="AL55" s="340" t="s">
        <v>19</v>
      </c>
      <c r="AM55" s="340" t="s">
        <v>1308</v>
      </c>
      <c r="AN55" s="340" t="s">
        <v>1309</v>
      </c>
      <c r="AO55" s="340" t="s">
        <v>1310</v>
      </c>
      <c r="AP55" s="340" t="s">
        <v>1078</v>
      </c>
    </row>
    <row r="56" spans="1:43" ht="15.75" customHeight="1" x14ac:dyDescent="0.25">
      <c r="A56" s="17"/>
      <c r="B56" s="452" t="s">
        <v>23</v>
      </c>
      <c r="C56" s="469">
        <f>IF($C$7="Befintlig byggnad Alternativ 1",'Mätvärden referensår'!$AE$212,0)</f>
        <v>0</v>
      </c>
      <c r="D56" s="469">
        <f>IF($C$7="Befintlig byggnad Alternativ 1",'Mätvärden referensår'!$BK$213,0)</f>
        <v>0</v>
      </c>
      <c r="E56" s="17"/>
      <c r="F56" s="548" t="s">
        <v>1325</v>
      </c>
      <c r="G56" s="548"/>
      <c r="I56" s="462" t="s">
        <v>1064</v>
      </c>
      <c r="J56" s="378">
        <f t="shared" si="7"/>
        <v>0</v>
      </c>
      <c r="K56" s="378">
        <f t="shared" si="8"/>
        <v>0</v>
      </c>
      <c r="L56" s="378">
        <f t="shared" si="9"/>
        <v>0</v>
      </c>
      <c r="M56" s="378">
        <f t="shared" si="10"/>
        <v>0</v>
      </c>
      <c r="AF56" s="340" t="str">
        <f ca="1">'Mätvärden referensår'!G19</f>
        <v>jan</v>
      </c>
      <c r="AG56" s="341" t="e">
        <f ca="1">'Mätvärden referensår'!AU19+'Mätvärden referensår'!AO105</f>
        <v>#DIV/0!</v>
      </c>
      <c r="AH56" s="341">
        <f>'Mätvärden referensår'!AU44</f>
        <v>0</v>
      </c>
      <c r="AI56" s="341">
        <f>'Mätvärden referensår'!AF82</f>
        <v>0</v>
      </c>
      <c r="AJ56" s="341" t="e">
        <f ca="1">'Mätvärden referensår'!AJ105</f>
        <v>#DIV/0!</v>
      </c>
      <c r="AL56" s="340" t="str">
        <f ca="1">AF56</f>
        <v>jan</v>
      </c>
      <c r="AM56" s="341" t="e">
        <f ca="1">AG56*1000/'Indata byggnad och BBR krav'!$C$16</f>
        <v>#DIV/0!</v>
      </c>
      <c r="AN56" s="341" t="e">
        <f>AH56*1000/'Indata byggnad och BBR krav'!$C$16</f>
        <v>#DIV/0!</v>
      </c>
      <c r="AO56" s="341" t="e">
        <f>AI56*1000/'Indata byggnad och BBR krav'!$C$16</f>
        <v>#DIV/0!</v>
      </c>
      <c r="AP56" s="341" t="e">
        <f ca="1">AJ56*1000/'Indata byggnad och BBR krav'!$C$16</f>
        <v>#DIV/0!</v>
      </c>
      <c r="AQ56" s="318"/>
    </row>
    <row r="57" spans="1:43" ht="15.75" customHeight="1" x14ac:dyDescent="0.25">
      <c r="A57" s="17"/>
      <c r="B57" s="452" t="s">
        <v>24</v>
      </c>
      <c r="C57" s="469">
        <f>IF($C$7="Befintlig byggnad Alternativ 1",'Mätvärden referensår'!$AE$213,0)</f>
        <v>0</v>
      </c>
      <c r="D57" s="469">
        <f>IF($C$7="Befintlig byggnad Alternativ 1",'Mätvärden referensår'!$BK$214,0)</f>
        <v>0</v>
      </c>
      <c r="E57" s="17"/>
      <c r="F57" s="549"/>
      <c r="G57" s="550"/>
      <c r="I57" s="462" t="s">
        <v>1065</v>
      </c>
      <c r="J57" s="378">
        <f t="shared" si="7"/>
        <v>0</v>
      </c>
      <c r="K57" s="378">
        <f t="shared" si="8"/>
        <v>0</v>
      </c>
      <c r="L57" s="378">
        <f t="shared" si="9"/>
        <v>0</v>
      </c>
      <c r="M57" s="378">
        <f t="shared" si="10"/>
        <v>0</v>
      </c>
      <c r="AF57" s="340" t="str">
        <f ca="1">'Mätvärden referensår'!G20</f>
        <v>feb</v>
      </c>
      <c r="AG57" s="341" t="e">
        <f ca="1">'Mätvärden referensår'!AU20+'Mätvärden referensår'!AO106</f>
        <v>#DIV/0!</v>
      </c>
      <c r="AH57" s="341">
        <f>'Mätvärden referensår'!AU45</f>
        <v>0</v>
      </c>
      <c r="AI57" s="341">
        <f>'Mätvärden referensår'!AF83</f>
        <v>0</v>
      </c>
      <c r="AJ57" s="341" t="e">
        <f ca="1">'Mätvärden referensår'!AJ106</f>
        <v>#DIV/0!</v>
      </c>
      <c r="AL57" s="340" t="str">
        <f t="shared" ref="AL57:AL67" ca="1" si="11">AF57</f>
        <v>feb</v>
      </c>
      <c r="AM57" s="341" t="e">
        <f ca="1">AG57*1000/'Indata byggnad och BBR krav'!$C$16</f>
        <v>#DIV/0!</v>
      </c>
      <c r="AN57" s="341" t="e">
        <f>AH57*1000/'Indata byggnad och BBR krav'!$C$16</f>
        <v>#DIV/0!</v>
      </c>
      <c r="AO57" s="341" t="e">
        <f>AI57*1000/'Indata byggnad och BBR krav'!$C$16</f>
        <v>#DIV/0!</v>
      </c>
      <c r="AP57" s="341" t="e">
        <f ca="1">AJ57*1000/'Indata byggnad och BBR krav'!$C$16</f>
        <v>#DIV/0!</v>
      </c>
    </row>
    <row r="58" spans="1:43" ht="15.75" customHeight="1" x14ac:dyDescent="0.25">
      <c r="A58" s="17"/>
      <c r="B58" s="452" t="s">
        <v>1078</v>
      </c>
      <c r="C58" s="469">
        <f>IF($C$7="Befintlig byggnad Alternativ 1",'Mätvärden referensår'!$AE$214,0)</f>
        <v>0</v>
      </c>
      <c r="D58" s="469">
        <f>IF($C$7="Befintlig byggnad Alternativ 1",'Mätvärden referensår'!$BK$215,0)</f>
        <v>0</v>
      </c>
      <c r="E58" s="17"/>
      <c r="F58" s="551"/>
      <c r="G58" s="552"/>
      <c r="I58" s="462" t="s">
        <v>1066</v>
      </c>
      <c r="J58" s="378">
        <f t="shared" si="7"/>
        <v>0</v>
      </c>
      <c r="K58" s="378">
        <f t="shared" si="8"/>
        <v>0</v>
      </c>
      <c r="L58" s="378">
        <f t="shared" si="9"/>
        <v>0</v>
      </c>
      <c r="M58" s="378">
        <f t="shared" si="10"/>
        <v>0</v>
      </c>
      <c r="AF58" s="340" t="str">
        <f ca="1">'Mätvärden referensår'!G21</f>
        <v>mars</v>
      </c>
      <c r="AG58" s="341" t="e">
        <f ca="1">'Mätvärden referensår'!AU21+'Mätvärden referensår'!AO107</f>
        <v>#DIV/0!</v>
      </c>
      <c r="AH58" s="341">
        <f>'Mätvärden referensår'!AU46</f>
        <v>0</v>
      </c>
      <c r="AI58" s="341">
        <f>'Mätvärden referensår'!AF84</f>
        <v>0</v>
      </c>
      <c r="AJ58" s="341" t="e">
        <f ca="1">'Mätvärden referensår'!AJ107</f>
        <v>#DIV/0!</v>
      </c>
      <c r="AL58" s="340" t="str">
        <f t="shared" ca="1" si="11"/>
        <v>mars</v>
      </c>
      <c r="AM58" s="341" t="e">
        <f ca="1">AG58*1000/'Indata byggnad och BBR krav'!$C$16</f>
        <v>#DIV/0!</v>
      </c>
      <c r="AN58" s="341" t="e">
        <f>AH58*1000/'Indata byggnad och BBR krav'!$C$16</f>
        <v>#DIV/0!</v>
      </c>
      <c r="AO58" s="341" t="e">
        <f>AI58*1000/'Indata byggnad och BBR krav'!$C$16</f>
        <v>#DIV/0!</v>
      </c>
      <c r="AP58" s="341" t="e">
        <f ca="1">AJ58*1000/'Indata byggnad och BBR krav'!$C$16</f>
        <v>#DIV/0!</v>
      </c>
    </row>
    <row r="59" spans="1:43" ht="15.75" customHeight="1" x14ac:dyDescent="0.25">
      <c r="A59" s="17"/>
      <c r="B59" s="17"/>
      <c r="C59" s="17"/>
      <c r="D59" s="17"/>
      <c r="E59" s="17"/>
      <c r="F59" s="551"/>
      <c r="G59" s="552"/>
      <c r="I59" s="462" t="s">
        <v>1067</v>
      </c>
      <c r="J59" s="378">
        <f t="shared" si="7"/>
        <v>0</v>
      </c>
      <c r="K59" s="378">
        <f t="shared" si="8"/>
        <v>0</v>
      </c>
      <c r="L59" s="378">
        <f t="shared" si="9"/>
        <v>0</v>
      </c>
      <c r="M59" s="378">
        <f t="shared" si="10"/>
        <v>0</v>
      </c>
      <c r="AF59" s="340" t="str">
        <f ca="1">'Mätvärden referensår'!G22</f>
        <v>apr</v>
      </c>
      <c r="AG59" s="341" t="e">
        <f ca="1">'Mätvärden referensår'!AU22+'Mätvärden referensår'!AO108</f>
        <v>#DIV/0!</v>
      </c>
      <c r="AH59" s="341">
        <f>'Mätvärden referensår'!AU47</f>
        <v>0</v>
      </c>
      <c r="AI59" s="341">
        <f>'Mätvärden referensår'!AF85</f>
        <v>0</v>
      </c>
      <c r="AJ59" s="341" t="e">
        <f ca="1">'Mätvärden referensår'!AJ108</f>
        <v>#DIV/0!</v>
      </c>
      <c r="AL59" s="340" t="str">
        <f t="shared" ca="1" si="11"/>
        <v>apr</v>
      </c>
      <c r="AM59" s="341" t="e">
        <f ca="1">AG59*1000/'Indata byggnad och BBR krav'!$C$16</f>
        <v>#DIV/0!</v>
      </c>
      <c r="AN59" s="341" t="e">
        <f>AH59*1000/'Indata byggnad och BBR krav'!$C$16</f>
        <v>#DIV/0!</v>
      </c>
      <c r="AO59" s="341" t="e">
        <f>AI59*1000/'Indata byggnad och BBR krav'!$C$16</f>
        <v>#DIV/0!</v>
      </c>
      <c r="AP59" s="341" t="e">
        <f ca="1">AJ59*1000/'Indata byggnad och BBR krav'!$C$16</f>
        <v>#DIV/0!</v>
      </c>
    </row>
    <row r="60" spans="1:43" ht="15.75" customHeight="1" x14ac:dyDescent="0.35">
      <c r="A60" s="17"/>
      <c r="B60" s="538" t="s">
        <v>1467</v>
      </c>
      <c r="C60" s="539"/>
      <c r="D60" s="540"/>
      <c r="E60" s="17"/>
      <c r="F60" s="551"/>
      <c r="G60" s="552"/>
      <c r="I60" s="462" t="s">
        <v>1068</v>
      </c>
      <c r="J60" s="378">
        <f t="shared" si="7"/>
        <v>0</v>
      </c>
      <c r="K60" s="378">
        <f t="shared" si="8"/>
        <v>0</v>
      </c>
      <c r="L60" s="378">
        <f t="shared" si="9"/>
        <v>0</v>
      </c>
      <c r="M60" s="378">
        <f t="shared" si="10"/>
        <v>0</v>
      </c>
      <c r="AF60" s="340" t="str">
        <f ca="1">'Mätvärden referensår'!G23</f>
        <v>maj</v>
      </c>
      <c r="AG60" s="341" t="e">
        <f ca="1">'Mätvärden referensår'!AU23+'Mätvärden referensår'!AO109</f>
        <v>#DIV/0!</v>
      </c>
      <c r="AH60" s="341">
        <f>'Mätvärden referensår'!AU48</f>
        <v>0</v>
      </c>
      <c r="AI60" s="341">
        <f>'Mätvärden referensår'!AF86</f>
        <v>0</v>
      </c>
      <c r="AJ60" s="341" t="e">
        <f ca="1">'Mätvärden referensår'!AJ109</f>
        <v>#DIV/0!</v>
      </c>
      <c r="AL60" s="340" t="str">
        <f t="shared" ca="1" si="11"/>
        <v>maj</v>
      </c>
      <c r="AM60" s="341" t="e">
        <f ca="1">AG60*1000/'Indata byggnad och BBR krav'!$C$16</f>
        <v>#DIV/0!</v>
      </c>
      <c r="AN60" s="341" t="e">
        <f>AH60*1000/'Indata byggnad och BBR krav'!$C$16</f>
        <v>#DIV/0!</v>
      </c>
      <c r="AO60" s="341" t="e">
        <f>AI60*1000/'Indata byggnad och BBR krav'!$C$16</f>
        <v>#DIV/0!</v>
      </c>
      <c r="AP60" s="341" t="e">
        <f ca="1">AJ60*1000/'Indata byggnad och BBR krav'!$C$16</f>
        <v>#DIV/0!</v>
      </c>
    </row>
    <row r="61" spans="1:43" x14ac:dyDescent="0.25">
      <c r="A61" s="17"/>
      <c r="B61" s="453"/>
      <c r="C61" s="454" t="s">
        <v>1144</v>
      </c>
      <c r="D61" s="455" t="s">
        <v>1145</v>
      </c>
      <c r="E61" s="17"/>
      <c r="F61" s="551"/>
      <c r="G61" s="552"/>
      <c r="I61" s="462" t="s">
        <v>1069</v>
      </c>
      <c r="J61" s="378">
        <f t="shared" si="7"/>
        <v>0</v>
      </c>
      <c r="K61" s="378">
        <f t="shared" si="8"/>
        <v>0</v>
      </c>
      <c r="L61" s="378">
        <f t="shared" si="9"/>
        <v>0</v>
      </c>
      <c r="M61" s="378">
        <f t="shared" si="10"/>
        <v>0</v>
      </c>
      <c r="AF61" s="340" t="str">
        <f ca="1">'Mätvärden referensår'!G24</f>
        <v xml:space="preserve">jun </v>
      </c>
      <c r="AG61" s="341" t="e">
        <f ca="1">'Mätvärden referensår'!AU24+'Mätvärden referensår'!AO110</f>
        <v>#DIV/0!</v>
      </c>
      <c r="AH61" s="341">
        <f>'Mätvärden referensår'!AU49</f>
        <v>0</v>
      </c>
      <c r="AI61" s="341">
        <f>'Mätvärden referensår'!AF87</f>
        <v>0</v>
      </c>
      <c r="AJ61" s="341" t="e">
        <f ca="1">'Mätvärden referensår'!AJ110</f>
        <v>#DIV/0!</v>
      </c>
      <c r="AL61" s="340" t="str">
        <f t="shared" ca="1" si="11"/>
        <v xml:space="preserve">jun </v>
      </c>
      <c r="AM61" s="341" t="e">
        <f ca="1">AG61*1000/'Indata byggnad och BBR krav'!$C$16</f>
        <v>#DIV/0!</v>
      </c>
      <c r="AN61" s="341" t="e">
        <f>AH61*1000/'Indata byggnad och BBR krav'!$C$16</f>
        <v>#DIV/0!</v>
      </c>
      <c r="AO61" s="341" t="e">
        <f>AI61*1000/'Indata byggnad och BBR krav'!$C$16</f>
        <v>#DIV/0!</v>
      </c>
      <c r="AP61" s="341" t="e">
        <f ca="1">AJ61*1000/'Indata byggnad och BBR krav'!$C$16</f>
        <v>#DIV/0!</v>
      </c>
    </row>
    <row r="62" spans="1:43" ht="18.75" x14ac:dyDescent="0.25">
      <c r="A62" s="17"/>
      <c r="B62" s="456"/>
      <c r="C62" s="15" t="s">
        <v>1146</v>
      </c>
      <c r="D62" s="457" t="s">
        <v>1146</v>
      </c>
      <c r="E62" s="17"/>
      <c r="F62" s="551"/>
      <c r="G62" s="552"/>
      <c r="I62" s="462" t="s">
        <v>1070</v>
      </c>
      <c r="J62" s="378">
        <f t="shared" si="7"/>
        <v>0</v>
      </c>
      <c r="K62" s="378">
        <f t="shared" si="8"/>
        <v>0</v>
      </c>
      <c r="L62" s="378">
        <f t="shared" si="9"/>
        <v>0</v>
      </c>
      <c r="M62" s="378">
        <f t="shared" si="10"/>
        <v>0</v>
      </c>
      <c r="AF62" s="340" t="str">
        <f ca="1">'Mätvärden referensår'!G25</f>
        <v>jul</v>
      </c>
      <c r="AG62" s="341" t="e">
        <f ca="1">'Mätvärden referensår'!AU25+'Mätvärden referensår'!AO111</f>
        <v>#DIV/0!</v>
      </c>
      <c r="AH62" s="341">
        <f>'Mätvärden referensår'!AU50</f>
        <v>0</v>
      </c>
      <c r="AI62" s="341">
        <f>'Mätvärden referensår'!AF88</f>
        <v>0</v>
      </c>
      <c r="AJ62" s="341" t="e">
        <f ca="1">'Mätvärden referensår'!AJ111</f>
        <v>#DIV/0!</v>
      </c>
      <c r="AL62" s="340" t="str">
        <f t="shared" ca="1" si="11"/>
        <v>jul</v>
      </c>
      <c r="AM62" s="341" t="e">
        <f ca="1">AG62*1000/'Indata byggnad och BBR krav'!$C$16</f>
        <v>#DIV/0!</v>
      </c>
      <c r="AN62" s="341" t="e">
        <f>AH62*1000/'Indata byggnad och BBR krav'!$C$16</f>
        <v>#DIV/0!</v>
      </c>
      <c r="AO62" s="341" t="e">
        <f>AI62*1000/'Indata byggnad och BBR krav'!$C$16</f>
        <v>#DIV/0!</v>
      </c>
      <c r="AP62" s="341" t="e">
        <f ca="1">AJ62*1000/'Indata byggnad och BBR krav'!$C$16</f>
        <v>#DIV/0!</v>
      </c>
    </row>
    <row r="63" spans="1:43" x14ac:dyDescent="0.25">
      <c r="A63" s="17"/>
      <c r="B63" s="452" t="str">
        <f>IF('Indata byggnad och BBR krav'!C34&gt;0,"Hushållsenergi","Hushållsenergi (Finns ej)")</f>
        <v>Hushållsenergi (Finns ej)</v>
      </c>
      <c r="C63" s="378" t="str">
        <f>IF(AND('Indata byggnad och BBR krav'!$C$17&gt;0,'Mätvärden referensår'!$BD$166&gt;0),'Mätvärden referensår'!$BD$166,"-")</f>
        <v>-</v>
      </c>
      <c r="D63" s="470" t="str">
        <f>IF(Resultat!C63="-","-",'Mätvärden referensår'!$BD$167)</f>
        <v>-</v>
      </c>
      <c r="E63" s="17"/>
      <c r="F63" s="551"/>
      <c r="G63" s="552"/>
      <c r="I63" s="462" t="s">
        <v>1071</v>
      </c>
      <c r="J63" s="378">
        <f t="shared" si="7"/>
        <v>0</v>
      </c>
      <c r="K63" s="378">
        <f t="shared" si="8"/>
        <v>0</v>
      </c>
      <c r="L63" s="378">
        <f t="shared" si="9"/>
        <v>0</v>
      </c>
      <c r="M63" s="378">
        <f t="shared" si="10"/>
        <v>0</v>
      </c>
      <c r="AF63" s="340" t="str">
        <f ca="1">'Mätvärden referensår'!G26</f>
        <v>aug</v>
      </c>
      <c r="AG63" s="341" t="e">
        <f ca="1">'Mätvärden referensår'!AU26+'Mätvärden referensår'!AO112</f>
        <v>#DIV/0!</v>
      </c>
      <c r="AH63" s="341">
        <f>'Mätvärden referensår'!AU51</f>
        <v>0</v>
      </c>
      <c r="AI63" s="341">
        <f>'Mätvärden referensår'!AF89</f>
        <v>0</v>
      </c>
      <c r="AJ63" s="341" t="e">
        <f ca="1">'Mätvärden referensår'!AJ112</f>
        <v>#DIV/0!</v>
      </c>
      <c r="AL63" s="340" t="str">
        <f t="shared" ca="1" si="11"/>
        <v>aug</v>
      </c>
      <c r="AM63" s="341" t="e">
        <f ca="1">AG63*1000/'Indata byggnad och BBR krav'!$C$16</f>
        <v>#DIV/0!</v>
      </c>
      <c r="AN63" s="341" t="e">
        <f>AH63*1000/'Indata byggnad och BBR krav'!$C$16</f>
        <v>#DIV/0!</v>
      </c>
      <c r="AO63" s="341" t="e">
        <f>AI63*1000/'Indata byggnad och BBR krav'!$C$16</f>
        <v>#DIV/0!</v>
      </c>
      <c r="AP63" s="341" t="e">
        <f ca="1">AJ63*1000/'Indata byggnad och BBR krav'!$C$16</f>
        <v>#DIV/0!</v>
      </c>
    </row>
    <row r="64" spans="1:43" x14ac:dyDescent="0.25">
      <c r="A64" s="17"/>
      <c r="B64" s="458" t="str">
        <f>IF('Indata byggnad och BBR krav'!C35&gt;0,"Verksamhetsenergi","Verksamhetsenergi (finns ej)")</f>
        <v>Verksamhetsenergi (finns ej)</v>
      </c>
      <c r="C64" s="470" t="str">
        <f>IF(AND('Indata byggnad och BBR krav'!$C$18&gt;0,'Mätvärden referensår'!$AB$165&gt;0),'Mätvärden referensår'!$AB$165,"-")</f>
        <v>-</v>
      </c>
      <c r="D64" s="470" t="s">
        <v>1376</v>
      </c>
      <c r="E64" s="17"/>
      <c r="F64" s="553"/>
      <c r="G64" s="554"/>
      <c r="I64" s="462" t="s">
        <v>1072</v>
      </c>
      <c r="J64" s="378">
        <f t="shared" si="7"/>
        <v>0</v>
      </c>
      <c r="K64" s="378">
        <f t="shared" si="8"/>
        <v>0</v>
      </c>
      <c r="L64" s="378">
        <f t="shared" si="9"/>
        <v>0</v>
      </c>
      <c r="M64" s="378">
        <f t="shared" si="10"/>
        <v>0</v>
      </c>
      <c r="AF64" s="340" t="str">
        <f ca="1">'Mätvärden referensår'!G27</f>
        <v>sept</v>
      </c>
      <c r="AG64" s="341" t="e">
        <f ca="1">'Mätvärden referensår'!AU27+'Mätvärden referensår'!AO113</f>
        <v>#DIV/0!</v>
      </c>
      <c r="AH64" s="341">
        <f>'Mätvärden referensår'!AU52</f>
        <v>0</v>
      </c>
      <c r="AI64" s="341">
        <f>'Mätvärden referensår'!AF90</f>
        <v>0</v>
      </c>
      <c r="AJ64" s="341" t="e">
        <f ca="1">'Mätvärden referensår'!AJ113</f>
        <v>#DIV/0!</v>
      </c>
      <c r="AL64" s="340" t="str">
        <f t="shared" ca="1" si="11"/>
        <v>sept</v>
      </c>
      <c r="AM64" s="341" t="e">
        <f ca="1">AG64*1000/'Indata byggnad och BBR krav'!$C$16</f>
        <v>#DIV/0!</v>
      </c>
      <c r="AN64" s="341" t="e">
        <f>AH64*1000/'Indata byggnad och BBR krav'!$C$16</f>
        <v>#DIV/0!</v>
      </c>
      <c r="AO64" s="341" t="e">
        <f>AI64*1000/'Indata byggnad och BBR krav'!$C$16</f>
        <v>#DIV/0!</v>
      </c>
      <c r="AP64" s="341" t="e">
        <f ca="1">AJ64*1000/'Indata byggnad och BBR krav'!$C$16</f>
        <v>#DIV/0!</v>
      </c>
    </row>
    <row r="65" spans="4:43" x14ac:dyDescent="0.25">
      <c r="D65" s="173"/>
      <c r="AF65" s="340" t="str">
        <f ca="1">'Mätvärden referensår'!G28</f>
        <v>okt</v>
      </c>
      <c r="AG65" s="341" t="e">
        <f ca="1">'Mätvärden referensår'!AU28+'Mätvärden referensår'!AO114</f>
        <v>#DIV/0!</v>
      </c>
      <c r="AH65" s="341">
        <f>'Mätvärden referensår'!AU53</f>
        <v>0</v>
      </c>
      <c r="AI65" s="341">
        <f>'Mätvärden referensår'!AF91</f>
        <v>0</v>
      </c>
      <c r="AJ65" s="341" t="e">
        <f ca="1">'Mätvärden referensår'!AJ114</f>
        <v>#DIV/0!</v>
      </c>
      <c r="AL65" s="340" t="str">
        <f t="shared" ca="1" si="11"/>
        <v>okt</v>
      </c>
      <c r="AM65" s="341" t="e">
        <f ca="1">AG65*1000/'Indata byggnad och BBR krav'!$C$16</f>
        <v>#DIV/0!</v>
      </c>
      <c r="AN65" s="341" t="e">
        <f>AH65*1000/'Indata byggnad och BBR krav'!$C$16</f>
        <v>#DIV/0!</v>
      </c>
      <c r="AO65" s="341" t="e">
        <f>AI65*1000/'Indata byggnad och BBR krav'!$C$16</f>
        <v>#DIV/0!</v>
      </c>
      <c r="AP65" s="341" t="e">
        <f ca="1">AJ65*1000/'Indata byggnad och BBR krav'!$C$16</f>
        <v>#DIV/0!</v>
      </c>
    </row>
    <row r="66" spans="4:43" x14ac:dyDescent="0.25">
      <c r="AF66" s="340" t="str">
        <f ca="1">'Mätvärden referensår'!G29</f>
        <v>nov</v>
      </c>
      <c r="AG66" s="341" t="e">
        <f ca="1">'Mätvärden referensår'!AU29+'Mätvärden referensår'!AO115</f>
        <v>#DIV/0!</v>
      </c>
      <c r="AH66" s="341">
        <f>'Mätvärden referensår'!AU54</f>
        <v>0</v>
      </c>
      <c r="AI66" s="341">
        <f>'Mätvärden referensår'!AF92</f>
        <v>0</v>
      </c>
      <c r="AJ66" s="341" t="e">
        <f ca="1">'Mätvärden referensår'!AJ115</f>
        <v>#DIV/0!</v>
      </c>
      <c r="AL66" s="340" t="str">
        <f t="shared" ca="1" si="11"/>
        <v>nov</v>
      </c>
      <c r="AM66" s="341" t="e">
        <f ca="1">AG66*1000/'Indata byggnad och BBR krav'!$C$16</f>
        <v>#DIV/0!</v>
      </c>
      <c r="AN66" s="341" t="e">
        <f>AH66*1000/'Indata byggnad och BBR krav'!$C$16</f>
        <v>#DIV/0!</v>
      </c>
      <c r="AO66" s="341" t="e">
        <f>AI66*1000/'Indata byggnad och BBR krav'!$C$16</f>
        <v>#DIV/0!</v>
      </c>
      <c r="AP66" s="341" t="e">
        <f ca="1">AJ66*1000/'Indata byggnad och BBR krav'!$C$16</f>
        <v>#DIV/0!</v>
      </c>
    </row>
    <row r="67" spans="4:43" x14ac:dyDescent="0.25">
      <c r="AF67" s="340" t="str">
        <f ca="1">'Mätvärden referensår'!G30</f>
        <v>dec</v>
      </c>
      <c r="AG67" s="341" t="e">
        <f ca="1">'Mätvärden referensår'!AU30+'Mätvärden referensår'!AO116</f>
        <v>#DIV/0!</v>
      </c>
      <c r="AH67" s="341">
        <f>'Mätvärden referensår'!AU55</f>
        <v>0</v>
      </c>
      <c r="AI67" s="341">
        <f>'Mätvärden referensår'!AF93</f>
        <v>0</v>
      </c>
      <c r="AJ67" s="341" t="e">
        <f ca="1">'Mätvärden referensår'!AJ116</f>
        <v>#DIV/0!</v>
      </c>
      <c r="AL67" s="340" t="str">
        <f t="shared" ca="1" si="11"/>
        <v>dec</v>
      </c>
      <c r="AM67" s="341" t="e">
        <f ca="1">AG67*1000/'Indata byggnad och BBR krav'!$C$16</f>
        <v>#DIV/0!</v>
      </c>
      <c r="AN67" s="341" t="e">
        <f>AH67*1000/'Indata byggnad och BBR krav'!$C$16</f>
        <v>#DIV/0!</v>
      </c>
      <c r="AO67" s="341" t="e">
        <f>AI67*1000/'Indata byggnad och BBR krav'!$C$16</f>
        <v>#DIV/0!</v>
      </c>
      <c r="AP67" s="341" t="e">
        <f ca="1">AJ67*1000/'Indata byggnad och BBR krav'!$C$16</f>
        <v>#DIV/0!</v>
      </c>
    </row>
    <row r="68" spans="4:43" x14ac:dyDescent="0.25">
      <c r="AF68" s="311" t="s">
        <v>1094</v>
      </c>
      <c r="AG68" s="318" t="e">
        <f ca="1">SUM(AG56:AG67)</f>
        <v>#DIV/0!</v>
      </c>
      <c r="AH68" s="318">
        <f t="shared" ref="AH68:AJ68" si="12">SUM(AH56:AH67)</f>
        <v>0</v>
      </c>
      <c r="AI68" s="318">
        <f t="shared" si="12"/>
        <v>0</v>
      </c>
      <c r="AJ68" s="318" t="e">
        <f t="shared" ca="1" si="12"/>
        <v>#DIV/0!</v>
      </c>
      <c r="AK68" s="342" t="e">
        <f ca="1">AG68+AH68+AI68+AJ68</f>
        <v>#DIV/0!</v>
      </c>
      <c r="AL68" s="311" t="s">
        <v>1094</v>
      </c>
      <c r="AM68" s="318" t="e">
        <f ca="1">SUM(AM56:AM67)</f>
        <v>#DIV/0!</v>
      </c>
      <c r="AN68" s="318" t="e">
        <f t="shared" ref="AN68:AP68" si="13">SUM(AN56:AN67)</f>
        <v>#DIV/0!</v>
      </c>
      <c r="AO68" s="318" t="e">
        <f t="shared" si="13"/>
        <v>#DIV/0!</v>
      </c>
      <c r="AP68" s="318" t="e">
        <f t="shared" ca="1" si="13"/>
        <v>#DIV/0!</v>
      </c>
      <c r="AQ68" s="314" t="e">
        <f ca="1">AM68+AN68+AO68+AP68</f>
        <v>#DIV/0!</v>
      </c>
    </row>
  </sheetData>
  <sheetProtection algorithmName="SHA-512" hashValue="R9sakyWC2fQuuP6ybZgi0+iKyBgz6xEsihDtmUIQs2V9u4b/WOlIQ2ozt8219lmqpYrjUH1Ea764bFa6quT3+Q==" saltValue="tNpbGIf6Ln+a3hVzWl1DTA==" spinCount="100000" sheet="1" objects="1" scenarios="1" selectLockedCells="1"/>
  <mergeCells count="14">
    <mergeCell ref="B60:D60"/>
    <mergeCell ref="F40:G47"/>
    <mergeCell ref="F39:G39"/>
    <mergeCell ref="F50:G50"/>
    <mergeCell ref="F56:G56"/>
    <mergeCell ref="F57:G64"/>
    <mergeCell ref="I34:M34"/>
    <mergeCell ref="I51:M51"/>
    <mergeCell ref="F33:G33"/>
    <mergeCell ref="B43:D43"/>
    <mergeCell ref="B6:C6"/>
    <mergeCell ref="B17:C17"/>
    <mergeCell ref="B33:D33"/>
    <mergeCell ref="B24:C24"/>
  </mergeCells>
  <conditionalFormatting sqref="B29:B31 D29:D31">
    <cfRule type="expression" dxfId="13" priority="21">
      <formula>$C$7="Ny byggnad"</formula>
    </cfRule>
    <cfRule type="expression" dxfId="12" priority="22">
      <formula>$C$7="Befintlig byggnad Alternativ 2"</formula>
    </cfRule>
  </conditionalFormatting>
  <conditionalFormatting sqref="F49:M49 H50:H64">
    <cfRule type="expression" dxfId="11" priority="23">
      <formula>$C$7="Befintlig byggnad Alternativ 2"</formula>
    </cfRule>
    <cfRule type="expression" dxfId="10" priority="24">
      <formula>$C$7="Ny byggnad"</formula>
    </cfRule>
  </conditionalFormatting>
  <conditionalFormatting sqref="AJ29:AJ31">
    <cfRule type="expression" dxfId="9" priority="15">
      <formula>$C$7="Ny byggnad"</formula>
    </cfRule>
    <cfRule type="expression" dxfId="8" priority="16">
      <formula>$C$7="Befintlig byggnad Alternativ 2"</formula>
    </cfRule>
  </conditionalFormatting>
  <conditionalFormatting sqref="C29:C31">
    <cfRule type="expression" dxfId="7" priority="13">
      <formula>$C$7="Ny byggnad"</formula>
    </cfRule>
    <cfRule type="expression" dxfId="6" priority="14">
      <formula>$C$7="Befintlig byggnad Alternativ 2"</formula>
    </cfRule>
  </conditionalFormatting>
  <conditionalFormatting sqref="B49:E64">
    <cfRule type="expression" dxfId="5" priority="7">
      <formula>$C$7="Befintlig byggnad Alternativ 2"</formula>
    </cfRule>
    <cfRule type="expression" dxfId="4" priority="8">
      <formula>$C$7="Ny byggnad"</formula>
    </cfRule>
  </conditionalFormatting>
  <conditionalFormatting sqref="F50:G64">
    <cfRule type="expression" dxfId="3" priority="3">
      <formula>$C$7="Befintlig byggnad Alternativ 2"</formula>
    </cfRule>
    <cfRule type="expression" dxfId="2" priority="4">
      <formula>$C$7="Ny byggnad"</formula>
    </cfRule>
  </conditionalFormatting>
  <conditionalFormatting sqref="I50:M64">
    <cfRule type="expression" dxfId="1" priority="1">
      <formula>$C$7="Befintlig byggnad Alternativ 2"</formula>
    </cfRule>
    <cfRule type="expression" dxfId="0" priority="2">
      <formula>$C$7="Ny byggnad"</formula>
    </cfRule>
  </conditionalFormatting>
  <pageMargins left="0.70866141732283472" right="0.70866141732283472" top="0.74803149606299213" bottom="0.74803149606299213" header="0.31496062992125984" footer="0.31496062992125984"/>
  <pageSetup paperSize="9" orientation="portrait" cellComments="asDisplayed"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5D0B-0F8B-4732-ABF8-F508CCCF0735}">
  <sheetPr>
    <tabColor theme="9"/>
  </sheetPr>
  <dimension ref="A1:BA42"/>
  <sheetViews>
    <sheetView showGridLines="0" zoomScale="90" zoomScaleNormal="90" workbookViewId="0">
      <selection activeCell="H29" sqref="H29"/>
    </sheetView>
  </sheetViews>
  <sheetFormatPr defaultRowHeight="15" x14ac:dyDescent="0.25"/>
  <cols>
    <col min="1" max="1" width="4" style="229" customWidth="1"/>
    <col min="2" max="2" width="18.7109375" style="229" customWidth="1"/>
    <col min="3" max="3" width="30.5703125" style="229" customWidth="1"/>
    <col min="4" max="23" width="16.85546875" style="229" customWidth="1"/>
    <col min="24" max="26" width="14.85546875" style="229" customWidth="1"/>
    <col min="27" max="27" width="22.28515625" style="194" hidden="1" customWidth="1"/>
    <col min="28" max="34" width="9.140625" style="194" hidden="1" customWidth="1"/>
    <col min="35" max="35" width="20.85546875" style="194" hidden="1" customWidth="1"/>
    <col min="36" max="53" width="9.140625" style="194" hidden="1" customWidth="1"/>
    <col min="54" max="54" width="9.140625" style="229" customWidth="1"/>
    <col min="55" max="16384" width="9.140625" style="229"/>
  </cols>
  <sheetData>
    <row r="1" spans="2:53" ht="28.5" customHeight="1" x14ac:dyDescent="0.3">
      <c r="B1" s="230"/>
      <c r="C1" s="231"/>
      <c r="D1" s="231"/>
      <c r="AA1" s="194" t="s">
        <v>1457</v>
      </c>
      <c r="AB1" s="194" t="s">
        <v>1457</v>
      </c>
      <c r="AC1" s="194" t="s">
        <v>1457</v>
      </c>
      <c r="AD1" s="194" t="s">
        <v>1457</v>
      </c>
      <c r="AE1" s="194" t="s">
        <v>1457</v>
      </c>
      <c r="AF1" s="194" t="s">
        <v>1457</v>
      </c>
      <c r="AG1" s="194" t="s">
        <v>1457</v>
      </c>
      <c r="AH1" s="194" t="s">
        <v>1457</v>
      </c>
      <c r="AI1" s="194" t="s">
        <v>1457</v>
      </c>
      <c r="AJ1" s="194" t="s">
        <v>1457</v>
      </c>
      <c r="AK1" s="194" t="s">
        <v>1457</v>
      </c>
      <c r="AL1" s="194" t="s">
        <v>1457</v>
      </c>
      <c r="AM1" s="194" t="s">
        <v>1457</v>
      </c>
      <c r="AN1" s="194" t="s">
        <v>1457</v>
      </c>
      <c r="AO1" s="194" t="s">
        <v>1457</v>
      </c>
      <c r="AP1" s="194" t="s">
        <v>1457</v>
      </c>
      <c r="AQ1" s="194" t="s">
        <v>1457</v>
      </c>
      <c r="AR1" s="194" t="s">
        <v>1457</v>
      </c>
      <c r="AS1" s="194" t="s">
        <v>1457</v>
      </c>
      <c r="AT1" s="194" t="s">
        <v>1457</v>
      </c>
      <c r="AU1" s="194" t="s">
        <v>1457</v>
      </c>
      <c r="AV1" s="194" t="s">
        <v>1457</v>
      </c>
      <c r="AW1" s="194" t="s">
        <v>1457</v>
      </c>
      <c r="AX1" s="194" t="s">
        <v>1457</v>
      </c>
      <c r="AY1" s="194" t="s">
        <v>1457</v>
      </c>
      <c r="AZ1" s="194" t="s">
        <v>1457</v>
      </c>
      <c r="BA1" s="194" t="s">
        <v>1457</v>
      </c>
    </row>
    <row r="2" spans="2:53" ht="30" x14ac:dyDescent="0.25">
      <c r="B2" s="231"/>
      <c r="C2" s="231"/>
      <c r="D2" s="312" t="s">
        <v>8</v>
      </c>
    </row>
    <row r="3" spans="2:53" ht="102" customHeight="1" x14ac:dyDescent="0.25">
      <c r="B3" s="231"/>
      <c r="C3" s="231"/>
      <c r="D3" s="231"/>
      <c r="AA3" s="195" t="s">
        <v>1339</v>
      </c>
      <c r="AB3" s="196"/>
      <c r="AD3" s="195" t="s">
        <v>9</v>
      </c>
      <c r="AF3" s="194" t="s">
        <v>1344</v>
      </c>
    </row>
    <row r="4" spans="2:53" ht="18.75" x14ac:dyDescent="0.3">
      <c r="B4" s="230" t="s">
        <v>1340</v>
      </c>
      <c r="C4" s="231"/>
      <c r="D4" s="231"/>
      <c r="AA4" s="195" t="s">
        <v>1335</v>
      </c>
      <c r="AB4" s="196">
        <v>0</v>
      </c>
      <c r="AD4" s="195">
        <v>2017</v>
      </c>
      <c r="AF4" s="195" t="s">
        <v>1205</v>
      </c>
      <c r="AK4" s="197"/>
    </row>
    <row r="5" spans="2:53" x14ac:dyDescent="0.25">
      <c r="D5" s="231"/>
      <c r="AA5" s="195" t="s">
        <v>1246</v>
      </c>
      <c r="AB5" s="196">
        <v>0</v>
      </c>
      <c r="AD5" s="195">
        <v>2018</v>
      </c>
      <c r="AF5" s="195" t="s">
        <v>1206</v>
      </c>
      <c r="AK5" s="197"/>
    </row>
    <row r="6" spans="2:53" ht="15.75" x14ac:dyDescent="0.25">
      <c r="B6" s="500" t="s">
        <v>1133</v>
      </c>
      <c r="C6" s="500"/>
      <c r="D6" s="500"/>
      <c r="E6" s="500"/>
      <c r="F6" s="500"/>
      <c r="AA6" s="195" t="s">
        <v>1328</v>
      </c>
      <c r="AB6" s="196">
        <v>1</v>
      </c>
      <c r="AD6" s="195">
        <v>2019</v>
      </c>
      <c r="AK6" s="197"/>
    </row>
    <row r="7" spans="2:53" x14ac:dyDescent="0.25">
      <c r="B7" s="565" t="s">
        <v>1211</v>
      </c>
      <c r="C7" s="565"/>
      <c r="D7" s="561" t="str">
        <f>IF('Indata byggnad och BBR krav'!C7="","",'Indata byggnad och BBR krav'!C7)</f>
        <v>Ny byggnad</v>
      </c>
      <c r="E7" s="561"/>
      <c r="F7" s="561"/>
      <c r="AA7" s="195" t="s">
        <v>1329</v>
      </c>
      <c r="AB7" s="196">
        <v>2</v>
      </c>
      <c r="AD7" s="195">
        <v>2020</v>
      </c>
      <c r="AK7" s="197"/>
    </row>
    <row r="8" spans="2:53" x14ac:dyDescent="0.25">
      <c r="B8" s="565" t="s">
        <v>10</v>
      </c>
      <c r="C8" s="565"/>
      <c r="D8" s="561" t="str">
        <f>IF('Indata byggnad och BBR krav'!C13="","",'Indata byggnad och BBR krav'!C13)</f>
        <v/>
      </c>
      <c r="E8" s="561"/>
      <c r="F8" s="561"/>
      <c r="AA8" s="195" t="s">
        <v>1330</v>
      </c>
      <c r="AB8" s="196">
        <v>3</v>
      </c>
      <c r="AD8" s="195">
        <v>2021</v>
      </c>
      <c r="AK8" s="197"/>
    </row>
    <row r="9" spans="2:53" x14ac:dyDescent="0.25">
      <c r="B9" s="565" t="s">
        <v>1311</v>
      </c>
      <c r="C9" s="565"/>
      <c r="D9" s="562" t="str">
        <f>IF('Indata byggnad och BBR krav'!C14="","",'Indata byggnad och BBR krav'!C14)</f>
        <v/>
      </c>
      <c r="E9" s="563"/>
      <c r="F9" s="564"/>
      <c r="AA9" s="195" t="s">
        <v>1331</v>
      </c>
      <c r="AB9" s="196">
        <v>4</v>
      </c>
      <c r="AD9" s="195">
        <v>2022</v>
      </c>
      <c r="AK9" s="197"/>
    </row>
    <row r="10" spans="2:53" ht="18" x14ac:dyDescent="0.25">
      <c r="B10" s="566" t="s">
        <v>1210</v>
      </c>
      <c r="C10" s="566"/>
      <c r="D10" s="561" t="str">
        <f>IF('Indata byggnad och BBR krav'!C16="","",'Indata byggnad och BBR krav'!C16)</f>
        <v/>
      </c>
      <c r="E10" s="561"/>
      <c r="F10" s="561"/>
      <c r="AA10" s="195" t="s">
        <v>1332</v>
      </c>
      <c r="AB10" s="196">
        <v>5</v>
      </c>
      <c r="AD10" s="195">
        <v>2023</v>
      </c>
      <c r="AK10" s="197"/>
    </row>
    <row r="11" spans="2:53" x14ac:dyDescent="0.25">
      <c r="B11" s="565" t="s">
        <v>11</v>
      </c>
      <c r="C11" s="565"/>
      <c r="D11" s="561" t="str">
        <f>IF('Indata byggnad och BBR krav'!C15="","",'Indata byggnad och BBR krav'!C15)</f>
        <v>Ale</v>
      </c>
      <c r="E11" s="561"/>
      <c r="F11" s="561"/>
      <c r="AA11" s="195" t="s">
        <v>1333</v>
      </c>
      <c r="AB11" s="196">
        <v>6</v>
      </c>
      <c r="AD11" s="195">
        <v>2024</v>
      </c>
      <c r="AK11" s="197"/>
    </row>
    <row r="12" spans="2:53" ht="15.75" customHeight="1" x14ac:dyDescent="0.25">
      <c r="B12" s="231"/>
      <c r="C12" s="231"/>
      <c r="D12" s="34"/>
      <c r="AA12" s="195" t="s">
        <v>1334</v>
      </c>
      <c r="AB12" s="196">
        <v>7</v>
      </c>
      <c r="AD12" s="195">
        <v>2025</v>
      </c>
      <c r="AK12" s="197"/>
    </row>
    <row r="13" spans="2:53" ht="15.75" x14ac:dyDescent="0.25">
      <c r="B13" s="401" t="s">
        <v>1319</v>
      </c>
      <c r="C13" s="401"/>
      <c r="D13" s="410"/>
      <c r="E13" s="410"/>
      <c r="F13" s="410"/>
      <c r="G13" s="410"/>
      <c r="H13" s="410"/>
      <c r="I13" s="410"/>
      <c r="J13" s="410"/>
      <c r="K13" s="410"/>
      <c r="L13" s="411"/>
      <c r="AD13" s="195">
        <v>2026</v>
      </c>
    </row>
    <row r="14" spans="2:53" x14ac:dyDescent="0.25">
      <c r="B14" s="557" t="s">
        <v>1345</v>
      </c>
      <c r="C14" s="557"/>
      <c r="D14" s="368" t="s">
        <v>1335</v>
      </c>
      <c r="E14" s="368" t="s">
        <v>1246</v>
      </c>
      <c r="F14" s="368"/>
      <c r="G14" s="368"/>
      <c r="H14" s="368"/>
      <c r="I14" s="368"/>
      <c r="J14" s="368"/>
      <c r="K14" s="368"/>
      <c r="L14" s="368"/>
      <c r="AD14" s="195">
        <v>2027</v>
      </c>
    </row>
    <row r="15" spans="2:53" x14ac:dyDescent="0.25">
      <c r="B15" s="557" t="s">
        <v>1337</v>
      </c>
      <c r="C15" s="557"/>
      <c r="D15" s="368">
        <v>2021</v>
      </c>
      <c r="E15" s="368"/>
      <c r="F15" s="368"/>
      <c r="G15" s="368"/>
      <c r="H15" s="368"/>
      <c r="I15" s="368"/>
      <c r="J15" s="368"/>
      <c r="K15" s="368"/>
      <c r="L15" s="368"/>
      <c r="AD15" s="195">
        <v>2028</v>
      </c>
    </row>
    <row r="16" spans="2:53" ht="15" customHeight="1" x14ac:dyDescent="0.25">
      <c r="B16" s="560" t="s">
        <v>1343</v>
      </c>
      <c r="C16" s="560"/>
      <c r="D16" s="412"/>
      <c r="E16" s="412"/>
      <c r="F16" s="412"/>
      <c r="G16" s="412"/>
      <c r="H16" s="412"/>
      <c r="I16" s="412"/>
      <c r="J16" s="412"/>
      <c r="K16" s="412"/>
      <c r="L16" s="412"/>
      <c r="AD16" s="195">
        <v>2029</v>
      </c>
    </row>
    <row r="17" spans="1:30" x14ac:dyDescent="0.25">
      <c r="B17" s="560" t="str">
        <f>IF($D$7="Befintlig byggnad Alternativ 1","Minskning av primärenergital (EPpet), %","Energiklass")</f>
        <v>Energiklass</v>
      </c>
      <c r="C17" s="560"/>
      <c r="D17" s="413"/>
      <c r="E17" s="412"/>
      <c r="F17" s="412"/>
      <c r="G17" s="412"/>
      <c r="H17" s="412"/>
      <c r="I17" s="412"/>
      <c r="J17" s="412"/>
      <c r="K17" s="412"/>
      <c r="L17" s="412"/>
      <c r="AD17" s="195">
        <v>2030</v>
      </c>
    </row>
    <row r="18" spans="1:30" x14ac:dyDescent="0.25">
      <c r="B18" s="558" t="s">
        <v>1223</v>
      </c>
      <c r="C18" s="559"/>
      <c r="D18" s="412"/>
      <c r="E18" s="412"/>
      <c r="F18" s="412"/>
      <c r="G18" s="412"/>
      <c r="H18" s="412"/>
      <c r="I18" s="412"/>
      <c r="J18" s="412"/>
      <c r="K18" s="412"/>
      <c r="L18" s="412"/>
      <c r="AD18" s="195">
        <v>2031</v>
      </c>
    </row>
    <row r="19" spans="1:30" x14ac:dyDescent="0.25">
      <c r="B19" s="560" t="s">
        <v>1336</v>
      </c>
      <c r="C19" s="560"/>
      <c r="D19" s="387"/>
      <c r="E19" s="404" t="str">
        <f>IF(E21&gt;5%,E21,"")</f>
        <v/>
      </c>
      <c r="F19" s="404" t="str">
        <f t="shared" ref="F19:L19" si="0">IF(F21&gt;5%,F21,"")</f>
        <v/>
      </c>
      <c r="G19" s="404" t="str">
        <f t="shared" si="0"/>
        <v/>
      </c>
      <c r="H19" s="404" t="str">
        <f t="shared" si="0"/>
        <v/>
      </c>
      <c r="I19" s="404" t="str">
        <f t="shared" si="0"/>
        <v/>
      </c>
      <c r="J19" s="404" t="str">
        <f t="shared" si="0"/>
        <v/>
      </c>
      <c r="K19" s="404" t="str">
        <f t="shared" si="0"/>
        <v/>
      </c>
      <c r="L19" s="404" t="str">
        <f t="shared" si="0"/>
        <v/>
      </c>
      <c r="M19" s="173"/>
      <c r="AD19" s="195">
        <v>2032</v>
      </c>
    </row>
    <row r="20" spans="1:30" s="232" customFormat="1" x14ac:dyDescent="0.25">
      <c r="B20" s="348"/>
      <c r="C20" s="348"/>
      <c r="D20" s="198">
        <f>IF(D14="","",VLOOKUP(D14,$AA$4:$AB$12,2,FALSE))</f>
        <v>0</v>
      </c>
      <c r="E20" s="198">
        <f>IF(E14="","",VLOOKUP(E14,$AA$4:$AB$12,2,FALSE))</f>
        <v>0</v>
      </c>
      <c r="F20" s="198" t="str">
        <f t="shared" ref="F20" si="1">IF(F14="","",VLOOKUP(F14,$AA$4:$AB$12,2,FALSE))</f>
        <v/>
      </c>
      <c r="G20" s="198" t="str">
        <f>IF(G14="","",VLOOKUP(G14,$AA$4:$AB$12,2,FALSE))</f>
        <v/>
      </c>
      <c r="H20" s="198" t="str">
        <f t="shared" ref="H20:L20" si="2">IF(H14="","",VLOOKUP(H14,$AA$4:$AB$12,2,FALSE))</f>
        <v/>
      </c>
      <c r="I20" s="198" t="str">
        <f t="shared" si="2"/>
        <v/>
      </c>
      <c r="J20" s="198" t="str">
        <f t="shared" si="2"/>
        <v/>
      </c>
      <c r="K20" s="198" t="str">
        <f t="shared" si="2"/>
        <v/>
      </c>
      <c r="L20" s="198" t="str">
        <f t="shared" si="2"/>
        <v/>
      </c>
      <c r="M20" s="70"/>
      <c r="N20" s="70"/>
      <c r="O20" s="70"/>
      <c r="P20" s="70"/>
      <c r="Q20" s="70"/>
      <c r="R20" s="70"/>
      <c r="S20" s="70"/>
      <c r="T20" s="70"/>
      <c r="U20" s="70"/>
      <c r="V20" s="70"/>
      <c r="W20" s="70"/>
      <c r="AD20" s="195">
        <v>2033</v>
      </c>
    </row>
    <row r="21" spans="1:30" s="232" customFormat="1" x14ac:dyDescent="0.25">
      <c r="B21" s="348"/>
      <c r="C21" s="348"/>
      <c r="D21" s="198"/>
      <c r="E21" s="349" t="str">
        <f>IF(OR(E20="",E20=0),"",(IF($D$14="Certifiering",((E16/$D$16)-1),((E16/$E$16)-1))))</f>
        <v/>
      </c>
      <c r="F21" s="349" t="str">
        <f>IF(OR(F20="",F20=0),"",(IF($D$14="Certifiering",((F16/$D$16)-1),((F16/$E$16)-1))))</f>
        <v/>
      </c>
      <c r="G21" s="349" t="str">
        <f>IF(OR(G20="",G20=0),"",(IF($D$14="Certifiering",((G16/$D$16)-1),((G16/$E$16)-1))))</f>
        <v/>
      </c>
      <c r="H21" s="349" t="str">
        <f t="shared" ref="H21:L21" si="3">IF(OR(H20="",H20=0),"",(IF($D$14="Certifiering",((H16/$D$16)-1),((H16/$E$16)-1))))</f>
        <v/>
      </c>
      <c r="I21" s="349" t="str">
        <f t="shared" si="3"/>
        <v/>
      </c>
      <c r="J21" s="349" t="str">
        <f t="shared" si="3"/>
        <v/>
      </c>
      <c r="K21" s="349" t="str">
        <f t="shared" si="3"/>
        <v/>
      </c>
      <c r="L21" s="349" t="str">
        <f t="shared" si="3"/>
        <v/>
      </c>
      <c r="M21" s="70"/>
      <c r="N21" s="70"/>
      <c r="O21" s="70"/>
      <c r="P21" s="70"/>
      <c r="Q21" s="70"/>
      <c r="R21" s="70"/>
      <c r="S21" s="70"/>
      <c r="T21" s="70"/>
      <c r="U21" s="70"/>
      <c r="V21" s="70"/>
      <c r="W21" s="70"/>
      <c r="AD21" s="195"/>
    </row>
    <row r="22" spans="1:30" ht="17.25" customHeight="1" x14ac:dyDescent="0.35">
      <c r="A22" s="60"/>
      <c r="B22" s="535" t="s">
        <v>1341</v>
      </c>
      <c r="C22" s="537"/>
      <c r="D22" s="537"/>
      <c r="E22" s="537"/>
      <c r="F22" s="537"/>
      <c r="G22" s="537"/>
      <c r="H22" s="537"/>
      <c r="I22" s="537"/>
      <c r="J22" s="537"/>
      <c r="K22" s="537"/>
      <c r="L22" s="537"/>
      <c r="M22" s="537"/>
      <c r="N22" s="537"/>
      <c r="O22" s="537"/>
      <c r="P22" s="537"/>
      <c r="Q22" s="537"/>
      <c r="R22" s="537"/>
      <c r="S22" s="537"/>
      <c r="T22" s="537"/>
      <c r="U22" s="536"/>
    </row>
    <row r="23" spans="1:30" s="231" customFormat="1" ht="17.25" customHeight="1" x14ac:dyDescent="0.25">
      <c r="A23" s="232"/>
      <c r="B23" s="556" t="s">
        <v>1345</v>
      </c>
      <c r="C23" s="556"/>
      <c r="D23" s="555" t="str">
        <f>IF($D$14="","",$D$14)</f>
        <v>Referensår</v>
      </c>
      <c r="E23" s="555"/>
      <c r="F23" s="555" t="str">
        <f>IF($E$14="","",$E$14)</f>
        <v>Certifiering</v>
      </c>
      <c r="G23" s="555"/>
      <c r="H23" s="555" t="str">
        <f>IF($F$14="","",$F$14)</f>
        <v/>
      </c>
      <c r="I23" s="555"/>
      <c r="J23" s="555" t="str">
        <f>IF($G$14="","",$G$14)</f>
        <v/>
      </c>
      <c r="K23" s="555"/>
      <c r="L23" s="555" t="str">
        <f>IF($H$14="","",$H$14)</f>
        <v/>
      </c>
      <c r="M23" s="555"/>
      <c r="N23" s="555" t="str">
        <f>IF($I$14="","",$I$14)</f>
        <v/>
      </c>
      <c r="O23" s="555"/>
      <c r="P23" s="555" t="str">
        <f>IF($J$14="","",$J$14)</f>
        <v/>
      </c>
      <c r="Q23" s="555"/>
      <c r="R23" s="555" t="str">
        <f>IF($K$14="","",$K$14)</f>
        <v/>
      </c>
      <c r="S23" s="555"/>
      <c r="T23" s="555" t="str">
        <f>IF($L$14="","",$L$14)</f>
        <v/>
      </c>
      <c r="U23" s="555"/>
      <c r="V23" s="229"/>
      <c r="W23" s="229"/>
      <c r="AD23" s="34"/>
    </row>
    <row r="24" spans="1:30" s="231" customFormat="1" ht="17.25" customHeight="1" x14ac:dyDescent="0.25">
      <c r="A24" s="232"/>
      <c r="B24" s="556" t="s">
        <v>1337</v>
      </c>
      <c r="C24" s="556"/>
      <c r="D24" s="555">
        <f>IF($D$15="","",$D$15)</f>
        <v>2021</v>
      </c>
      <c r="E24" s="555"/>
      <c r="F24" s="555" t="str">
        <f>IF($E$15="","",$E$15)</f>
        <v/>
      </c>
      <c r="G24" s="555"/>
      <c r="H24" s="555" t="str">
        <f>IF($F$15="","",$F$15)</f>
        <v/>
      </c>
      <c r="I24" s="555"/>
      <c r="J24" s="555" t="str">
        <f>IF($G$15="","",$G$15)</f>
        <v/>
      </c>
      <c r="K24" s="555"/>
      <c r="L24" s="555" t="str">
        <f>IF($H$15="","",$H$15)</f>
        <v/>
      </c>
      <c r="M24" s="555"/>
      <c r="N24" s="555" t="str">
        <f>IF($I$15="","",$I$15)</f>
        <v/>
      </c>
      <c r="O24" s="555"/>
      <c r="P24" s="555" t="str">
        <f>IF($J$15="","",$J$15)</f>
        <v/>
      </c>
      <c r="Q24" s="555"/>
      <c r="R24" s="555" t="str">
        <f>IF($K$15="","",$K$15)</f>
        <v/>
      </c>
      <c r="S24" s="555"/>
      <c r="T24" s="555" t="str">
        <f>IF($L$15="","",$L$15)</f>
        <v/>
      </c>
      <c r="U24" s="555"/>
      <c r="V24" s="229"/>
      <c r="W24" s="229"/>
      <c r="AD24" s="34"/>
    </row>
    <row r="25" spans="1:30" ht="15.75" customHeight="1" x14ac:dyDescent="0.25">
      <c r="A25" s="60"/>
      <c r="B25" s="199"/>
      <c r="C25" s="200"/>
      <c r="D25" s="201" t="s">
        <v>1326</v>
      </c>
      <c r="E25" s="201" t="s">
        <v>1327</v>
      </c>
      <c r="F25" s="201" t="s">
        <v>1326</v>
      </c>
      <c r="G25" s="201" t="s">
        <v>1327</v>
      </c>
      <c r="H25" s="201" t="s">
        <v>1326</v>
      </c>
      <c r="I25" s="201" t="s">
        <v>1327</v>
      </c>
      <c r="J25" s="201" t="s">
        <v>1326</v>
      </c>
      <c r="K25" s="201" t="s">
        <v>1327</v>
      </c>
      <c r="L25" s="201" t="s">
        <v>1326</v>
      </c>
      <c r="M25" s="201" t="s">
        <v>1327</v>
      </c>
      <c r="N25" s="201" t="s">
        <v>1326</v>
      </c>
      <c r="O25" s="201" t="s">
        <v>1327</v>
      </c>
      <c r="P25" s="201" t="s">
        <v>1326</v>
      </c>
      <c r="Q25" s="201" t="s">
        <v>1327</v>
      </c>
      <c r="R25" s="201" t="s">
        <v>1326</v>
      </c>
      <c r="S25" s="201" t="s">
        <v>1327</v>
      </c>
      <c r="T25" s="201" t="s">
        <v>1326</v>
      </c>
      <c r="U25" s="202" t="s">
        <v>1327</v>
      </c>
    </row>
    <row r="26" spans="1:30" x14ac:dyDescent="0.25">
      <c r="A26" s="60"/>
      <c r="B26" s="568" t="s">
        <v>1338</v>
      </c>
      <c r="C26" s="568"/>
      <c r="D26" s="414"/>
      <c r="E26" s="414"/>
      <c r="F26" s="414"/>
      <c r="G26" s="414"/>
      <c r="H26" s="414"/>
      <c r="I26" s="414"/>
      <c r="J26" s="414"/>
      <c r="K26" s="414"/>
      <c r="L26" s="414"/>
      <c r="M26" s="414"/>
      <c r="N26" s="414"/>
      <c r="O26" s="414"/>
      <c r="P26" s="414"/>
      <c r="Q26" s="414"/>
      <c r="R26" s="414"/>
      <c r="S26" s="414"/>
      <c r="T26" s="414"/>
      <c r="U26" s="414"/>
    </row>
    <row r="27" spans="1:30" x14ac:dyDescent="0.25">
      <c r="A27" s="60"/>
      <c r="B27" s="203" t="s">
        <v>29</v>
      </c>
      <c r="C27" s="204"/>
      <c r="D27" s="204"/>
      <c r="E27" s="204"/>
      <c r="F27" s="204"/>
      <c r="G27" s="204"/>
      <c r="H27" s="204"/>
      <c r="I27" s="204"/>
      <c r="J27" s="204"/>
      <c r="K27" s="204"/>
      <c r="L27" s="204"/>
      <c r="M27" s="204"/>
      <c r="N27" s="204"/>
      <c r="O27" s="204"/>
      <c r="P27" s="204"/>
      <c r="Q27" s="204"/>
      <c r="R27" s="204"/>
      <c r="S27" s="204"/>
      <c r="T27" s="204"/>
      <c r="U27" s="205"/>
    </row>
    <row r="28" spans="1:30" x14ac:dyDescent="0.25">
      <c r="A28" s="60"/>
      <c r="B28" s="568" t="s">
        <v>1308</v>
      </c>
      <c r="C28" s="568"/>
      <c r="D28" s="414"/>
      <c r="E28" s="414"/>
      <c r="F28" s="414"/>
      <c r="G28" s="414"/>
      <c r="H28" s="414"/>
      <c r="I28" s="414"/>
      <c r="J28" s="414"/>
      <c r="K28" s="414"/>
      <c r="L28" s="414"/>
      <c r="M28" s="414"/>
      <c r="N28" s="414"/>
      <c r="O28" s="414"/>
      <c r="P28" s="414"/>
      <c r="Q28" s="414"/>
      <c r="R28" s="414"/>
      <c r="S28" s="414"/>
      <c r="T28" s="414"/>
      <c r="U28" s="414"/>
    </row>
    <row r="29" spans="1:30" x14ac:dyDescent="0.25">
      <c r="B29" s="568" t="s">
        <v>1309</v>
      </c>
      <c r="C29" s="568"/>
      <c r="D29" s="414"/>
      <c r="E29" s="414"/>
      <c r="F29" s="414"/>
      <c r="G29" s="414"/>
      <c r="H29" s="414"/>
      <c r="I29" s="414"/>
      <c r="J29" s="414"/>
      <c r="K29" s="414"/>
      <c r="L29" s="414"/>
      <c r="M29" s="414"/>
      <c r="N29" s="414"/>
      <c r="O29" s="414"/>
      <c r="P29" s="414"/>
      <c r="Q29" s="414"/>
      <c r="R29" s="414"/>
      <c r="S29" s="414"/>
      <c r="T29" s="414"/>
      <c r="U29" s="414"/>
    </row>
    <row r="30" spans="1:30" x14ac:dyDescent="0.25">
      <c r="B30" s="568" t="s">
        <v>1310</v>
      </c>
      <c r="C30" s="568"/>
      <c r="D30" s="414"/>
      <c r="E30" s="414"/>
      <c r="F30" s="414"/>
      <c r="G30" s="414"/>
      <c r="H30" s="414"/>
      <c r="I30" s="414"/>
      <c r="J30" s="414"/>
      <c r="K30" s="414"/>
      <c r="L30" s="414"/>
      <c r="M30" s="414"/>
      <c r="N30" s="414"/>
      <c r="O30" s="414"/>
      <c r="P30" s="414"/>
      <c r="Q30" s="414"/>
      <c r="R30" s="414"/>
      <c r="S30" s="414"/>
      <c r="T30" s="414"/>
      <c r="U30" s="414"/>
    </row>
    <row r="31" spans="1:30" x14ac:dyDescent="0.25">
      <c r="B31" s="568" t="s">
        <v>1078</v>
      </c>
      <c r="C31" s="568"/>
      <c r="D31" s="415"/>
      <c r="E31" s="415"/>
      <c r="F31" s="415"/>
      <c r="G31" s="415"/>
      <c r="H31" s="415"/>
      <c r="I31" s="415"/>
      <c r="J31" s="415"/>
      <c r="K31" s="415"/>
      <c r="L31" s="415"/>
      <c r="M31" s="415"/>
      <c r="N31" s="415"/>
      <c r="O31" s="415"/>
      <c r="P31" s="415"/>
      <c r="Q31" s="415"/>
      <c r="R31" s="415"/>
      <c r="S31" s="415"/>
      <c r="T31" s="415"/>
      <c r="U31" s="415"/>
    </row>
    <row r="32" spans="1:30" ht="15" customHeight="1" x14ac:dyDescent="0.35">
      <c r="B32" s="206" t="s">
        <v>1342</v>
      </c>
      <c r="C32" s="207"/>
      <c r="D32" s="207"/>
      <c r="E32" s="207"/>
      <c r="F32" s="207"/>
      <c r="G32" s="207"/>
      <c r="H32" s="207"/>
      <c r="I32" s="207"/>
      <c r="J32" s="207"/>
      <c r="K32" s="207"/>
      <c r="L32" s="207"/>
      <c r="M32" s="207"/>
      <c r="N32" s="207"/>
      <c r="O32" s="207"/>
      <c r="P32" s="207"/>
      <c r="Q32" s="207"/>
      <c r="R32" s="207"/>
      <c r="S32" s="207"/>
      <c r="T32" s="207"/>
      <c r="U32" s="208"/>
    </row>
    <row r="33" spans="2:23" x14ac:dyDescent="0.25">
      <c r="B33" s="568" t="str">
        <f>IF('Indata byggnad och BBR krav'!C17&gt;0,"Hushållsenergi","Hushållsenergi (Finns ej)")</f>
        <v>Hushållsenergi (Finns ej)</v>
      </c>
      <c r="C33" s="568"/>
      <c r="D33" s="416"/>
      <c r="E33" s="368"/>
      <c r="F33" s="414"/>
      <c r="G33" s="414"/>
      <c r="H33" s="414"/>
      <c r="I33" s="414"/>
      <c r="J33" s="414"/>
      <c r="K33" s="414"/>
      <c r="L33" s="414"/>
      <c r="M33" s="414"/>
      <c r="N33" s="414"/>
      <c r="O33" s="414"/>
      <c r="P33" s="414"/>
      <c r="Q33" s="414"/>
      <c r="R33" s="414"/>
      <c r="S33" s="414"/>
      <c r="T33" s="414"/>
      <c r="U33" s="414"/>
    </row>
    <row r="34" spans="2:23" x14ac:dyDescent="0.25">
      <c r="B34" s="569" t="str">
        <f>IF('Indata byggnad och BBR krav'!C18&gt;0,"Verksamhetsenergi","Verksamhetsenergi (finns ej)")</f>
        <v>Verksamhetsenergi (finns ej)</v>
      </c>
      <c r="C34" s="569"/>
      <c r="D34" s="368"/>
      <c r="E34" s="368"/>
      <c r="F34" s="414"/>
      <c r="G34" s="414"/>
      <c r="H34" s="414"/>
      <c r="I34" s="414"/>
      <c r="J34" s="414"/>
      <c r="K34" s="414"/>
      <c r="L34" s="414"/>
      <c r="M34" s="414"/>
      <c r="N34" s="414"/>
      <c r="O34" s="414"/>
      <c r="P34" s="414"/>
      <c r="Q34" s="414"/>
      <c r="R34" s="414"/>
      <c r="S34" s="414"/>
      <c r="T34" s="414"/>
      <c r="U34" s="414"/>
    </row>
    <row r="35" spans="2:23" s="232" customFormat="1" x14ac:dyDescent="0.25">
      <c r="B35" s="251"/>
      <c r="C35" s="251"/>
      <c r="D35" s="37"/>
      <c r="E35" s="37"/>
      <c r="F35" s="37"/>
      <c r="G35" s="37"/>
      <c r="H35" s="37"/>
      <c r="I35" s="37"/>
      <c r="J35" s="37"/>
      <c r="K35" s="37"/>
      <c r="L35" s="37"/>
      <c r="M35" s="37"/>
      <c r="N35" s="37"/>
      <c r="O35" s="37"/>
      <c r="P35" s="37"/>
      <c r="Q35" s="37"/>
      <c r="R35" s="37"/>
      <c r="S35" s="37"/>
      <c r="T35" s="37"/>
      <c r="U35" s="37"/>
      <c r="V35" s="229"/>
      <c r="W35" s="229"/>
    </row>
    <row r="36" spans="2:23" s="232" customFormat="1" x14ac:dyDescent="0.25">
      <c r="B36" s="251"/>
      <c r="C36" s="251"/>
      <c r="D36" s="37"/>
      <c r="E36" s="37"/>
      <c r="F36" s="37"/>
      <c r="G36" s="37"/>
      <c r="H36" s="37"/>
      <c r="I36" s="37"/>
      <c r="J36" s="37"/>
      <c r="K36" s="37"/>
      <c r="L36" s="37"/>
      <c r="M36" s="37"/>
      <c r="N36" s="37"/>
      <c r="O36" s="37"/>
      <c r="P36" s="37"/>
      <c r="Q36" s="37"/>
      <c r="R36" s="37"/>
      <c r="S36" s="37"/>
      <c r="T36" s="37"/>
      <c r="U36" s="37"/>
      <c r="V36" s="229"/>
      <c r="W36" s="229"/>
    </row>
    <row r="37" spans="2:23" ht="15" customHeight="1" x14ac:dyDescent="0.35">
      <c r="B37" s="535" t="s">
        <v>1461</v>
      </c>
      <c r="C37" s="537"/>
      <c r="D37" s="537"/>
      <c r="E37" s="537"/>
      <c r="F37" s="537"/>
      <c r="G37" s="537"/>
      <c r="H37" s="537"/>
      <c r="I37" s="537"/>
      <c r="J37" s="537"/>
      <c r="K37" s="537"/>
      <c r="L37" s="537"/>
      <c r="M37" s="537"/>
      <c r="N37" s="537"/>
      <c r="O37" s="537"/>
      <c r="P37" s="537"/>
      <c r="Q37" s="537"/>
      <c r="R37" s="537"/>
      <c r="S37" s="537"/>
      <c r="T37" s="537"/>
      <c r="U37" s="536"/>
    </row>
    <row r="38" spans="2:23" s="231" customFormat="1" ht="15" customHeight="1" x14ac:dyDescent="0.25">
      <c r="B38" s="556" t="s">
        <v>1345</v>
      </c>
      <c r="C38" s="556"/>
      <c r="D38" s="555" t="str">
        <f>IF($D$14="","",$D$14)</f>
        <v>Referensår</v>
      </c>
      <c r="E38" s="555"/>
      <c r="F38" s="555" t="str">
        <f>IF($E$14="","",$E$14)</f>
        <v>Certifiering</v>
      </c>
      <c r="G38" s="555"/>
      <c r="H38" s="555" t="str">
        <f>IF($F$14="","",$F$14)</f>
        <v/>
      </c>
      <c r="I38" s="555"/>
      <c r="J38" s="555" t="str">
        <f>IF($G$14="","",$G$14)</f>
        <v/>
      </c>
      <c r="K38" s="555"/>
      <c r="L38" s="555" t="str">
        <f>IF($H$14="","",$H$14)</f>
        <v/>
      </c>
      <c r="M38" s="555"/>
      <c r="N38" s="555" t="str">
        <f>IF($I$14="","",$I$14)</f>
        <v/>
      </c>
      <c r="O38" s="555"/>
      <c r="P38" s="555" t="str">
        <f>IF($J$14="","",$J$14)</f>
        <v/>
      </c>
      <c r="Q38" s="555"/>
      <c r="R38" s="555" t="str">
        <f>IF($K$14="","",$K$14)</f>
        <v/>
      </c>
      <c r="S38" s="555"/>
      <c r="T38" s="555" t="str">
        <f>IF($L$14="","",$L$14)</f>
        <v/>
      </c>
      <c r="U38" s="555"/>
      <c r="V38" s="229"/>
      <c r="W38" s="229"/>
    </row>
    <row r="39" spans="2:23" s="231" customFormat="1" ht="15" customHeight="1" x14ac:dyDescent="0.25">
      <c r="B39" s="557" t="s">
        <v>1337</v>
      </c>
      <c r="C39" s="557"/>
      <c r="D39" s="555">
        <f>IF($D$15="","",$D$15)</f>
        <v>2021</v>
      </c>
      <c r="E39" s="555"/>
      <c r="F39" s="555" t="str">
        <f>IF($E$15="","",$E$15)</f>
        <v/>
      </c>
      <c r="G39" s="555"/>
      <c r="H39" s="555" t="str">
        <f>IF($F$15="","",$F$15)</f>
        <v/>
      </c>
      <c r="I39" s="555"/>
      <c r="J39" s="555" t="str">
        <f>IF($G$15="","",$G$15)</f>
        <v/>
      </c>
      <c r="K39" s="555"/>
      <c r="L39" s="555" t="str">
        <f>IF($H$15="","",$H$15)</f>
        <v/>
      </c>
      <c r="M39" s="555"/>
      <c r="N39" s="555" t="str">
        <f>IF($I$15="","",$I$15)</f>
        <v/>
      </c>
      <c r="O39" s="555"/>
      <c r="P39" s="555" t="str">
        <f>IF($J$15="","",$J$15)</f>
        <v/>
      </c>
      <c r="Q39" s="555"/>
      <c r="R39" s="555" t="str">
        <f>IF($K$15="","",$K$15)</f>
        <v/>
      </c>
      <c r="S39" s="555"/>
      <c r="T39" s="555" t="str">
        <f>IF($L$15="","",$L$15)</f>
        <v/>
      </c>
      <c r="U39" s="555"/>
      <c r="V39" s="229"/>
      <c r="W39" s="229"/>
    </row>
    <row r="40" spans="2:23" x14ac:dyDescent="0.25">
      <c r="B40" s="570" t="s">
        <v>1421</v>
      </c>
      <c r="C40" s="571"/>
      <c r="D40" s="567"/>
      <c r="E40" s="567"/>
      <c r="F40" s="567"/>
      <c r="G40" s="567"/>
      <c r="H40" s="567"/>
      <c r="I40" s="567"/>
      <c r="J40" s="567"/>
      <c r="K40" s="567"/>
      <c r="L40" s="567"/>
      <c r="M40" s="567"/>
      <c r="N40" s="567"/>
      <c r="O40" s="567"/>
      <c r="P40" s="567"/>
      <c r="Q40" s="567"/>
      <c r="R40" s="567"/>
      <c r="S40" s="567"/>
      <c r="T40" s="567"/>
      <c r="U40" s="567"/>
    </row>
    <row r="41" spans="2:23" x14ac:dyDescent="0.25">
      <c r="B41" s="570" t="s">
        <v>1428</v>
      </c>
      <c r="C41" s="571"/>
      <c r="D41" s="567"/>
      <c r="E41" s="567"/>
      <c r="F41" s="567"/>
      <c r="G41" s="567"/>
      <c r="H41" s="567"/>
      <c r="I41" s="567"/>
      <c r="J41" s="567"/>
      <c r="K41" s="567"/>
      <c r="L41" s="567"/>
      <c r="M41" s="567"/>
      <c r="N41" s="567"/>
      <c r="O41" s="567"/>
      <c r="P41" s="567"/>
      <c r="Q41" s="567"/>
      <c r="R41" s="567"/>
      <c r="S41" s="567"/>
      <c r="T41" s="567"/>
      <c r="U41" s="567"/>
    </row>
    <row r="42" spans="2:23" x14ac:dyDescent="0.25">
      <c r="B42" s="231"/>
      <c r="C42" s="231"/>
      <c r="D42" s="231"/>
    </row>
  </sheetData>
  <sheetProtection algorithmName="SHA-512" hashValue="TNEbQFoAMWG7MwFmef6g4IAScmUuU8QdLmGCWCov6PdU1bxag7Gd0H4KW5e5YuBzzBlMGQbHuMgW0gcFlOkTuw==" saltValue="tJ1SJOIh0FW+00mlE2VPyw==" spinCount="100000" sheet="1" objects="1" scenarios="1" selectLockedCells="1"/>
  <mergeCells count="86">
    <mergeCell ref="B33:C33"/>
    <mergeCell ref="B34:C34"/>
    <mergeCell ref="D40:E40"/>
    <mergeCell ref="D41:E41"/>
    <mergeCell ref="B17:C17"/>
    <mergeCell ref="B28:C28"/>
    <mergeCell ref="B29:C29"/>
    <mergeCell ref="B30:C30"/>
    <mergeCell ref="B31:C31"/>
    <mergeCell ref="B23:C23"/>
    <mergeCell ref="B26:C26"/>
    <mergeCell ref="B40:C40"/>
    <mergeCell ref="B41:C41"/>
    <mergeCell ref="B37:U37"/>
    <mergeCell ref="R41:S41"/>
    <mergeCell ref="T40:U40"/>
    <mergeCell ref="L41:M41"/>
    <mergeCell ref="J40:K40"/>
    <mergeCell ref="F40:G40"/>
    <mergeCell ref="F41:G41"/>
    <mergeCell ref="H40:I40"/>
    <mergeCell ref="H41:I41"/>
    <mergeCell ref="J41:K41"/>
    <mergeCell ref="L40:M40"/>
    <mergeCell ref="T41:U41"/>
    <mergeCell ref="R40:S40"/>
    <mergeCell ref="T38:U38"/>
    <mergeCell ref="P39:Q39"/>
    <mergeCell ref="N41:O41"/>
    <mergeCell ref="P40:Q40"/>
    <mergeCell ref="P41:Q41"/>
    <mergeCell ref="N40:O40"/>
    <mergeCell ref="N39:O39"/>
    <mergeCell ref="P38:Q38"/>
    <mergeCell ref="R38:S38"/>
    <mergeCell ref="R39:S39"/>
    <mergeCell ref="T39:U39"/>
    <mergeCell ref="N38:O38"/>
    <mergeCell ref="B22:U22"/>
    <mergeCell ref="B16:C16"/>
    <mergeCell ref="B14:C14"/>
    <mergeCell ref="B9:C9"/>
    <mergeCell ref="B10:C10"/>
    <mergeCell ref="B11:C11"/>
    <mergeCell ref="B6:F6"/>
    <mergeCell ref="D23:E23"/>
    <mergeCell ref="F23:G23"/>
    <mergeCell ref="B24:C24"/>
    <mergeCell ref="D24:E24"/>
    <mergeCell ref="F24:G24"/>
    <mergeCell ref="B18:C18"/>
    <mergeCell ref="B19:C19"/>
    <mergeCell ref="D7:F7"/>
    <mergeCell ref="D8:F8"/>
    <mergeCell ref="D9:F9"/>
    <mergeCell ref="D10:F10"/>
    <mergeCell ref="D11:F11"/>
    <mergeCell ref="B7:C7"/>
    <mergeCell ref="B8:C8"/>
    <mergeCell ref="B15:C15"/>
    <mergeCell ref="H24:I24"/>
    <mergeCell ref="J24:K24"/>
    <mergeCell ref="T24:U24"/>
    <mergeCell ref="L23:M23"/>
    <mergeCell ref="N23:O23"/>
    <mergeCell ref="P23:Q23"/>
    <mergeCell ref="R23:S23"/>
    <mergeCell ref="T23:U23"/>
    <mergeCell ref="L24:M24"/>
    <mergeCell ref="N24:O24"/>
    <mergeCell ref="P24:Q24"/>
    <mergeCell ref="R24:S24"/>
    <mergeCell ref="H23:I23"/>
    <mergeCell ref="J23:K23"/>
    <mergeCell ref="L39:M39"/>
    <mergeCell ref="B38:C38"/>
    <mergeCell ref="D38:E38"/>
    <mergeCell ref="F38:G38"/>
    <mergeCell ref="H38:I38"/>
    <mergeCell ref="J38:K38"/>
    <mergeCell ref="L38:M38"/>
    <mergeCell ref="B39:C39"/>
    <mergeCell ref="D39:E39"/>
    <mergeCell ref="F39:G39"/>
    <mergeCell ref="H39:I39"/>
    <mergeCell ref="J39:K39"/>
  </mergeCells>
  <phoneticPr fontId="41" type="noConversion"/>
  <dataValidations count="3">
    <dataValidation type="list" allowBlank="1" showInputMessage="1" showErrorMessage="1" sqref="D14:L14" xr:uid="{D2E93EC0-08F7-4E2D-9101-33157EAC0418}">
      <formula1>$AA$4:$AA$12</formula1>
    </dataValidation>
    <dataValidation type="list" allowBlank="1" showInputMessage="1" showErrorMessage="1" sqref="D15:L15" xr:uid="{0584AD0B-640E-4806-8F8B-5D7AA40741A2}">
      <formula1>$AD$4:$AD$20</formula1>
    </dataValidation>
    <dataValidation type="list" allowBlank="1" showInputMessage="1" showErrorMessage="1" sqref="D18:L18" xr:uid="{9D225E62-43F3-4742-B3C9-4BAE3367F67D}">
      <formula1>$AF$4:$AF$5</formula1>
    </dataValidation>
  </dataValidations>
  <pageMargins left="0.7" right="0.7" top="0.75" bottom="0.75" header="0.3" footer="0.3"/>
  <pageSetup paperSize="9" orientation="portrait" horizontalDpi="4294967293"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BB10-D589-49B1-A0C8-D60BC8C0FD60}">
  <sheetPr codeName="Sheet5"/>
  <dimension ref="A1:KV87"/>
  <sheetViews>
    <sheetView topLeftCell="JT1" workbookViewId="0">
      <selection activeCell="P1" sqref="P1"/>
    </sheetView>
  </sheetViews>
  <sheetFormatPr defaultRowHeight="15" x14ac:dyDescent="0.25"/>
  <sheetData>
    <row r="1" spans="1:305" x14ac:dyDescent="0.25">
      <c r="A1" s="6" t="s">
        <v>30</v>
      </c>
      <c r="B1" s="6"/>
      <c r="C1" s="7" t="s">
        <v>31</v>
      </c>
      <c r="D1" s="7" t="s">
        <v>32</v>
      </c>
      <c r="E1" s="7" t="s">
        <v>33</v>
      </c>
      <c r="F1" s="7" t="s">
        <v>34</v>
      </c>
      <c r="G1" s="7" t="s">
        <v>35</v>
      </c>
      <c r="H1" s="7" t="s">
        <v>36</v>
      </c>
      <c r="I1" s="7" t="s">
        <v>37</v>
      </c>
      <c r="J1" s="7" t="s">
        <v>38</v>
      </c>
      <c r="K1" s="7" t="s">
        <v>425</v>
      </c>
      <c r="L1" s="7" t="s">
        <v>40</v>
      </c>
      <c r="M1" s="7" t="s">
        <v>41</v>
      </c>
      <c r="N1" s="7" t="s">
        <v>42</v>
      </c>
      <c r="O1" s="7" t="s">
        <v>43</v>
      </c>
      <c r="P1" s="7" t="s">
        <v>426</v>
      </c>
      <c r="Q1" s="7" t="s">
        <v>45</v>
      </c>
      <c r="R1" s="7" t="s">
        <v>46</v>
      </c>
      <c r="S1" s="7" t="s">
        <v>47</v>
      </c>
      <c r="T1" s="7" t="s">
        <v>48</v>
      </c>
      <c r="U1" s="7" t="s">
        <v>49</v>
      </c>
      <c r="V1" s="7" t="s">
        <v>50</v>
      </c>
      <c r="W1" s="7" t="s">
        <v>51</v>
      </c>
      <c r="X1" s="7" t="s">
        <v>52</v>
      </c>
      <c r="Y1" s="7" t="s">
        <v>53</v>
      </c>
      <c r="Z1" s="7" t="s">
        <v>54</v>
      </c>
      <c r="AA1" s="7" t="s">
        <v>55</v>
      </c>
      <c r="AB1" s="7" t="s">
        <v>56</v>
      </c>
      <c r="AC1" s="7" t="s">
        <v>57</v>
      </c>
      <c r="AD1" s="7" t="s">
        <v>58</v>
      </c>
      <c r="AE1" s="7" t="s">
        <v>59</v>
      </c>
      <c r="AF1" s="7" t="s">
        <v>60</v>
      </c>
      <c r="AG1" s="7" t="s">
        <v>61</v>
      </c>
      <c r="AH1" s="7" t="s">
        <v>62</v>
      </c>
      <c r="AI1" s="7" t="s">
        <v>63</v>
      </c>
      <c r="AJ1" s="7" t="s">
        <v>64</v>
      </c>
      <c r="AK1" s="7" t="s">
        <v>65</v>
      </c>
      <c r="AL1" s="7" t="s">
        <v>66</v>
      </c>
      <c r="AM1" s="7" t="s">
        <v>67</v>
      </c>
      <c r="AN1" s="7" t="s">
        <v>68</v>
      </c>
      <c r="AO1" s="7" t="s">
        <v>69</v>
      </c>
      <c r="AP1" s="7" t="s">
        <v>70</v>
      </c>
      <c r="AQ1" s="7" t="s">
        <v>71</v>
      </c>
      <c r="AR1" s="7" t="s">
        <v>72</v>
      </c>
      <c r="AS1" s="7" t="s">
        <v>73</v>
      </c>
      <c r="AT1" s="7" t="s">
        <v>74</v>
      </c>
      <c r="AU1" s="7" t="s">
        <v>75</v>
      </c>
      <c r="AV1" s="7" t="s">
        <v>76</v>
      </c>
      <c r="AW1" s="7" t="s">
        <v>77</v>
      </c>
      <c r="AX1" s="7" t="s">
        <v>78</v>
      </c>
      <c r="AY1" s="7" t="s">
        <v>79</v>
      </c>
      <c r="AZ1" s="7" t="s">
        <v>80</v>
      </c>
      <c r="BA1" s="7" t="s">
        <v>81</v>
      </c>
      <c r="BB1" s="7" t="s">
        <v>82</v>
      </c>
      <c r="BC1" s="7" t="s">
        <v>83</v>
      </c>
      <c r="BD1" s="7" t="s">
        <v>84</v>
      </c>
      <c r="BE1" s="7" t="s">
        <v>85</v>
      </c>
      <c r="BF1" s="7" t="s">
        <v>86</v>
      </c>
      <c r="BG1" s="7" t="s">
        <v>87</v>
      </c>
      <c r="BH1" s="7" t="s">
        <v>88</v>
      </c>
      <c r="BI1" s="7" t="s">
        <v>89</v>
      </c>
      <c r="BJ1" s="7" t="s">
        <v>90</v>
      </c>
      <c r="BK1" s="7" t="s">
        <v>91</v>
      </c>
      <c r="BL1" s="7" t="s">
        <v>92</v>
      </c>
      <c r="BM1" s="7" t="s">
        <v>93</v>
      </c>
      <c r="BN1" s="7" t="s">
        <v>94</v>
      </c>
      <c r="BO1" s="7" t="s">
        <v>95</v>
      </c>
      <c r="BP1" s="7" t="s">
        <v>96</v>
      </c>
      <c r="BQ1" s="7" t="s">
        <v>97</v>
      </c>
      <c r="BR1" s="7" t="s">
        <v>98</v>
      </c>
      <c r="BS1" s="7" t="s">
        <v>99</v>
      </c>
      <c r="BT1" s="7" t="s">
        <v>100</v>
      </c>
      <c r="BU1" s="7" t="s">
        <v>101</v>
      </c>
      <c r="BV1" s="7" t="s">
        <v>102</v>
      </c>
      <c r="BW1" s="7" t="s">
        <v>103</v>
      </c>
      <c r="BX1" s="7" t="s">
        <v>104</v>
      </c>
      <c r="BY1" s="7" t="s">
        <v>105</v>
      </c>
      <c r="BZ1" s="7" t="s">
        <v>106</v>
      </c>
      <c r="CA1" s="7" t="s">
        <v>107</v>
      </c>
      <c r="CB1" s="7" t="s">
        <v>108</v>
      </c>
      <c r="CC1" s="7" t="s">
        <v>109</v>
      </c>
      <c r="CD1" s="7" t="s">
        <v>110</v>
      </c>
      <c r="CE1" s="7" t="s">
        <v>111</v>
      </c>
      <c r="CF1" s="7" t="s">
        <v>112</v>
      </c>
      <c r="CG1" s="7" t="s">
        <v>113</v>
      </c>
      <c r="CH1" s="7" t="s">
        <v>114</v>
      </c>
      <c r="CI1" s="7" t="s">
        <v>115</v>
      </c>
      <c r="CJ1" s="7" t="s">
        <v>116</v>
      </c>
      <c r="CK1" s="7" t="s">
        <v>117</v>
      </c>
      <c r="CL1" s="7" t="s">
        <v>118</v>
      </c>
      <c r="CM1" s="7" t="s">
        <v>119</v>
      </c>
      <c r="CN1" s="7" t="s">
        <v>120</v>
      </c>
      <c r="CO1" s="7" t="s">
        <v>121</v>
      </c>
      <c r="CP1" s="7" t="s">
        <v>122</v>
      </c>
      <c r="CQ1" s="7" t="s">
        <v>123</v>
      </c>
      <c r="CR1" s="7" t="s">
        <v>124</v>
      </c>
      <c r="CS1" s="7" t="s">
        <v>125</v>
      </c>
      <c r="CT1" s="7" t="s">
        <v>126</v>
      </c>
      <c r="CU1" s="7" t="s">
        <v>127</v>
      </c>
      <c r="CV1" s="7" t="s">
        <v>128</v>
      </c>
      <c r="CW1" s="7" t="s">
        <v>129</v>
      </c>
      <c r="CX1" s="7" t="s">
        <v>130</v>
      </c>
      <c r="CY1" s="7" t="s">
        <v>131</v>
      </c>
      <c r="CZ1" s="7" t="s">
        <v>132</v>
      </c>
      <c r="DA1" s="7" t="s">
        <v>133</v>
      </c>
      <c r="DB1" s="7" t="s">
        <v>134</v>
      </c>
      <c r="DC1" s="7" t="s">
        <v>135</v>
      </c>
      <c r="DD1" s="7" t="s">
        <v>136</v>
      </c>
      <c r="DE1" s="7" t="s">
        <v>137</v>
      </c>
      <c r="DF1" s="7" t="s">
        <v>138</v>
      </c>
      <c r="DG1" s="7" t="s">
        <v>139</v>
      </c>
      <c r="DH1" s="7" t="s">
        <v>140</v>
      </c>
      <c r="DI1" s="7" t="s">
        <v>141</v>
      </c>
      <c r="DJ1" s="7" t="s">
        <v>142</v>
      </c>
      <c r="DK1" s="7" t="s">
        <v>143</v>
      </c>
      <c r="DL1" s="7" t="s">
        <v>144</v>
      </c>
      <c r="DM1" s="7" t="s">
        <v>145</v>
      </c>
      <c r="DN1" s="7" t="s">
        <v>146</v>
      </c>
      <c r="DO1" s="7" t="s">
        <v>147</v>
      </c>
      <c r="DP1" s="7" t="s">
        <v>148</v>
      </c>
      <c r="DQ1" s="7" t="s">
        <v>149</v>
      </c>
      <c r="DR1" s="7" t="s">
        <v>150</v>
      </c>
      <c r="DS1" s="7" t="s">
        <v>151</v>
      </c>
      <c r="DT1" s="7" t="s">
        <v>152</v>
      </c>
      <c r="DU1" s="7" t="s">
        <v>153</v>
      </c>
      <c r="DV1" s="7" t="s">
        <v>154</v>
      </c>
      <c r="DW1" s="7" t="s">
        <v>155</v>
      </c>
      <c r="DX1" s="7" t="s">
        <v>156</v>
      </c>
      <c r="DY1" s="7" t="s">
        <v>157</v>
      </c>
      <c r="DZ1" s="7" t="s">
        <v>158</v>
      </c>
      <c r="EA1" s="7" t="s">
        <v>159</v>
      </c>
      <c r="EB1" s="7" t="s">
        <v>160</v>
      </c>
      <c r="EC1" s="7" t="s">
        <v>161</v>
      </c>
      <c r="ED1" s="7" t="s">
        <v>162</v>
      </c>
      <c r="EE1" s="7" t="s">
        <v>163</v>
      </c>
      <c r="EF1" s="7" t="s">
        <v>164</v>
      </c>
      <c r="EG1" s="7" t="s">
        <v>165</v>
      </c>
      <c r="EH1" s="7" t="s">
        <v>166</v>
      </c>
      <c r="EI1" s="7" t="s">
        <v>167</v>
      </c>
      <c r="EJ1" s="7" t="s">
        <v>168</v>
      </c>
      <c r="EK1" s="7" t="s">
        <v>169</v>
      </c>
      <c r="EL1" s="7" t="s">
        <v>170</v>
      </c>
      <c r="EM1" s="7" t="s">
        <v>171</v>
      </c>
      <c r="EN1" s="7" t="s">
        <v>172</v>
      </c>
      <c r="EO1" s="7" t="s">
        <v>173</v>
      </c>
      <c r="EP1" s="7" t="s">
        <v>174</v>
      </c>
      <c r="EQ1" s="7" t="s">
        <v>175</v>
      </c>
      <c r="ER1" s="7" t="s">
        <v>176</v>
      </c>
      <c r="ES1" s="7" t="s">
        <v>177</v>
      </c>
      <c r="ET1" s="7" t="s">
        <v>178</v>
      </c>
      <c r="EU1" s="7" t="s">
        <v>179</v>
      </c>
      <c r="EV1" s="7" t="s">
        <v>180</v>
      </c>
      <c r="EW1" s="7" t="s">
        <v>181</v>
      </c>
      <c r="EX1" s="7" t="s">
        <v>182</v>
      </c>
      <c r="EY1" s="7" t="s">
        <v>183</v>
      </c>
      <c r="EZ1" s="7" t="s">
        <v>184</v>
      </c>
      <c r="FA1" s="7" t="s">
        <v>185</v>
      </c>
      <c r="FB1" s="7" t="s">
        <v>186</v>
      </c>
      <c r="FC1" s="7" t="s">
        <v>187</v>
      </c>
      <c r="FD1" s="7" t="s">
        <v>188</v>
      </c>
      <c r="FE1" s="7" t="s">
        <v>189</v>
      </c>
      <c r="FF1" s="7" t="s">
        <v>190</v>
      </c>
      <c r="FG1" s="7" t="s">
        <v>191</v>
      </c>
      <c r="FH1" s="7" t="s">
        <v>192</v>
      </c>
      <c r="FI1" s="7" t="s">
        <v>193</v>
      </c>
      <c r="FJ1" s="7" t="s">
        <v>194</v>
      </c>
      <c r="FK1" s="7" t="s">
        <v>195</v>
      </c>
      <c r="FL1" s="7" t="s">
        <v>196</v>
      </c>
      <c r="FM1" s="7" t="s">
        <v>197</v>
      </c>
      <c r="FN1" s="7" t="s">
        <v>198</v>
      </c>
      <c r="FO1" s="7" t="s">
        <v>199</v>
      </c>
      <c r="FP1" s="7" t="s">
        <v>200</v>
      </c>
      <c r="FQ1" s="7" t="s">
        <v>201</v>
      </c>
      <c r="FR1" s="7" t="s">
        <v>202</v>
      </c>
      <c r="FS1" s="7" t="s">
        <v>203</v>
      </c>
      <c r="FT1" s="7" t="s">
        <v>204</v>
      </c>
      <c r="FU1" s="7" t="s">
        <v>205</v>
      </c>
      <c r="FV1" s="7" t="s">
        <v>206</v>
      </c>
      <c r="FW1" s="7" t="s">
        <v>207</v>
      </c>
      <c r="FX1" s="7" t="s">
        <v>208</v>
      </c>
      <c r="FY1" s="7" t="s">
        <v>209</v>
      </c>
      <c r="FZ1" s="7" t="s">
        <v>210</v>
      </c>
      <c r="GA1" s="7" t="s">
        <v>211</v>
      </c>
      <c r="GB1" s="7" t="s">
        <v>212</v>
      </c>
      <c r="GC1" s="7" t="s">
        <v>213</v>
      </c>
      <c r="GD1" s="7" t="s">
        <v>214</v>
      </c>
      <c r="GE1" s="7" t="s">
        <v>215</v>
      </c>
      <c r="GF1" s="7" t="s">
        <v>216</v>
      </c>
      <c r="GG1" s="7" t="s">
        <v>217</v>
      </c>
      <c r="GH1" s="7" t="s">
        <v>218</v>
      </c>
      <c r="GI1" s="7" t="s">
        <v>219</v>
      </c>
      <c r="GJ1" s="7" t="s">
        <v>220</v>
      </c>
      <c r="GK1" s="7" t="s">
        <v>221</v>
      </c>
      <c r="GL1" s="7" t="s">
        <v>222</v>
      </c>
      <c r="GM1" s="7" t="s">
        <v>222</v>
      </c>
      <c r="GN1" s="7" t="s">
        <v>223</v>
      </c>
      <c r="GO1" s="7" t="s">
        <v>224</v>
      </c>
      <c r="GP1" s="7" t="s">
        <v>225</v>
      </c>
      <c r="GQ1" s="7" t="s">
        <v>226</v>
      </c>
      <c r="GR1" s="7" t="s">
        <v>227</v>
      </c>
      <c r="GS1" s="7" t="s">
        <v>228</v>
      </c>
      <c r="GT1" s="7" t="s">
        <v>229</v>
      </c>
      <c r="GU1" s="7" t="s">
        <v>230</v>
      </c>
      <c r="GV1" s="7" t="s">
        <v>231</v>
      </c>
      <c r="GW1" s="7" t="s">
        <v>232</v>
      </c>
      <c r="GX1" s="7" t="s">
        <v>233</v>
      </c>
      <c r="GY1" s="7" t="s">
        <v>234</v>
      </c>
      <c r="GZ1" s="7" t="s">
        <v>235</v>
      </c>
      <c r="HA1" s="7" t="s">
        <v>236</v>
      </c>
      <c r="HB1" s="7" t="s">
        <v>237</v>
      </c>
      <c r="HC1" s="7" t="s">
        <v>238</v>
      </c>
      <c r="HD1" s="7" t="s">
        <v>239</v>
      </c>
      <c r="HE1" s="7" t="s">
        <v>240</v>
      </c>
      <c r="HF1" s="7" t="s">
        <v>241</v>
      </c>
      <c r="HG1" s="7" t="s">
        <v>242</v>
      </c>
      <c r="HH1" s="7" t="s">
        <v>243</v>
      </c>
      <c r="HI1" s="7" t="s">
        <v>244</v>
      </c>
      <c r="HJ1" s="7" t="s">
        <v>245</v>
      </c>
      <c r="HK1" s="7" t="s">
        <v>246</v>
      </c>
      <c r="HL1" s="7" t="s">
        <v>247</v>
      </c>
      <c r="HM1" s="7" t="s">
        <v>248</v>
      </c>
      <c r="HN1" s="7" t="s">
        <v>249</v>
      </c>
      <c r="HO1" s="7" t="s">
        <v>250</v>
      </c>
      <c r="HP1" s="7" t="s">
        <v>251</v>
      </c>
      <c r="HQ1" s="7" t="s">
        <v>252</v>
      </c>
      <c r="HR1" s="7" t="s">
        <v>253</v>
      </c>
      <c r="HS1" s="7" t="s">
        <v>254</v>
      </c>
      <c r="HT1" s="7" t="s">
        <v>255</v>
      </c>
      <c r="HU1" s="7" t="s">
        <v>256</v>
      </c>
      <c r="HV1" s="7" t="s">
        <v>257</v>
      </c>
      <c r="HW1" s="7" t="s">
        <v>258</v>
      </c>
      <c r="HX1" s="7" t="s">
        <v>259</v>
      </c>
      <c r="HY1" s="7" t="s">
        <v>260</v>
      </c>
      <c r="HZ1" s="7" t="s">
        <v>261</v>
      </c>
      <c r="IA1" s="7" t="s">
        <v>262</v>
      </c>
      <c r="IB1" s="7" t="s">
        <v>263</v>
      </c>
      <c r="IC1" s="7" t="s">
        <v>264</v>
      </c>
      <c r="ID1" s="7" t="s">
        <v>265</v>
      </c>
      <c r="IE1" s="7" t="s">
        <v>266</v>
      </c>
      <c r="IF1" s="7" t="s">
        <v>267</v>
      </c>
      <c r="IG1" s="7" t="s">
        <v>268</v>
      </c>
      <c r="IH1" s="7" t="s">
        <v>269</v>
      </c>
      <c r="II1" s="7" t="s">
        <v>270</v>
      </c>
      <c r="IJ1" s="7" t="s">
        <v>271</v>
      </c>
      <c r="IK1" s="7" t="s">
        <v>272</v>
      </c>
      <c r="IL1" s="7" t="s">
        <v>273</v>
      </c>
      <c r="IM1" s="7" t="s">
        <v>274</v>
      </c>
      <c r="IN1" s="7" t="s">
        <v>275</v>
      </c>
      <c r="IO1" s="7" t="s">
        <v>276</v>
      </c>
      <c r="IP1" s="7" t="s">
        <v>277</v>
      </c>
      <c r="IQ1" s="7" t="s">
        <v>278</v>
      </c>
      <c r="IR1" s="7" t="s">
        <v>279</v>
      </c>
      <c r="IS1" s="7" t="s">
        <v>280</v>
      </c>
      <c r="IT1" s="7" t="s">
        <v>281</v>
      </c>
      <c r="IU1" s="7" t="s">
        <v>282</v>
      </c>
      <c r="IV1" s="7" t="s">
        <v>283</v>
      </c>
      <c r="IW1" s="7" t="s">
        <v>284</v>
      </c>
      <c r="IX1" s="7" t="s">
        <v>285</v>
      </c>
      <c r="IY1" s="7" t="s">
        <v>286</v>
      </c>
      <c r="IZ1" s="7" t="s">
        <v>287</v>
      </c>
      <c r="JA1" s="7" t="s">
        <v>288</v>
      </c>
      <c r="JB1" s="7" t="s">
        <v>289</v>
      </c>
      <c r="JC1" s="7" t="s">
        <v>290</v>
      </c>
      <c r="JD1" s="7" t="s">
        <v>291</v>
      </c>
      <c r="JE1" s="7" t="s">
        <v>292</v>
      </c>
      <c r="JF1" s="7" t="s">
        <v>293</v>
      </c>
      <c r="JG1" s="7" t="s">
        <v>294</v>
      </c>
      <c r="JH1" s="7" t="s">
        <v>295</v>
      </c>
      <c r="JI1" s="7" t="s">
        <v>296</v>
      </c>
      <c r="JJ1" s="7" t="s">
        <v>297</v>
      </c>
      <c r="JK1" s="7" t="s">
        <v>298</v>
      </c>
      <c r="JL1" s="7" t="s">
        <v>299</v>
      </c>
      <c r="JM1" s="7" t="s">
        <v>300</v>
      </c>
      <c r="JN1" s="7" t="s">
        <v>301</v>
      </c>
      <c r="JO1" s="7" t="s">
        <v>302</v>
      </c>
      <c r="JP1" s="7" t="s">
        <v>303</v>
      </c>
      <c r="JQ1" s="7" t="s">
        <v>304</v>
      </c>
      <c r="JR1" s="7" t="s">
        <v>305</v>
      </c>
      <c r="JS1" s="7" t="s">
        <v>306</v>
      </c>
      <c r="JT1" s="7" t="s">
        <v>307</v>
      </c>
      <c r="JU1" s="7" t="s">
        <v>308</v>
      </c>
      <c r="JV1" s="7" t="s">
        <v>309</v>
      </c>
      <c r="JW1" s="7" t="s">
        <v>310</v>
      </c>
      <c r="JX1" s="7" t="s">
        <v>311</v>
      </c>
      <c r="JY1" s="7" t="s">
        <v>312</v>
      </c>
      <c r="JZ1" s="7" t="s">
        <v>313</v>
      </c>
      <c r="KA1" s="7" t="s">
        <v>314</v>
      </c>
      <c r="KB1" s="7" t="s">
        <v>315</v>
      </c>
      <c r="KC1" s="7" t="s">
        <v>316</v>
      </c>
      <c r="KD1" s="7" t="s">
        <v>317</v>
      </c>
      <c r="KE1" s="7" t="s">
        <v>318</v>
      </c>
      <c r="KF1" s="7" t="s">
        <v>319</v>
      </c>
      <c r="KG1" s="7" t="s">
        <v>320</v>
      </c>
      <c r="KH1" s="7" t="s">
        <v>321</v>
      </c>
      <c r="KI1" s="7" t="s">
        <v>322</v>
      </c>
      <c r="KJ1" s="7" t="s">
        <v>323</v>
      </c>
      <c r="KK1" s="7" t="s">
        <v>324</v>
      </c>
      <c r="KL1" s="7" t="s">
        <v>325</v>
      </c>
      <c r="KM1" s="7" t="s">
        <v>326</v>
      </c>
      <c r="KN1" s="7" t="s">
        <v>327</v>
      </c>
      <c r="KO1" s="7" t="s">
        <v>328</v>
      </c>
      <c r="KP1" s="7" t="s">
        <v>329</v>
      </c>
      <c r="KQ1" s="7" t="s">
        <v>330</v>
      </c>
      <c r="KR1" s="7" t="s">
        <v>331</v>
      </c>
      <c r="KS1" s="7" t="s">
        <v>332</v>
      </c>
    </row>
    <row r="2" spans="1:305" x14ac:dyDescent="0.25">
      <c r="A2" s="3">
        <v>1</v>
      </c>
      <c r="B2" s="3"/>
      <c r="C2" s="4">
        <v>-11.446999999999999</v>
      </c>
      <c r="D2" s="4">
        <v>-1.6240000000000001</v>
      </c>
      <c r="E2" s="4">
        <v>1.774</v>
      </c>
      <c r="F2" s="4">
        <v>0.75</v>
      </c>
      <c r="G2" s="4">
        <v>-0.245</v>
      </c>
      <c r="H2" s="4">
        <v>-9.39</v>
      </c>
      <c r="I2" s="4">
        <v>-0.38500000000000001</v>
      </c>
      <c r="J2" s="4">
        <v>-11.276999999999999</v>
      </c>
      <c r="K2" s="4">
        <v>-2.1230000000000002</v>
      </c>
      <c r="L2" s="4">
        <v>2.4329999999999998</v>
      </c>
      <c r="M2" s="4">
        <v>-4.5519999999999996</v>
      </c>
      <c r="N2" s="4">
        <v>-4.101</v>
      </c>
      <c r="O2" s="4">
        <v>-5.157</v>
      </c>
      <c r="P2" s="4">
        <v>-1.0860000000000001</v>
      </c>
      <c r="Q2" s="4">
        <v>-11.198</v>
      </c>
      <c r="R2" s="4">
        <v>-10.669</v>
      </c>
      <c r="S2" s="4">
        <v>-2.0910000000000002</v>
      </c>
      <c r="T2" s="4">
        <v>-2.794</v>
      </c>
      <c r="U2" s="4">
        <v>-3.8519999999999999</v>
      </c>
      <c r="V2" s="4">
        <v>-1.702</v>
      </c>
      <c r="W2" s="4">
        <v>-4.83</v>
      </c>
      <c r="X2" s="4">
        <v>1.6439999999999999</v>
      </c>
      <c r="Y2" s="4">
        <v>0.126</v>
      </c>
      <c r="Z2" s="4">
        <v>-7.2830000000000004</v>
      </c>
      <c r="AA2" s="4">
        <v>2.343</v>
      </c>
      <c r="AB2" s="4">
        <v>-9.9169999999999998</v>
      </c>
      <c r="AC2" s="4">
        <v>0.60899999999999999</v>
      </c>
      <c r="AD2" s="4">
        <v>-7.0469999999999997</v>
      </c>
      <c r="AE2" s="4">
        <v>-1.2869999999999999</v>
      </c>
      <c r="AF2" s="4">
        <v>0.249</v>
      </c>
      <c r="AG2" s="4">
        <v>-5.8540000000000001</v>
      </c>
      <c r="AH2" s="4">
        <v>-0.107</v>
      </c>
      <c r="AI2" s="4">
        <v>-6.8570000000000002</v>
      </c>
      <c r="AJ2" s="4">
        <v>1.8420000000000001</v>
      </c>
      <c r="AK2" s="4">
        <v>0.88900000000000001</v>
      </c>
      <c r="AL2" s="4">
        <v>2.415</v>
      </c>
      <c r="AM2" s="4">
        <v>-5.5629999999999997</v>
      </c>
      <c r="AN2" s="4">
        <v>0.191</v>
      </c>
      <c r="AO2" s="4">
        <v>-4.3129999999999997</v>
      </c>
      <c r="AP2" s="4">
        <v>-8.2409999999999997</v>
      </c>
      <c r="AQ2" s="4">
        <v>-10.082000000000001</v>
      </c>
      <c r="AR2" s="4">
        <v>-8.0990000000000002</v>
      </c>
      <c r="AS2" s="4">
        <v>-2.9620000000000002</v>
      </c>
      <c r="AT2" s="4">
        <v>-3.3159999999999998</v>
      </c>
      <c r="AU2" s="4">
        <v>-0.17199999999999999</v>
      </c>
      <c r="AV2" s="4">
        <v>-0.86199999999999999</v>
      </c>
      <c r="AW2" s="4">
        <v>-0.54100000000000004</v>
      </c>
      <c r="AX2" s="4">
        <v>1.038</v>
      </c>
      <c r="AY2" s="4">
        <v>-0.83399999999999996</v>
      </c>
      <c r="AZ2" s="4">
        <v>-5.1920000000000002</v>
      </c>
      <c r="BA2" s="4">
        <v>0.73699999999999999</v>
      </c>
      <c r="BB2" s="4">
        <v>0.23</v>
      </c>
      <c r="BC2" s="4">
        <v>3.0430000000000001</v>
      </c>
      <c r="BD2" s="4">
        <v>-3.0489999999999999</v>
      </c>
      <c r="BE2" s="4">
        <v>-3.0419999999999998</v>
      </c>
      <c r="BF2" s="4">
        <v>-5.2320000000000002</v>
      </c>
      <c r="BG2" s="4">
        <v>-3.6339999999999999</v>
      </c>
      <c r="BH2" s="4">
        <v>-1.7050000000000001</v>
      </c>
      <c r="BI2" s="4">
        <v>-0.23200000000000001</v>
      </c>
      <c r="BJ2" s="4">
        <v>-6.9859999999999998</v>
      </c>
      <c r="BK2" s="4">
        <v>-1.34</v>
      </c>
      <c r="BL2" s="4">
        <v>-12.428000000000001</v>
      </c>
      <c r="BM2" s="4">
        <v>-8.0169999999999995</v>
      </c>
      <c r="BN2" s="4">
        <v>-6.8380000000000001</v>
      </c>
      <c r="BO2" s="4">
        <v>-11.459</v>
      </c>
      <c r="BP2" s="4">
        <v>-4.1059999999999999</v>
      </c>
      <c r="BQ2" s="4">
        <v>-0.66500000000000004</v>
      </c>
      <c r="BR2" s="4">
        <v>-0.377</v>
      </c>
      <c r="BS2" s="4">
        <v>0.16400000000000001</v>
      </c>
      <c r="BT2" s="4">
        <v>-1.1919999999999999</v>
      </c>
      <c r="BU2" s="4">
        <v>-0.79</v>
      </c>
      <c r="BV2" s="4">
        <v>1.335</v>
      </c>
      <c r="BW2" s="4">
        <v>-2.915</v>
      </c>
      <c r="BX2" s="4">
        <v>-5.4</v>
      </c>
      <c r="BY2" s="4">
        <v>-4.056</v>
      </c>
      <c r="BZ2" s="4">
        <v>-1.089</v>
      </c>
      <c r="CA2" s="4">
        <v>0.81499999999999995</v>
      </c>
      <c r="CB2" s="4">
        <v>-4.3449999999999998</v>
      </c>
      <c r="CC2" s="4">
        <v>-5.343</v>
      </c>
      <c r="CD2" s="4">
        <v>-1.411</v>
      </c>
      <c r="CE2" s="4">
        <v>-9.3689999999999998</v>
      </c>
      <c r="CF2" s="4">
        <v>-3.4260000000000002</v>
      </c>
      <c r="CG2" s="4">
        <v>1.5649999999999999</v>
      </c>
      <c r="CH2" s="4">
        <v>0.61399999999999999</v>
      </c>
      <c r="CI2" s="4">
        <v>-5.3049999999999997</v>
      </c>
      <c r="CJ2" s="4">
        <v>-6.8369999999999997</v>
      </c>
      <c r="CK2" s="4">
        <v>2.4649999999999999</v>
      </c>
      <c r="CL2" s="4">
        <v>-11.19</v>
      </c>
      <c r="CM2" s="4">
        <v>1.581</v>
      </c>
      <c r="CN2" s="4">
        <v>0.65500000000000003</v>
      </c>
      <c r="CO2" s="4">
        <v>-3.4140000000000001</v>
      </c>
      <c r="CP2" s="4">
        <v>-5.7869999999999999</v>
      </c>
      <c r="CQ2" s="4">
        <v>2.5329999999999999</v>
      </c>
      <c r="CR2" s="4">
        <v>0.33700000000000002</v>
      </c>
      <c r="CS2" s="4">
        <v>0.69399999999999995</v>
      </c>
      <c r="CT2" s="4">
        <v>0.55200000000000005</v>
      </c>
      <c r="CU2" s="4">
        <v>-1.952</v>
      </c>
      <c r="CV2" s="4">
        <v>-1.2999999999999999E-2</v>
      </c>
      <c r="CW2" s="4">
        <v>-1.9810000000000001</v>
      </c>
      <c r="CX2" s="4">
        <v>0.25700000000000001</v>
      </c>
      <c r="CY2" s="4">
        <v>-0.28599999999999998</v>
      </c>
      <c r="CZ2" s="4">
        <v>0.17100000000000001</v>
      </c>
      <c r="DA2" s="4">
        <v>-9.8789999999999996</v>
      </c>
      <c r="DB2" s="4">
        <v>1.1830000000000001</v>
      </c>
      <c r="DC2" s="4">
        <v>-9.3520000000000003</v>
      </c>
      <c r="DD2" s="4">
        <v>-10.051</v>
      </c>
      <c r="DE2" s="4">
        <v>0.504</v>
      </c>
      <c r="DF2" s="4">
        <v>-14.456</v>
      </c>
      <c r="DG2" s="4">
        <v>1.516</v>
      </c>
      <c r="DH2" s="4">
        <v>1.0249999999999999</v>
      </c>
      <c r="DI2" s="4">
        <v>-4.32</v>
      </c>
      <c r="DJ2" s="4">
        <v>1.3320000000000001</v>
      </c>
      <c r="DK2" s="4">
        <v>-4.4710000000000001</v>
      </c>
      <c r="DL2" s="4">
        <v>-4.4710000000000001</v>
      </c>
      <c r="DM2" s="4">
        <v>5.0999999999999997E-2</v>
      </c>
      <c r="DN2" s="4">
        <v>-4.6120000000000001</v>
      </c>
      <c r="DO2" s="4">
        <v>0.74399999999999999</v>
      </c>
      <c r="DP2" s="4">
        <v>-9.6349999999999998</v>
      </c>
      <c r="DQ2" s="4">
        <v>0.91400000000000003</v>
      </c>
      <c r="DR2" s="4">
        <v>2.0139999999999998</v>
      </c>
      <c r="DS2" s="4">
        <v>-2.726</v>
      </c>
      <c r="DT2" s="4">
        <v>-0.77</v>
      </c>
      <c r="DU2" s="4">
        <v>-5.4059999999999997</v>
      </c>
      <c r="DV2" s="4">
        <v>-3.6219999999999999</v>
      </c>
      <c r="DW2" s="4">
        <v>2.181</v>
      </c>
      <c r="DX2" s="4">
        <v>-3.0960000000000001</v>
      </c>
      <c r="DY2" s="4">
        <v>-4.2809999999999997</v>
      </c>
      <c r="DZ2" s="4">
        <v>-0.02</v>
      </c>
      <c r="EA2" s="4">
        <v>-0.59399999999999997</v>
      </c>
      <c r="EB2" s="4">
        <v>-0.57999999999999996</v>
      </c>
      <c r="EC2" s="4">
        <v>-11.164</v>
      </c>
      <c r="ED2" s="4">
        <v>1.2689999999999999</v>
      </c>
      <c r="EE2" s="4">
        <v>2.6379999999999999</v>
      </c>
      <c r="EF2" s="4">
        <v>-3.903</v>
      </c>
      <c r="EG2" s="4">
        <v>-4.2460000000000004</v>
      </c>
      <c r="EH2" s="4">
        <v>-7.0709999999999997</v>
      </c>
      <c r="EI2" s="4">
        <v>1.2</v>
      </c>
      <c r="EJ2" s="4">
        <v>-0.34799999999999998</v>
      </c>
      <c r="EK2" s="4">
        <v>0.28999999999999998</v>
      </c>
      <c r="EL2" s="4">
        <v>-0.33600000000000002</v>
      </c>
      <c r="EM2" s="4">
        <v>-2.0640000000000001</v>
      </c>
      <c r="EN2" s="4">
        <v>-4.2869999999999999</v>
      </c>
      <c r="EO2" s="4">
        <v>-1.488</v>
      </c>
      <c r="EP2" s="4">
        <v>-0.30199999999999999</v>
      </c>
      <c r="EQ2" s="4">
        <v>-9.3019999999999996</v>
      </c>
      <c r="ER2" s="4">
        <v>2.4809999999999999</v>
      </c>
      <c r="ES2" s="4">
        <v>-5.9059999999999997</v>
      </c>
      <c r="ET2" s="4">
        <v>-8.75</v>
      </c>
      <c r="EU2" s="4">
        <v>1.631</v>
      </c>
      <c r="EV2" s="4">
        <v>-9.6489999999999991</v>
      </c>
      <c r="EW2" s="4">
        <v>-0.24399999999999999</v>
      </c>
      <c r="EX2" s="4">
        <v>-10.81</v>
      </c>
      <c r="EY2" s="4">
        <v>-1.621</v>
      </c>
      <c r="EZ2" s="4">
        <v>2.548</v>
      </c>
      <c r="FA2" s="4">
        <v>-4.4580000000000002</v>
      </c>
      <c r="FB2" s="4">
        <v>1.5329999999999999</v>
      </c>
      <c r="FC2" s="4">
        <v>0.152</v>
      </c>
      <c r="FD2" s="4">
        <v>-1.31</v>
      </c>
      <c r="FE2" s="4">
        <v>-1.9410000000000001</v>
      </c>
      <c r="FF2" s="4">
        <v>-3.3330000000000002</v>
      </c>
      <c r="FG2" s="4">
        <v>0.10299999999999999</v>
      </c>
      <c r="FH2" s="4">
        <v>1.091</v>
      </c>
      <c r="FI2" s="4">
        <v>-8</v>
      </c>
      <c r="FJ2" s="4">
        <v>1.41</v>
      </c>
      <c r="FK2" s="4">
        <v>1.2529999999999999</v>
      </c>
      <c r="FL2" s="4">
        <v>-2.125</v>
      </c>
      <c r="FM2" s="4">
        <v>-2.3940000000000001</v>
      </c>
      <c r="FN2" s="4">
        <v>-1.7430000000000001</v>
      </c>
      <c r="FO2" s="4">
        <v>-3.355</v>
      </c>
      <c r="FP2" s="4">
        <v>-4.3109999999999999</v>
      </c>
      <c r="FQ2" s="4">
        <v>-6.16</v>
      </c>
      <c r="FR2" s="4">
        <v>-4.1550000000000002</v>
      </c>
      <c r="FS2" s="4">
        <v>-4.407</v>
      </c>
      <c r="FT2" s="4">
        <v>-1.292</v>
      </c>
      <c r="FU2" s="4">
        <v>-2.2290000000000001</v>
      </c>
      <c r="FV2" s="4">
        <v>-9.9039999999999999</v>
      </c>
      <c r="FW2" s="4">
        <v>1.345</v>
      </c>
      <c r="FX2" s="4">
        <v>-2.605</v>
      </c>
      <c r="FY2" s="4">
        <v>-1.6659999999999999</v>
      </c>
      <c r="FZ2" s="4">
        <v>-0.65600000000000003</v>
      </c>
      <c r="GA2" s="4">
        <v>-2.7210000000000001</v>
      </c>
      <c r="GB2" s="4">
        <v>-0.18</v>
      </c>
      <c r="GC2" s="4">
        <v>-3.415</v>
      </c>
      <c r="GD2" s="4">
        <v>-8.6999999999999994E-2</v>
      </c>
      <c r="GE2" s="4">
        <v>-4.4279999999999999</v>
      </c>
      <c r="GF2" s="4">
        <v>0.24199999999999999</v>
      </c>
      <c r="GG2" s="4">
        <v>-5.07</v>
      </c>
      <c r="GH2" s="4">
        <v>-8.4169999999999998</v>
      </c>
      <c r="GI2" s="4">
        <v>-1.4E-2</v>
      </c>
      <c r="GJ2" s="4">
        <v>0.26</v>
      </c>
      <c r="GK2" s="4">
        <v>6.9000000000000006E-2</v>
      </c>
      <c r="GL2" s="4">
        <v>-2.1040000000000001</v>
      </c>
      <c r="GM2" s="4">
        <v>-2.1040000000000001</v>
      </c>
      <c r="GN2" s="4">
        <v>-6.36</v>
      </c>
      <c r="GO2" s="4">
        <v>-2.8809999999999998</v>
      </c>
      <c r="GP2" s="4">
        <v>-4.5229999999999997</v>
      </c>
      <c r="GQ2" s="4">
        <v>-9.8309999999999995</v>
      </c>
      <c r="GR2" s="4">
        <v>-9.9030000000000005</v>
      </c>
      <c r="GS2" s="4">
        <v>-0.67</v>
      </c>
      <c r="GT2" s="4">
        <v>-10.987</v>
      </c>
      <c r="GU2" s="4">
        <v>1.492</v>
      </c>
      <c r="GV2" s="4">
        <v>-6.9850000000000003</v>
      </c>
      <c r="GW2" s="4">
        <v>-3.9060000000000001</v>
      </c>
      <c r="GX2" s="4">
        <v>-7.6440000000000001</v>
      </c>
      <c r="GY2" s="4">
        <v>-11.242000000000001</v>
      </c>
      <c r="GZ2" s="4">
        <v>1.113</v>
      </c>
      <c r="HA2" s="4">
        <v>0.23300000000000001</v>
      </c>
      <c r="HB2" s="4">
        <v>-4.367</v>
      </c>
      <c r="HC2" s="4">
        <v>0.127</v>
      </c>
      <c r="HD2" s="4">
        <v>-6.335</v>
      </c>
      <c r="HE2" s="4">
        <v>-2.2120000000000002</v>
      </c>
      <c r="HF2" s="4">
        <v>-7.8339999999999996</v>
      </c>
      <c r="HG2" s="4">
        <v>-0.78900000000000003</v>
      </c>
      <c r="HH2" s="4">
        <v>-5.8840000000000003</v>
      </c>
      <c r="HI2" s="4">
        <v>-3.399</v>
      </c>
      <c r="HJ2" s="4">
        <v>-0.57899999999999996</v>
      </c>
      <c r="HK2" s="4">
        <v>2.262</v>
      </c>
      <c r="HL2" s="4">
        <v>1.2250000000000001</v>
      </c>
      <c r="HM2" s="4">
        <v>-2.8620000000000001</v>
      </c>
      <c r="HN2" s="4">
        <v>-12.625</v>
      </c>
      <c r="HO2" s="4">
        <v>-4.9059999999999997</v>
      </c>
      <c r="HP2" s="4">
        <v>-3.2949999999999999</v>
      </c>
      <c r="HQ2" s="4">
        <v>2.218</v>
      </c>
      <c r="HR2" s="4">
        <v>-3.653</v>
      </c>
      <c r="HS2" s="4">
        <v>-5.5449999999999999</v>
      </c>
      <c r="HT2" s="4">
        <v>-1.8320000000000001</v>
      </c>
      <c r="HU2" s="4">
        <v>-1.2190000000000001</v>
      </c>
      <c r="HV2" s="4">
        <v>7.9000000000000001E-2</v>
      </c>
      <c r="HW2" s="4">
        <v>-7.4580000000000002</v>
      </c>
      <c r="HX2" s="4">
        <v>7.9000000000000001E-2</v>
      </c>
      <c r="HY2" s="4">
        <v>0.312</v>
      </c>
      <c r="HZ2" s="4">
        <v>1.5649999999999999</v>
      </c>
      <c r="IA2" s="4">
        <v>-11.571</v>
      </c>
      <c r="IB2" s="4">
        <v>-0.68</v>
      </c>
      <c r="IC2" s="4">
        <v>1.7310000000000001</v>
      </c>
      <c r="ID2" s="4">
        <v>-1.216</v>
      </c>
      <c r="IE2" s="4">
        <v>0.253</v>
      </c>
      <c r="IF2" s="4">
        <v>0.32500000000000001</v>
      </c>
      <c r="IG2" s="4">
        <v>-4.5970000000000004</v>
      </c>
      <c r="IH2" s="4">
        <v>-4.7370000000000001</v>
      </c>
      <c r="II2" s="4">
        <v>-9.7059999999999995</v>
      </c>
      <c r="IJ2" s="4">
        <v>-0.43</v>
      </c>
      <c r="IK2" s="4">
        <v>-1.2949999999999999</v>
      </c>
      <c r="IL2" s="4">
        <v>-8.4169999999999998</v>
      </c>
      <c r="IM2" s="4">
        <v>0.27100000000000002</v>
      </c>
      <c r="IN2" s="4">
        <v>-3.38</v>
      </c>
      <c r="IO2" s="4">
        <v>-1.863</v>
      </c>
      <c r="IP2" s="4">
        <v>-4.2969999999999997</v>
      </c>
      <c r="IQ2" s="4">
        <v>1.806</v>
      </c>
      <c r="IR2" s="4">
        <v>1.484</v>
      </c>
      <c r="IS2" s="4">
        <v>-7.3639999999999999</v>
      </c>
      <c r="IT2" s="4">
        <v>-1.0580000000000001</v>
      </c>
      <c r="IU2" s="4">
        <v>-6.069</v>
      </c>
      <c r="IV2" s="4">
        <v>-1.7999999999999999E-2</v>
      </c>
      <c r="IW2" s="4">
        <v>-4.8</v>
      </c>
      <c r="IX2" s="4">
        <v>-0.20599999999999999</v>
      </c>
      <c r="IY2" s="4">
        <v>-4.0860000000000003</v>
      </c>
      <c r="IZ2" s="4">
        <v>-3.3330000000000002</v>
      </c>
      <c r="JA2" s="4">
        <v>-3.367</v>
      </c>
      <c r="JB2" s="4">
        <v>-4.0010000000000003</v>
      </c>
      <c r="JC2" s="4">
        <v>-3.8260000000000001</v>
      </c>
      <c r="JD2" s="4">
        <v>-0.55400000000000005</v>
      </c>
      <c r="JE2" s="4">
        <v>1.2589999999999999</v>
      </c>
      <c r="JF2" s="4">
        <v>1.242</v>
      </c>
      <c r="JG2" s="4">
        <v>1.135</v>
      </c>
      <c r="JH2" s="4">
        <v>1.996</v>
      </c>
      <c r="JI2" s="4">
        <v>-6.3239999999999998</v>
      </c>
      <c r="JJ2" s="4">
        <v>-3.3079999999999998</v>
      </c>
      <c r="JK2" s="4">
        <v>-2.9260000000000002</v>
      </c>
      <c r="JL2" s="4">
        <v>2.0430000000000001</v>
      </c>
      <c r="JM2" s="4">
        <v>-2.2930000000000001</v>
      </c>
      <c r="JN2" s="4">
        <v>-0.97199999999999998</v>
      </c>
      <c r="JO2" s="4">
        <v>-1.4750000000000001</v>
      </c>
      <c r="JP2" s="4">
        <v>-1.8280000000000001</v>
      </c>
      <c r="JQ2" s="4">
        <v>-0.27300000000000002</v>
      </c>
      <c r="JR2" s="4">
        <v>6.0999999999999999E-2</v>
      </c>
      <c r="JS2" s="4">
        <v>-4.3499999999999996</v>
      </c>
      <c r="JT2" s="4">
        <v>-2.085</v>
      </c>
      <c r="JU2" s="4">
        <v>-0.219</v>
      </c>
      <c r="JV2" s="4">
        <v>-2.9220000000000002</v>
      </c>
      <c r="JW2" s="4">
        <v>-1.157</v>
      </c>
      <c r="JX2" s="4">
        <v>-3.516</v>
      </c>
      <c r="JY2" s="4">
        <v>1.294</v>
      </c>
      <c r="JZ2" s="4">
        <v>-2.7240000000000002</v>
      </c>
      <c r="KA2" s="4">
        <v>-2.569</v>
      </c>
      <c r="KB2" s="4">
        <v>-6.8319999999999999</v>
      </c>
      <c r="KC2" s="4">
        <v>-3.6619999999999999</v>
      </c>
      <c r="KD2" s="4">
        <v>1.145</v>
      </c>
      <c r="KE2" s="4">
        <v>0.36399999999999999</v>
      </c>
      <c r="KF2" s="4">
        <v>-0.622</v>
      </c>
      <c r="KG2" s="4">
        <v>-1.365</v>
      </c>
      <c r="KH2" s="4">
        <v>-3.5539999999999998</v>
      </c>
      <c r="KI2" s="4">
        <v>-0.95499999999999996</v>
      </c>
      <c r="KJ2" s="4">
        <v>0.435</v>
      </c>
      <c r="KK2" s="4">
        <v>-0.72399999999999998</v>
      </c>
      <c r="KL2" s="4">
        <v>-3.2040000000000002</v>
      </c>
      <c r="KM2" s="4">
        <v>-9.1929999999999996</v>
      </c>
      <c r="KN2" s="4">
        <v>0.40699999999999997</v>
      </c>
      <c r="KO2" s="4">
        <v>-8.6440000000000001</v>
      </c>
      <c r="KP2" s="4">
        <v>-5.3999999999999999E-2</v>
      </c>
      <c r="KQ2" s="4">
        <v>-0.97299999999999998</v>
      </c>
      <c r="KR2" s="4">
        <v>-2.9390000000000001</v>
      </c>
      <c r="KS2" s="4">
        <v>1.9359999999999999</v>
      </c>
    </row>
    <row r="3" spans="1:305" x14ac:dyDescent="0.25">
      <c r="A3" s="3">
        <v>2</v>
      </c>
      <c r="B3" s="3"/>
      <c r="C3" s="4">
        <v>-13.058999999999999</v>
      </c>
      <c r="D3" s="4">
        <v>-2.0529999999999999</v>
      </c>
      <c r="E3" s="4">
        <v>-0.622</v>
      </c>
      <c r="F3" s="4">
        <v>-1.752</v>
      </c>
      <c r="G3" s="4">
        <v>-0.88700000000000001</v>
      </c>
      <c r="H3" s="4">
        <v>-5.577</v>
      </c>
      <c r="I3" s="4">
        <v>-1.956</v>
      </c>
      <c r="J3" s="4">
        <v>-9.4469999999999992</v>
      </c>
      <c r="K3" s="4">
        <v>-1.0840000000000001</v>
      </c>
      <c r="L3" s="4">
        <v>-0.78600000000000003</v>
      </c>
      <c r="M3" s="4">
        <v>-4.4610000000000003</v>
      </c>
      <c r="N3" s="4">
        <v>-3.1659999999999999</v>
      </c>
      <c r="O3" s="4">
        <v>-6.3860000000000001</v>
      </c>
      <c r="P3" s="4">
        <v>-2.516</v>
      </c>
      <c r="Q3" s="4">
        <v>-12.885999999999999</v>
      </c>
      <c r="R3" s="4">
        <v>-9.2119999999999997</v>
      </c>
      <c r="S3" s="4">
        <v>-2.548</v>
      </c>
      <c r="T3" s="4">
        <v>-3.2509999999999999</v>
      </c>
      <c r="U3" s="4">
        <v>-2.706</v>
      </c>
      <c r="V3" s="4">
        <v>-2.5880000000000001</v>
      </c>
      <c r="W3" s="4">
        <v>-1.6060000000000001</v>
      </c>
      <c r="X3" s="4">
        <v>-0.56499999999999995</v>
      </c>
      <c r="Y3" s="4">
        <v>-2.198</v>
      </c>
      <c r="Z3" s="4">
        <v>-7.0279999999999996</v>
      </c>
      <c r="AA3" s="4">
        <v>-0.69899999999999995</v>
      </c>
      <c r="AB3" s="4">
        <v>-12.909000000000001</v>
      </c>
      <c r="AC3" s="4">
        <v>-2.4119999999999999</v>
      </c>
      <c r="AD3" s="4">
        <v>-4.0890000000000004</v>
      </c>
      <c r="AE3" s="4">
        <v>-1.863</v>
      </c>
      <c r="AF3" s="4">
        <v>-1.226</v>
      </c>
      <c r="AG3" s="4">
        <v>-2.3820000000000001</v>
      </c>
      <c r="AH3" s="4">
        <v>-0.72099999999999997</v>
      </c>
      <c r="AI3" s="4">
        <v>-4.6360000000000001</v>
      </c>
      <c r="AJ3" s="4">
        <v>-1.46</v>
      </c>
      <c r="AK3" s="4">
        <v>0.34799999999999998</v>
      </c>
      <c r="AL3" s="4">
        <v>-7.9000000000000001E-2</v>
      </c>
      <c r="AM3" s="4">
        <v>-3.0739999999999998</v>
      </c>
      <c r="AN3" s="4">
        <v>-0.47499999999999998</v>
      </c>
      <c r="AO3" s="4">
        <v>-2.891</v>
      </c>
      <c r="AP3" s="4">
        <v>-4.8330000000000002</v>
      </c>
      <c r="AQ3" s="4">
        <v>-9.4329999999999998</v>
      </c>
      <c r="AR3" s="4">
        <v>-6.0590000000000002</v>
      </c>
      <c r="AS3" s="4">
        <v>-2.0379999999999998</v>
      </c>
      <c r="AT3" s="4">
        <v>-1.4390000000000001</v>
      </c>
      <c r="AU3" s="4">
        <v>-0.48699999999999999</v>
      </c>
      <c r="AV3" s="4">
        <v>-2.8290000000000002</v>
      </c>
      <c r="AW3" s="4">
        <v>-2.7080000000000002</v>
      </c>
      <c r="AX3" s="4">
        <v>-0.871</v>
      </c>
      <c r="AY3" s="4">
        <v>-1.4730000000000001</v>
      </c>
      <c r="AZ3" s="4">
        <v>-1.413</v>
      </c>
      <c r="BA3" s="4">
        <v>-0.49399999999999999</v>
      </c>
      <c r="BB3" s="4">
        <v>-0.88600000000000001</v>
      </c>
      <c r="BC3" s="4">
        <v>1.02</v>
      </c>
      <c r="BD3" s="4">
        <v>-3.92</v>
      </c>
      <c r="BE3" s="4">
        <v>0.70699999999999996</v>
      </c>
      <c r="BF3" s="4">
        <v>-4.7009999999999996</v>
      </c>
      <c r="BG3" s="4">
        <v>-1.538</v>
      </c>
      <c r="BH3" s="4">
        <v>-2.3690000000000002</v>
      </c>
      <c r="BI3" s="4">
        <v>-0.29399999999999998</v>
      </c>
      <c r="BJ3" s="4">
        <v>-9.2070000000000007</v>
      </c>
      <c r="BK3" s="4">
        <v>-3.8079999999999998</v>
      </c>
      <c r="BL3" s="4">
        <v>-6.7489999999999997</v>
      </c>
      <c r="BM3" s="4">
        <v>-10.176</v>
      </c>
      <c r="BN3" s="4">
        <v>-3.1589999999999998</v>
      </c>
      <c r="BO3" s="4">
        <v>-10.515000000000001</v>
      </c>
      <c r="BP3" s="4">
        <v>-1.8180000000000001</v>
      </c>
      <c r="BQ3" s="4">
        <v>-1.2410000000000001</v>
      </c>
      <c r="BR3" s="4">
        <v>-0.189</v>
      </c>
      <c r="BS3" s="4">
        <v>-0.39200000000000002</v>
      </c>
      <c r="BT3" s="4">
        <v>-1.51</v>
      </c>
      <c r="BU3" s="4">
        <v>-2.7949999999999999</v>
      </c>
      <c r="BV3" s="4">
        <v>-0.92700000000000005</v>
      </c>
      <c r="BW3" s="4">
        <v>-3.71</v>
      </c>
      <c r="BX3" s="4">
        <v>-3.6030000000000002</v>
      </c>
      <c r="BY3" s="4">
        <v>-2.706</v>
      </c>
      <c r="BZ3" s="4">
        <v>-1.9339999999999999</v>
      </c>
      <c r="CA3" s="4">
        <v>0.628</v>
      </c>
      <c r="CB3" s="4">
        <v>-1.663</v>
      </c>
      <c r="CC3" s="4">
        <v>-5.2919999999999998</v>
      </c>
      <c r="CD3" s="4">
        <v>-0.30099999999999999</v>
      </c>
      <c r="CE3" s="4">
        <v>-11.521000000000001</v>
      </c>
      <c r="CF3" s="4">
        <v>-2.831</v>
      </c>
      <c r="CG3" s="4">
        <v>-0.751</v>
      </c>
      <c r="CH3" s="4">
        <v>-1.4730000000000001</v>
      </c>
      <c r="CI3" s="4">
        <v>-2.1309999999999998</v>
      </c>
      <c r="CJ3" s="4">
        <v>-8.1329999999999991</v>
      </c>
      <c r="CK3" s="4">
        <v>-0.32900000000000001</v>
      </c>
      <c r="CL3" s="4">
        <v>-8.8160000000000007</v>
      </c>
      <c r="CM3" s="4">
        <v>0.50800000000000001</v>
      </c>
      <c r="CN3" s="4">
        <v>-1.6850000000000001</v>
      </c>
      <c r="CO3" s="4">
        <v>-0.495</v>
      </c>
      <c r="CP3" s="4">
        <v>-2.6680000000000001</v>
      </c>
      <c r="CQ3" s="4">
        <v>4.7E-2</v>
      </c>
      <c r="CR3" s="4">
        <v>-2.0990000000000002</v>
      </c>
      <c r="CS3" s="4">
        <v>-1.377</v>
      </c>
      <c r="CT3" s="4">
        <v>-1.468</v>
      </c>
      <c r="CU3" s="4">
        <v>-2.2120000000000002</v>
      </c>
      <c r="CV3" s="4">
        <v>-0.58299999999999996</v>
      </c>
      <c r="CW3" s="4">
        <v>-4.7679999999999998</v>
      </c>
      <c r="CX3" s="4">
        <v>-3.2589999999999999</v>
      </c>
      <c r="CY3" s="4">
        <v>-0.93100000000000005</v>
      </c>
      <c r="CZ3" s="4">
        <v>-1.8440000000000001</v>
      </c>
      <c r="DA3" s="4">
        <v>-11.353999999999999</v>
      </c>
      <c r="DB3" s="4">
        <v>-1.0820000000000001</v>
      </c>
      <c r="DC3" s="4">
        <v>-8.8010000000000002</v>
      </c>
      <c r="DD3" s="4">
        <v>-11.162000000000001</v>
      </c>
      <c r="DE3" s="4">
        <v>-0.94</v>
      </c>
      <c r="DF3" s="4">
        <v>-12.564</v>
      </c>
      <c r="DG3" s="4">
        <v>-0.47099999999999997</v>
      </c>
      <c r="DH3" s="4">
        <v>0.246</v>
      </c>
      <c r="DI3" s="4">
        <v>-3.1920000000000002</v>
      </c>
      <c r="DJ3" s="4">
        <v>0.45700000000000002</v>
      </c>
      <c r="DK3" s="4">
        <v>-3.081</v>
      </c>
      <c r="DL3" s="4">
        <v>-3.081</v>
      </c>
      <c r="DM3" s="4">
        <v>-2.8069999999999999</v>
      </c>
      <c r="DN3" s="4">
        <v>-2.2490000000000001</v>
      </c>
      <c r="DO3" s="4">
        <v>-2.4260000000000002</v>
      </c>
      <c r="DP3" s="4">
        <v>-11.141999999999999</v>
      </c>
      <c r="DQ3" s="4">
        <v>0.86599999999999999</v>
      </c>
      <c r="DR3" s="4">
        <v>-1.115</v>
      </c>
      <c r="DS3" s="4">
        <v>-2.61</v>
      </c>
      <c r="DT3" s="4">
        <v>-1.82</v>
      </c>
      <c r="DU3" s="4">
        <v>-3.7330000000000001</v>
      </c>
      <c r="DV3" s="4">
        <v>-4.6269999999999998</v>
      </c>
      <c r="DW3" s="4">
        <v>-1.012</v>
      </c>
      <c r="DX3" s="4">
        <v>-3.3969999999999998</v>
      </c>
      <c r="DY3" s="4">
        <v>-2.6429999999999998</v>
      </c>
      <c r="DZ3" s="4">
        <v>-0.52200000000000002</v>
      </c>
      <c r="EA3" s="4">
        <v>0.626</v>
      </c>
      <c r="EB3" s="4">
        <v>-1.7290000000000001</v>
      </c>
      <c r="EC3" s="4">
        <v>-14.409000000000001</v>
      </c>
      <c r="ED3" s="4">
        <v>-0.78800000000000003</v>
      </c>
      <c r="EE3" s="4">
        <v>-7.6999999999999999E-2</v>
      </c>
      <c r="EF3" s="4">
        <v>-2.7730000000000001</v>
      </c>
      <c r="EG3" s="4">
        <v>-2.8519999999999999</v>
      </c>
      <c r="EH3" s="4">
        <v>-4.2690000000000001</v>
      </c>
      <c r="EI3" s="4">
        <v>-1.03</v>
      </c>
      <c r="EJ3" s="4">
        <v>-0.89200000000000002</v>
      </c>
      <c r="EK3" s="4">
        <v>-0.46100000000000002</v>
      </c>
      <c r="EL3" s="4">
        <v>-0.42799999999999999</v>
      </c>
      <c r="EM3" s="4">
        <v>-1.1890000000000001</v>
      </c>
      <c r="EN3" s="4">
        <v>-0.85599999999999998</v>
      </c>
      <c r="EO3" s="4">
        <v>-2.2589999999999999</v>
      </c>
      <c r="EP3" s="4">
        <v>-1.806</v>
      </c>
      <c r="EQ3" s="4">
        <v>-5.14</v>
      </c>
      <c r="ER3" s="4">
        <v>-5.7000000000000002E-2</v>
      </c>
      <c r="ES3" s="4">
        <v>-2.6739999999999999</v>
      </c>
      <c r="ET3" s="4">
        <v>-7.3470000000000004</v>
      </c>
      <c r="EU3" s="4">
        <v>-0.38100000000000001</v>
      </c>
      <c r="EV3" s="4">
        <v>-8.7430000000000003</v>
      </c>
      <c r="EW3" s="4">
        <v>0.91200000000000003</v>
      </c>
      <c r="EX3" s="4">
        <v>-8.7560000000000002</v>
      </c>
      <c r="EY3" s="4">
        <v>-2.032</v>
      </c>
      <c r="EZ3" s="4">
        <v>0.13100000000000001</v>
      </c>
      <c r="FA3" s="4">
        <v>-5.0250000000000004</v>
      </c>
      <c r="FB3" s="4">
        <v>-0.47599999999999998</v>
      </c>
      <c r="FC3" s="4">
        <v>-1.645</v>
      </c>
      <c r="FD3" s="4">
        <v>-1.141</v>
      </c>
      <c r="FE3" s="4">
        <v>-1.4610000000000001</v>
      </c>
      <c r="FF3" s="4">
        <v>-2.6179999999999999</v>
      </c>
      <c r="FG3" s="4">
        <v>-0.51100000000000001</v>
      </c>
      <c r="FH3" s="4">
        <v>-1.347</v>
      </c>
      <c r="FI3" s="4">
        <v>-3.99</v>
      </c>
      <c r="FJ3" s="4">
        <v>0.53900000000000003</v>
      </c>
      <c r="FK3" s="4">
        <v>-2.31</v>
      </c>
      <c r="FL3" s="4">
        <v>1.466</v>
      </c>
      <c r="FM3" s="4">
        <v>-2.9630000000000001</v>
      </c>
      <c r="FN3" s="4">
        <v>-0.39200000000000002</v>
      </c>
      <c r="FO3" s="4">
        <v>-1.44</v>
      </c>
      <c r="FP3" s="4">
        <v>-3.0510000000000002</v>
      </c>
      <c r="FQ3" s="4">
        <v>-2.8679999999999999</v>
      </c>
      <c r="FR3" s="4">
        <v>-4.6509999999999998</v>
      </c>
      <c r="FS3" s="4">
        <v>-4.8899999999999997</v>
      </c>
      <c r="FT3" s="4">
        <v>-2.4329999999999998</v>
      </c>
      <c r="FU3" s="4">
        <v>-2.6040000000000001</v>
      </c>
      <c r="FV3" s="4">
        <v>-8.2769999999999992</v>
      </c>
      <c r="FW3" s="4">
        <v>-1.514</v>
      </c>
      <c r="FX3" s="4">
        <v>0.497</v>
      </c>
      <c r="FY3" s="4">
        <v>-0.436</v>
      </c>
      <c r="FZ3" s="4">
        <v>-0.89400000000000002</v>
      </c>
      <c r="GA3" s="4">
        <v>-2.9409999999999998</v>
      </c>
      <c r="GB3" s="4">
        <v>1.246</v>
      </c>
      <c r="GC3" s="4">
        <v>-2.1040000000000001</v>
      </c>
      <c r="GD3" s="4">
        <v>-0.311</v>
      </c>
      <c r="GE3" s="4">
        <v>-2.633</v>
      </c>
      <c r="GF3" s="4">
        <v>-1.379</v>
      </c>
      <c r="GG3" s="4">
        <v>-4.9729999999999999</v>
      </c>
      <c r="GH3" s="4">
        <v>-6.9029999999999996</v>
      </c>
      <c r="GI3" s="4">
        <v>0.499</v>
      </c>
      <c r="GJ3" s="4">
        <v>-0.56799999999999995</v>
      </c>
      <c r="GK3" s="4">
        <v>-1.482</v>
      </c>
      <c r="GL3" s="4">
        <v>-2.1320000000000001</v>
      </c>
      <c r="GM3" s="4">
        <v>-2.1320000000000001</v>
      </c>
      <c r="GN3" s="4">
        <v>-6.625</v>
      </c>
      <c r="GO3" s="4">
        <v>-1.2769999999999999</v>
      </c>
      <c r="GP3" s="4">
        <v>-6.5990000000000002</v>
      </c>
      <c r="GQ3" s="4">
        <v>-8.0760000000000005</v>
      </c>
      <c r="GR3" s="4">
        <v>-10.702999999999999</v>
      </c>
      <c r="GS3" s="4">
        <v>2.0110000000000001</v>
      </c>
      <c r="GT3" s="4">
        <v>-13.25</v>
      </c>
      <c r="GU3" s="4">
        <v>-0.86399999999999999</v>
      </c>
      <c r="GV3" s="4">
        <v>-10.409000000000001</v>
      </c>
      <c r="GW3" s="4">
        <v>-4.1970000000000001</v>
      </c>
      <c r="GX3" s="4">
        <v>-13.991</v>
      </c>
      <c r="GY3" s="4">
        <v>-7.6459999999999999</v>
      </c>
      <c r="GZ3" s="4">
        <v>0.373</v>
      </c>
      <c r="HA3" s="4">
        <v>-2.048</v>
      </c>
      <c r="HB3" s="4">
        <v>-2.2120000000000002</v>
      </c>
      <c r="HC3" s="4">
        <v>-0.46600000000000003</v>
      </c>
      <c r="HD3" s="4">
        <v>-7.9050000000000002</v>
      </c>
      <c r="HE3" s="4">
        <v>-2.5169999999999999</v>
      </c>
      <c r="HF3" s="4">
        <v>-6.2729999999999997</v>
      </c>
      <c r="HG3" s="4">
        <v>-2.7549999999999999</v>
      </c>
      <c r="HH3" s="4">
        <v>-2.6909999999999998</v>
      </c>
      <c r="HI3" s="4">
        <v>-1.458</v>
      </c>
      <c r="HJ3" s="4">
        <v>-2.4</v>
      </c>
      <c r="HK3" s="4">
        <v>2.5999999999999999E-2</v>
      </c>
      <c r="HL3" s="4">
        <v>-0.109</v>
      </c>
      <c r="HM3" s="4">
        <v>-1.831</v>
      </c>
      <c r="HN3" s="4">
        <v>-8.9499999999999993</v>
      </c>
      <c r="HO3" s="4">
        <v>-1.208</v>
      </c>
      <c r="HP3" s="4">
        <v>-1.0720000000000001</v>
      </c>
      <c r="HQ3" s="4">
        <v>-0.73299999999999998</v>
      </c>
      <c r="HR3" s="4">
        <v>-1.325</v>
      </c>
      <c r="HS3" s="4">
        <v>-2.4990000000000001</v>
      </c>
      <c r="HT3" s="4">
        <v>-2.2170000000000001</v>
      </c>
      <c r="HU3" s="4">
        <v>-2.2069999999999999</v>
      </c>
      <c r="HV3" s="4">
        <v>-0.63900000000000001</v>
      </c>
      <c r="HW3" s="4">
        <v>-8.3030000000000008</v>
      </c>
      <c r="HX3" s="4">
        <v>-1.8919999999999999</v>
      </c>
      <c r="HY3" s="4">
        <v>-0.121</v>
      </c>
      <c r="HZ3" s="4">
        <v>0.65500000000000003</v>
      </c>
      <c r="IA3" s="4">
        <v>-7.2930000000000001</v>
      </c>
      <c r="IB3" s="4">
        <v>1.0669999999999999</v>
      </c>
      <c r="IC3" s="4">
        <v>-0.31</v>
      </c>
      <c r="ID3" s="4">
        <v>0.46</v>
      </c>
      <c r="IE3" s="4">
        <v>-0.33300000000000002</v>
      </c>
      <c r="IF3" s="4">
        <v>-1.883</v>
      </c>
      <c r="IG3" s="4">
        <v>-3.673</v>
      </c>
      <c r="IH3" s="4">
        <v>-5.93</v>
      </c>
      <c r="II3" s="4">
        <v>-7.3259999999999996</v>
      </c>
      <c r="IJ3" s="4">
        <v>-2.774</v>
      </c>
      <c r="IK3" s="4">
        <v>-0.126</v>
      </c>
      <c r="IL3" s="4">
        <v>-6.7569999999999997</v>
      </c>
      <c r="IM3" s="4">
        <v>-1.9119999999999999</v>
      </c>
      <c r="IN3" s="4">
        <v>-3.153</v>
      </c>
      <c r="IO3" s="4">
        <v>-2.843</v>
      </c>
      <c r="IP3" s="4">
        <v>-1.357</v>
      </c>
      <c r="IQ3" s="4">
        <v>-0.68200000000000005</v>
      </c>
      <c r="IR3" s="4">
        <v>-0.59199999999999997</v>
      </c>
      <c r="IS3" s="4">
        <v>-7.7270000000000003</v>
      </c>
      <c r="IT3" s="4">
        <v>-2.2599999999999998</v>
      </c>
      <c r="IU3" s="4">
        <v>-7.4969999999999999</v>
      </c>
      <c r="IV3" s="4">
        <v>-0.48699999999999999</v>
      </c>
      <c r="IW3" s="4">
        <v>-8.6660000000000004</v>
      </c>
      <c r="IX3" s="4">
        <v>-1.1990000000000001</v>
      </c>
      <c r="IY3" s="4">
        <v>-2.254</v>
      </c>
      <c r="IZ3" s="4">
        <v>-2</v>
      </c>
      <c r="JA3" s="4">
        <v>-0.93700000000000006</v>
      </c>
      <c r="JB3" s="4">
        <v>-1.7310000000000001</v>
      </c>
      <c r="JC3" s="4">
        <v>-5.7240000000000002</v>
      </c>
      <c r="JD3" s="4">
        <v>-2.3130000000000002</v>
      </c>
      <c r="JE3" s="4">
        <v>0.96699999999999997</v>
      </c>
      <c r="JF3" s="4">
        <v>-0.82599999999999996</v>
      </c>
      <c r="JG3" s="4">
        <v>-0.83399999999999996</v>
      </c>
      <c r="JH3" s="4">
        <v>-1.05</v>
      </c>
      <c r="JI3" s="4">
        <v>-5.0330000000000004</v>
      </c>
      <c r="JJ3" s="4">
        <v>-2.7669999999999999</v>
      </c>
      <c r="JK3" s="4">
        <v>-3.1579999999999999</v>
      </c>
      <c r="JL3" s="4">
        <v>4.1000000000000002E-2</v>
      </c>
      <c r="JM3" s="4">
        <v>-1.1379999999999999</v>
      </c>
      <c r="JN3" s="4">
        <v>-1.88</v>
      </c>
      <c r="JO3" s="4">
        <v>-1.976</v>
      </c>
      <c r="JP3" s="4">
        <v>-0.83199999999999996</v>
      </c>
      <c r="JQ3" s="4">
        <v>-1.5609999999999999</v>
      </c>
      <c r="JR3" s="4">
        <v>-3.5419999999999998</v>
      </c>
      <c r="JS3" s="4">
        <v>-6.9640000000000004</v>
      </c>
      <c r="JT3" s="4">
        <v>-2.1949999999999998</v>
      </c>
      <c r="JU3" s="4">
        <v>-2.085</v>
      </c>
      <c r="JV3" s="4">
        <v>-1.1439999999999999</v>
      </c>
      <c r="JW3" s="4">
        <v>-1.0169999999999999</v>
      </c>
      <c r="JX3" s="4">
        <v>-1.504</v>
      </c>
      <c r="JY3" s="4">
        <v>-0.56100000000000005</v>
      </c>
      <c r="JZ3" s="4">
        <v>-2.2570000000000001</v>
      </c>
      <c r="KA3" s="4">
        <v>-1.2</v>
      </c>
      <c r="KB3" s="4">
        <v>-5.8879999999999999</v>
      </c>
      <c r="KC3" s="4">
        <v>-6.3019999999999996</v>
      </c>
      <c r="KD3" s="4">
        <v>-1.5309999999999999</v>
      </c>
      <c r="KE3" s="4">
        <v>-1.014</v>
      </c>
      <c r="KF3" s="4">
        <v>-1.534</v>
      </c>
      <c r="KG3" s="4">
        <v>-1.748</v>
      </c>
      <c r="KH3" s="4">
        <v>-1.8220000000000001</v>
      </c>
      <c r="KI3" s="4">
        <v>-3.0150000000000001</v>
      </c>
      <c r="KJ3" s="4">
        <v>-1.3380000000000001</v>
      </c>
      <c r="KK3" s="4">
        <v>-2.3380000000000001</v>
      </c>
      <c r="KL3" s="4">
        <v>-3.6389999999999998</v>
      </c>
      <c r="KM3" s="4">
        <v>-10.247999999999999</v>
      </c>
      <c r="KN3" s="4">
        <v>-3.597</v>
      </c>
      <c r="KO3" s="4">
        <v>-7.4359999999999999</v>
      </c>
      <c r="KP3" s="4">
        <v>-2.7440000000000002</v>
      </c>
      <c r="KQ3" s="4">
        <v>-1.635</v>
      </c>
      <c r="KR3" s="4">
        <v>-1.1930000000000001</v>
      </c>
      <c r="KS3" s="4">
        <v>0.46500000000000002</v>
      </c>
    </row>
    <row r="4" spans="1:305" x14ac:dyDescent="0.25">
      <c r="A4" s="3">
        <v>3</v>
      </c>
      <c r="B4" s="3"/>
      <c r="C4" s="4">
        <v>-8.5739999999999998</v>
      </c>
      <c r="D4" s="4">
        <v>-1.171</v>
      </c>
      <c r="E4" s="4">
        <v>2.0630000000000002</v>
      </c>
      <c r="F4" s="4">
        <v>1.1319999999999999</v>
      </c>
      <c r="G4" s="4">
        <v>1.4490000000000001</v>
      </c>
      <c r="H4" s="4">
        <v>-2.2029999999999998</v>
      </c>
      <c r="I4" s="4">
        <v>0.215</v>
      </c>
      <c r="J4" s="4">
        <v>-3.0449999999999999</v>
      </c>
      <c r="K4" s="4">
        <v>1.02</v>
      </c>
      <c r="L4" s="4">
        <v>3.008</v>
      </c>
      <c r="M4" s="4">
        <v>-3.5979999999999999</v>
      </c>
      <c r="N4" s="4">
        <v>-0.54900000000000004</v>
      </c>
      <c r="O4" s="4">
        <v>-3.5870000000000002</v>
      </c>
      <c r="P4" s="4">
        <v>1.0489999999999999</v>
      </c>
      <c r="Q4" s="4">
        <v>-6.5069999999999997</v>
      </c>
      <c r="R4" s="4">
        <v>-7.57</v>
      </c>
      <c r="S4" s="4">
        <v>0.85799999999999998</v>
      </c>
      <c r="T4" s="4">
        <v>0.496</v>
      </c>
      <c r="U4" s="4">
        <v>0.66900000000000004</v>
      </c>
      <c r="V4" s="4">
        <v>1.268</v>
      </c>
      <c r="W4" s="4">
        <v>-1.137</v>
      </c>
      <c r="X4" s="4">
        <v>2.0779999999999998</v>
      </c>
      <c r="Y4" s="4">
        <v>0.47199999999999998</v>
      </c>
      <c r="Z4" s="4">
        <v>-4.7670000000000003</v>
      </c>
      <c r="AA4" s="4">
        <v>2.3250000000000002</v>
      </c>
      <c r="AB4" s="4">
        <v>-3.7330000000000001</v>
      </c>
      <c r="AC4" s="4">
        <v>1.5429999999999999</v>
      </c>
      <c r="AD4" s="4">
        <v>-1.885</v>
      </c>
      <c r="AE4" s="4">
        <v>0.86899999999999999</v>
      </c>
      <c r="AF4" s="4">
        <v>2.4870000000000001</v>
      </c>
      <c r="AG4" s="4">
        <v>1.5580000000000001</v>
      </c>
      <c r="AH4" s="4">
        <v>-1.1759999999999999</v>
      </c>
      <c r="AI4" s="4">
        <v>-3.706</v>
      </c>
      <c r="AJ4" s="4">
        <v>3.06</v>
      </c>
      <c r="AK4" s="4">
        <v>2.944</v>
      </c>
      <c r="AL4" s="4">
        <v>3.1989999999999998</v>
      </c>
      <c r="AM4" s="4">
        <v>0.121</v>
      </c>
      <c r="AN4" s="4">
        <v>-0.91900000000000004</v>
      </c>
      <c r="AO4" s="4">
        <v>0.20599999999999999</v>
      </c>
      <c r="AP4" s="4">
        <v>-2.423</v>
      </c>
      <c r="AQ4" s="4">
        <v>-5.577</v>
      </c>
      <c r="AR4" s="4">
        <v>-2.5569999999999999</v>
      </c>
      <c r="AS4" s="4">
        <v>0.45200000000000001</v>
      </c>
      <c r="AT4" s="4">
        <v>0.70799999999999996</v>
      </c>
      <c r="AU4" s="4">
        <v>-1.0349999999999999</v>
      </c>
      <c r="AV4" s="4">
        <v>-0.40699999999999997</v>
      </c>
      <c r="AW4" s="4">
        <v>1.8740000000000001</v>
      </c>
      <c r="AX4" s="4">
        <v>2.9630000000000001</v>
      </c>
      <c r="AY4" s="4">
        <v>1.4810000000000001</v>
      </c>
      <c r="AZ4" s="4">
        <v>-0.99399999999999999</v>
      </c>
      <c r="BA4" s="4">
        <v>2.46</v>
      </c>
      <c r="BB4" s="4">
        <v>0.39300000000000002</v>
      </c>
      <c r="BC4" s="4">
        <v>3.0059999999999998</v>
      </c>
      <c r="BD4" s="4">
        <v>1.4079999999999999</v>
      </c>
      <c r="BE4" s="4">
        <v>1.0880000000000001</v>
      </c>
      <c r="BF4" s="4">
        <v>-0.52700000000000002</v>
      </c>
      <c r="BG4" s="4">
        <v>-1.966</v>
      </c>
      <c r="BH4" s="4">
        <v>1.4330000000000001</v>
      </c>
      <c r="BI4" s="4">
        <v>-1.772</v>
      </c>
      <c r="BJ4" s="4">
        <v>-2.569</v>
      </c>
      <c r="BK4" s="4">
        <v>1.0640000000000001</v>
      </c>
      <c r="BL4" s="4">
        <v>-6.1289999999999996</v>
      </c>
      <c r="BM4" s="4">
        <v>-6.9569999999999999</v>
      </c>
      <c r="BN4" s="4">
        <v>-1.8140000000000001</v>
      </c>
      <c r="BO4" s="4">
        <v>-6.9039999999999999</v>
      </c>
      <c r="BP4" s="4">
        <v>-0.73199999999999998</v>
      </c>
      <c r="BQ4" s="4">
        <v>1.105</v>
      </c>
      <c r="BR4" s="4">
        <v>-0.78</v>
      </c>
      <c r="BS4" s="4">
        <v>2.8479999999999999</v>
      </c>
      <c r="BT4" s="4">
        <v>1.145</v>
      </c>
      <c r="BU4" s="4">
        <v>1.655</v>
      </c>
      <c r="BV4" s="4">
        <v>-1.0820000000000001</v>
      </c>
      <c r="BW4" s="4">
        <v>-0.378</v>
      </c>
      <c r="BX4" s="4">
        <v>-0.49</v>
      </c>
      <c r="BY4" s="4">
        <v>0.91</v>
      </c>
      <c r="BZ4" s="4">
        <v>-1.038</v>
      </c>
      <c r="CA4" s="4">
        <v>1.365</v>
      </c>
      <c r="CB4" s="4">
        <v>0.113</v>
      </c>
      <c r="CC4" s="4">
        <v>-4.6230000000000002</v>
      </c>
      <c r="CD4" s="4">
        <v>-0.86</v>
      </c>
      <c r="CE4" s="4">
        <v>-3.4950000000000001</v>
      </c>
      <c r="CF4" s="4">
        <v>-2.7589999999999999</v>
      </c>
      <c r="CG4" s="4">
        <v>1.996</v>
      </c>
      <c r="CH4" s="4">
        <v>2.6549999999999998</v>
      </c>
      <c r="CI4" s="4">
        <v>-1.37</v>
      </c>
      <c r="CJ4" s="4">
        <v>-5.2560000000000002</v>
      </c>
      <c r="CK4" s="4">
        <v>2.556</v>
      </c>
      <c r="CL4" s="4">
        <v>-6.6109999999999998</v>
      </c>
      <c r="CM4" s="4">
        <v>1.24</v>
      </c>
      <c r="CN4" s="4">
        <v>1.0980000000000001</v>
      </c>
      <c r="CO4" s="4">
        <v>1.458</v>
      </c>
      <c r="CP4" s="4">
        <v>-1.5660000000000001</v>
      </c>
      <c r="CQ4" s="4">
        <v>3.1669999999999998</v>
      </c>
      <c r="CR4" s="4">
        <v>1.798</v>
      </c>
      <c r="CS4" s="4">
        <v>2.7719999999999998</v>
      </c>
      <c r="CT4" s="4">
        <v>2.6419999999999999</v>
      </c>
      <c r="CU4" s="4">
        <v>1.8320000000000001</v>
      </c>
      <c r="CV4" s="4">
        <v>-1.054</v>
      </c>
      <c r="CW4" s="4">
        <v>-2.1030000000000002</v>
      </c>
      <c r="CX4" s="4">
        <v>1.3460000000000001</v>
      </c>
      <c r="CY4" s="4">
        <v>1.4610000000000001</v>
      </c>
      <c r="CZ4" s="4">
        <v>-0.55200000000000005</v>
      </c>
      <c r="DA4" s="4">
        <v>-6.1260000000000003</v>
      </c>
      <c r="DB4" s="4">
        <v>-0.94099999999999995</v>
      </c>
      <c r="DC4" s="4">
        <v>-2.87</v>
      </c>
      <c r="DD4" s="4">
        <v>-3.9510000000000001</v>
      </c>
      <c r="DE4" s="4">
        <v>2.4700000000000002</v>
      </c>
      <c r="DF4" s="4">
        <v>-6.7469999999999999</v>
      </c>
      <c r="DG4" s="4">
        <v>-1.397</v>
      </c>
      <c r="DH4" s="4">
        <v>7.0000000000000007E-2</v>
      </c>
      <c r="DI4" s="4">
        <v>4.2000000000000003E-2</v>
      </c>
      <c r="DJ4" s="4">
        <v>0.314</v>
      </c>
      <c r="DK4" s="4">
        <v>0.24399999999999999</v>
      </c>
      <c r="DL4" s="4">
        <v>0.24399999999999999</v>
      </c>
      <c r="DM4" s="4">
        <v>1.351</v>
      </c>
      <c r="DN4" s="4">
        <v>-0.42199999999999999</v>
      </c>
      <c r="DO4" s="4">
        <v>1.8149999999999999</v>
      </c>
      <c r="DP4" s="4">
        <v>-8.0990000000000002</v>
      </c>
      <c r="DQ4" s="4">
        <v>0.84499999999999997</v>
      </c>
      <c r="DR4" s="4">
        <v>2.7930000000000001</v>
      </c>
      <c r="DS4" s="4">
        <v>-0.94199999999999995</v>
      </c>
      <c r="DT4" s="4">
        <v>0.70199999999999996</v>
      </c>
      <c r="DU4" s="4">
        <v>1.1080000000000001</v>
      </c>
      <c r="DV4" s="4">
        <v>-4.0919999999999996</v>
      </c>
      <c r="DW4" s="4">
        <v>3.5590000000000002</v>
      </c>
      <c r="DX4" s="4">
        <v>0.253</v>
      </c>
      <c r="DY4" s="4">
        <v>1.1240000000000001</v>
      </c>
      <c r="DZ4" s="4">
        <v>2.2850000000000001</v>
      </c>
      <c r="EA4" s="4">
        <v>2.4239999999999999</v>
      </c>
      <c r="EB4" s="4">
        <v>0.79700000000000004</v>
      </c>
      <c r="EC4" s="4">
        <v>-6.7809999999999997</v>
      </c>
      <c r="ED4" s="4">
        <v>2.9740000000000002</v>
      </c>
      <c r="EE4" s="4">
        <v>3.0779999999999998</v>
      </c>
      <c r="EF4" s="4">
        <v>0.80300000000000005</v>
      </c>
      <c r="EG4" s="4">
        <v>0.92700000000000005</v>
      </c>
      <c r="EH4" s="4">
        <v>-0.76900000000000002</v>
      </c>
      <c r="EI4" s="4">
        <v>1.7130000000000001</v>
      </c>
      <c r="EJ4" s="4">
        <v>-1.498</v>
      </c>
      <c r="EK4" s="4">
        <v>-0.38</v>
      </c>
      <c r="EL4" s="4">
        <v>2.387</v>
      </c>
      <c r="EM4" s="4">
        <v>1.766</v>
      </c>
      <c r="EN4" s="4">
        <v>1.6879999999999999</v>
      </c>
      <c r="EO4" s="4">
        <v>1.7789999999999999</v>
      </c>
      <c r="EP4" s="4">
        <v>2.52</v>
      </c>
      <c r="EQ4" s="4">
        <v>-2.9</v>
      </c>
      <c r="ER4" s="4">
        <v>3.0190000000000001</v>
      </c>
      <c r="ES4" s="4">
        <v>1.1870000000000001</v>
      </c>
      <c r="ET4" s="4">
        <v>-3.1080000000000001</v>
      </c>
      <c r="EU4" s="4">
        <v>3.1269999999999998</v>
      </c>
      <c r="EV4" s="4">
        <v>-3.7629999999999999</v>
      </c>
      <c r="EW4" s="4">
        <v>1.992</v>
      </c>
      <c r="EX4" s="4">
        <v>-7.0129999999999999</v>
      </c>
      <c r="EY4" s="4">
        <v>0.80700000000000005</v>
      </c>
      <c r="EZ4" s="4">
        <v>3.1920000000000002</v>
      </c>
      <c r="FA4" s="4">
        <v>-1.925</v>
      </c>
      <c r="FB4" s="4">
        <v>2.1469999999999998</v>
      </c>
      <c r="FC4" s="4">
        <v>2.3340000000000001</v>
      </c>
      <c r="FD4" s="4">
        <v>-1.2190000000000001</v>
      </c>
      <c r="FE4" s="4">
        <v>1.53</v>
      </c>
      <c r="FF4" s="4">
        <v>-1.28</v>
      </c>
      <c r="FG4" s="4">
        <v>2.7480000000000002</v>
      </c>
      <c r="FH4" s="4">
        <v>2.4820000000000002</v>
      </c>
      <c r="FI4" s="4">
        <v>-0.96799999999999997</v>
      </c>
      <c r="FJ4" s="4">
        <v>0.41899999999999998</v>
      </c>
      <c r="FK4" s="4">
        <v>1.06</v>
      </c>
      <c r="FL4" s="4">
        <v>1.411</v>
      </c>
      <c r="FM4" s="4">
        <v>0.38500000000000001</v>
      </c>
      <c r="FN4" s="4">
        <v>-0.497</v>
      </c>
      <c r="FO4" s="4">
        <v>0.26400000000000001</v>
      </c>
      <c r="FP4" s="4">
        <v>0.214</v>
      </c>
      <c r="FQ4" s="4">
        <v>-1.427</v>
      </c>
      <c r="FR4" s="4">
        <v>-2.8079999999999998</v>
      </c>
      <c r="FS4" s="4">
        <v>-3.4710000000000001</v>
      </c>
      <c r="FT4" s="4">
        <v>1.484</v>
      </c>
      <c r="FU4" s="4">
        <v>0.54900000000000004</v>
      </c>
      <c r="FV4" s="4">
        <v>-6.4870000000000001</v>
      </c>
      <c r="FW4" s="4">
        <v>1.881</v>
      </c>
      <c r="FX4" s="4">
        <v>1.238</v>
      </c>
      <c r="FY4" s="4">
        <v>-0.96199999999999997</v>
      </c>
      <c r="FZ4" s="4">
        <v>-0.95899999999999996</v>
      </c>
      <c r="GA4" s="4">
        <v>-1.25</v>
      </c>
      <c r="GB4" s="4">
        <v>2.601</v>
      </c>
      <c r="GC4" s="4">
        <v>1.587</v>
      </c>
      <c r="GD4" s="4">
        <v>2.302</v>
      </c>
      <c r="GE4" s="4">
        <v>1.2589999999999999</v>
      </c>
      <c r="GF4" s="4">
        <v>2.4380000000000002</v>
      </c>
      <c r="GG4" s="4">
        <v>-3.0009999999999999</v>
      </c>
      <c r="GH4" s="4">
        <v>-1.054</v>
      </c>
      <c r="GI4" s="4">
        <v>1.8540000000000001</v>
      </c>
      <c r="GJ4" s="4">
        <v>1.954</v>
      </c>
      <c r="GK4" s="4">
        <v>2.1309999999999998</v>
      </c>
      <c r="GL4" s="4">
        <v>0.995</v>
      </c>
      <c r="GM4" s="4">
        <v>0.995</v>
      </c>
      <c r="GN4" s="4">
        <v>-2.8719999999999999</v>
      </c>
      <c r="GO4" s="4">
        <v>-1.544</v>
      </c>
      <c r="GP4" s="4">
        <v>-1.19</v>
      </c>
      <c r="GQ4" s="4">
        <v>-4.6890000000000001</v>
      </c>
      <c r="GR4" s="4">
        <v>-6.1669999999999998</v>
      </c>
      <c r="GS4" s="4">
        <v>-0.85399999999999998</v>
      </c>
      <c r="GT4" s="4">
        <v>-4.4770000000000003</v>
      </c>
      <c r="GU4" s="4">
        <v>1.921</v>
      </c>
      <c r="GV4" s="4">
        <v>-2.1779999999999999</v>
      </c>
      <c r="GW4" s="4">
        <v>-1.173</v>
      </c>
      <c r="GX4" s="4">
        <v>-7.9</v>
      </c>
      <c r="GY4" s="4">
        <v>-1.2010000000000001</v>
      </c>
      <c r="GZ4" s="4">
        <v>0.99399999999999999</v>
      </c>
      <c r="HA4" s="4">
        <v>0.93200000000000005</v>
      </c>
      <c r="HB4" s="4">
        <v>0.76800000000000002</v>
      </c>
      <c r="HC4" s="4">
        <v>-1.163</v>
      </c>
      <c r="HD4" s="4">
        <v>-4.258</v>
      </c>
      <c r="HE4" s="4">
        <v>-1.2030000000000001</v>
      </c>
      <c r="HF4" s="4">
        <v>-4.5940000000000003</v>
      </c>
      <c r="HG4" s="4">
        <v>1.71</v>
      </c>
      <c r="HH4" s="4">
        <v>-1.4179999999999999</v>
      </c>
      <c r="HI4" s="4">
        <v>0.65200000000000002</v>
      </c>
      <c r="HJ4" s="4">
        <v>-0.66100000000000003</v>
      </c>
      <c r="HK4" s="4">
        <v>1.1830000000000001</v>
      </c>
      <c r="HL4" s="4">
        <v>2.7549999999999999</v>
      </c>
      <c r="HM4" s="4">
        <v>2.286</v>
      </c>
      <c r="HN4" s="4">
        <v>-1.837</v>
      </c>
      <c r="HO4" s="4">
        <v>1.748</v>
      </c>
      <c r="HP4" s="4">
        <v>1.204</v>
      </c>
      <c r="HQ4" s="4">
        <v>3.0150000000000001</v>
      </c>
      <c r="HR4" s="4">
        <v>0.85099999999999998</v>
      </c>
      <c r="HS4" s="4">
        <v>1.462</v>
      </c>
      <c r="HT4" s="4">
        <v>-0.88700000000000001</v>
      </c>
      <c r="HU4" s="4">
        <v>-0.97899999999999998</v>
      </c>
      <c r="HV4" s="4">
        <v>-1.181</v>
      </c>
      <c r="HW4" s="4">
        <v>-1.492</v>
      </c>
      <c r="HX4" s="4">
        <v>-0.80100000000000005</v>
      </c>
      <c r="HY4" s="4">
        <v>-0.48299999999999998</v>
      </c>
      <c r="HZ4" s="4">
        <v>0.61799999999999999</v>
      </c>
      <c r="IA4" s="4">
        <v>-7.7439999999999998</v>
      </c>
      <c r="IB4" s="4">
        <v>2.6179999999999999</v>
      </c>
      <c r="IC4" s="4">
        <v>3.19</v>
      </c>
      <c r="ID4" s="4">
        <v>2.472</v>
      </c>
      <c r="IE4" s="4">
        <v>-0.63200000000000001</v>
      </c>
      <c r="IF4" s="4">
        <v>-0.39500000000000002</v>
      </c>
      <c r="IG4" s="4">
        <v>7.3999999999999996E-2</v>
      </c>
      <c r="IH4" s="4">
        <v>-3.15</v>
      </c>
      <c r="II4" s="4">
        <v>-4.3559999999999999</v>
      </c>
      <c r="IJ4" s="4">
        <v>-2.343</v>
      </c>
      <c r="IK4" s="4">
        <v>2.06</v>
      </c>
      <c r="IL4" s="4">
        <v>-2.7450000000000001</v>
      </c>
      <c r="IM4" s="4">
        <v>-0.51</v>
      </c>
      <c r="IN4" s="4">
        <v>-3.2890000000000001</v>
      </c>
      <c r="IO4" s="4">
        <v>0.49399999999999999</v>
      </c>
      <c r="IP4" s="4">
        <v>0.73499999999999999</v>
      </c>
      <c r="IQ4" s="4">
        <v>2.2999999999999998</v>
      </c>
      <c r="IR4" s="4">
        <v>2.867</v>
      </c>
      <c r="IS4" s="4">
        <v>-4.0709999999999997</v>
      </c>
      <c r="IT4" s="4">
        <v>0.76700000000000002</v>
      </c>
      <c r="IU4" s="4">
        <v>-3.7490000000000001</v>
      </c>
      <c r="IV4" s="4">
        <v>-1.129</v>
      </c>
      <c r="IW4" s="4">
        <v>-5.6769999999999996</v>
      </c>
      <c r="IX4" s="4">
        <v>1.9319999999999999</v>
      </c>
      <c r="IY4" s="4">
        <v>0.83199999999999996</v>
      </c>
      <c r="IZ4" s="4">
        <v>1.4470000000000001</v>
      </c>
      <c r="JA4" s="4">
        <v>0.79200000000000004</v>
      </c>
      <c r="JB4" s="4">
        <v>-2.194</v>
      </c>
      <c r="JC4" s="4">
        <v>-3.4809999999999999</v>
      </c>
      <c r="JD4" s="4">
        <v>0.95699999999999996</v>
      </c>
      <c r="JE4" s="4">
        <v>2.988</v>
      </c>
      <c r="JF4" s="4">
        <v>2.827</v>
      </c>
      <c r="JG4" s="4">
        <v>2.0680000000000001</v>
      </c>
      <c r="JH4" s="4">
        <v>2.2770000000000001</v>
      </c>
      <c r="JI4" s="4">
        <v>-1.401</v>
      </c>
      <c r="JJ4" s="4">
        <v>0.73599999999999999</v>
      </c>
      <c r="JK4" s="4">
        <v>0.80100000000000005</v>
      </c>
      <c r="JL4" s="4">
        <v>3.2160000000000002</v>
      </c>
      <c r="JM4" s="4">
        <v>1.5760000000000001</v>
      </c>
      <c r="JN4" s="4">
        <v>-1.2</v>
      </c>
      <c r="JO4" s="4">
        <v>0.92400000000000004</v>
      </c>
      <c r="JP4" s="4">
        <v>1.9079999999999999</v>
      </c>
      <c r="JQ4" s="4">
        <v>1.1679999999999999</v>
      </c>
      <c r="JR4" s="4">
        <v>-0.63100000000000001</v>
      </c>
      <c r="JS4" s="4">
        <v>-1.0049999999999999</v>
      </c>
      <c r="JT4" s="4">
        <v>-1.2809999999999999</v>
      </c>
      <c r="JU4" s="4">
        <v>-1.0549999999999999</v>
      </c>
      <c r="JV4" s="4">
        <v>-1.157</v>
      </c>
      <c r="JW4" s="4">
        <v>1.258</v>
      </c>
      <c r="JX4" s="4">
        <v>0.72</v>
      </c>
      <c r="JY4" s="4">
        <v>2.1859999999999999</v>
      </c>
      <c r="JZ4" s="4">
        <v>-1.3759999999999999</v>
      </c>
      <c r="KA4" s="4">
        <v>1.6160000000000001</v>
      </c>
      <c r="KB4" s="4">
        <v>-4.41</v>
      </c>
      <c r="KC4" s="4">
        <v>0.32700000000000001</v>
      </c>
      <c r="KD4" s="4">
        <v>1.5409999999999999</v>
      </c>
      <c r="KE4" s="4">
        <v>0.36499999999999999</v>
      </c>
      <c r="KF4" s="4">
        <v>1.0589999999999999</v>
      </c>
      <c r="KG4" s="4">
        <v>0.98299999999999998</v>
      </c>
      <c r="KH4" s="4">
        <v>-0.245</v>
      </c>
      <c r="KI4" s="4">
        <v>1.2130000000000001</v>
      </c>
      <c r="KJ4" s="4">
        <v>2.37</v>
      </c>
      <c r="KK4" s="4">
        <v>1.2E-2</v>
      </c>
      <c r="KL4" s="4">
        <v>0.59199999999999997</v>
      </c>
      <c r="KM4" s="4">
        <v>-6.29</v>
      </c>
      <c r="KN4" s="4">
        <v>1.2549999999999999</v>
      </c>
      <c r="KO4" s="4">
        <v>-5.2839999999999998</v>
      </c>
      <c r="KP4" s="4">
        <v>-1.921</v>
      </c>
      <c r="KQ4" s="4">
        <v>1.7629999999999999</v>
      </c>
      <c r="KR4" s="4">
        <v>0.70299999999999996</v>
      </c>
      <c r="KS4" s="4">
        <v>2.9340000000000002</v>
      </c>
    </row>
    <row r="5" spans="1:305" x14ac:dyDescent="0.25">
      <c r="A5" s="3">
        <v>4</v>
      </c>
      <c r="B5" s="3"/>
      <c r="C5" s="4">
        <v>-3.4020000000000001</v>
      </c>
      <c r="D5" s="4">
        <v>5.39</v>
      </c>
      <c r="E5" s="4">
        <v>6.04</v>
      </c>
      <c r="F5" s="4">
        <v>5.6379999999999999</v>
      </c>
      <c r="G5" s="4">
        <v>5.5979999999999999</v>
      </c>
      <c r="H5" s="4">
        <v>3.5289999999999999</v>
      </c>
      <c r="I5" s="4">
        <v>5.67</v>
      </c>
      <c r="J5" s="4">
        <v>0.71299999999999997</v>
      </c>
      <c r="K5" s="4">
        <v>5.9260000000000002</v>
      </c>
      <c r="L5" s="4">
        <v>5.8040000000000003</v>
      </c>
      <c r="M5" s="4">
        <v>3.1320000000000001</v>
      </c>
      <c r="N5" s="4">
        <v>5.6689999999999996</v>
      </c>
      <c r="O5" s="4">
        <v>1.0249999999999999</v>
      </c>
      <c r="P5" s="4">
        <v>4.327</v>
      </c>
      <c r="Q5" s="4">
        <v>-0.38500000000000001</v>
      </c>
      <c r="R5" s="4">
        <v>-1.33</v>
      </c>
      <c r="S5" s="4">
        <v>5.0659999999999998</v>
      </c>
      <c r="T5" s="4">
        <v>5.25</v>
      </c>
      <c r="U5" s="4">
        <v>5.9429999999999996</v>
      </c>
      <c r="V5" s="4">
        <v>5.0209999999999999</v>
      </c>
      <c r="W5" s="4">
        <v>4.298</v>
      </c>
      <c r="X5" s="4">
        <v>6.5629999999999997</v>
      </c>
      <c r="Y5" s="4">
        <v>4.4829999999999997</v>
      </c>
      <c r="Z5" s="4">
        <v>2.1280000000000001</v>
      </c>
      <c r="AA5" s="4">
        <v>6.1989999999999998</v>
      </c>
      <c r="AB5" s="4">
        <v>1.607</v>
      </c>
      <c r="AC5" s="4">
        <v>5.585</v>
      </c>
      <c r="AD5" s="4">
        <v>4.26</v>
      </c>
      <c r="AE5" s="4">
        <v>5.3529999999999998</v>
      </c>
      <c r="AF5" s="4">
        <v>6.335</v>
      </c>
      <c r="AG5" s="4">
        <v>4.9480000000000004</v>
      </c>
      <c r="AH5" s="4">
        <v>5.7380000000000004</v>
      </c>
      <c r="AI5" s="4">
        <v>3.1110000000000002</v>
      </c>
      <c r="AJ5" s="4">
        <v>6.0730000000000004</v>
      </c>
      <c r="AK5" s="4">
        <v>7.0389999999999997</v>
      </c>
      <c r="AL5" s="4">
        <v>7.2729999999999997</v>
      </c>
      <c r="AM5" s="4">
        <v>4.1479999999999997</v>
      </c>
      <c r="AN5" s="4">
        <v>4.5579999999999998</v>
      </c>
      <c r="AO5" s="4">
        <v>4.6269999999999998</v>
      </c>
      <c r="AP5" s="4">
        <v>3.8719999999999999</v>
      </c>
      <c r="AQ5" s="4">
        <v>1.708</v>
      </c>
      <c r="AR5" s="4">
        <v>2.7610000000000001</v>
      </c>
      <c r="AS5" s="4">
        <v>4.8689999999999998</v>
      </c>
      <c r="AT5" s="4">
        <v>5.444</v>
      </c>
      <c r="AU5" s="4">
        <v>5.5279999999999996</v>
      </c>
      <c r="AV5" s="4">
        <v>5.5430000000000001</v>
      </c>
      <c r="AW5" s="4">
        <v>5.7889999999999997</v>
      </c>
      <c r="AX5" s="4">
        <v>5.3259999999999996</v>
      </c>
      <c r="AY5" s="4">
        <v>5.8490000000000002</v>
      </c>
      <c r="AZ5" s="4">
        <v>4.3099999999999996</v>
      </c>
      <c r="BA5" s="4">
        <v>7.069</v>
      </c>
      <c r="BB5" s="4">
        <v>5.5949999999999998</v>
      </c>
      <c r="BC5" s="4">
        <v>5.8620000000000001</v>
      </c>
      <c r="BD5" s="4">
        <v>4.5289999999999999</v>
      </c>
      <c r="BE5" s="4">
        <v>5.0650000000000004</v>
      </c>
      <c r="BF5" s="4">
        <v>4.1719999999999997</v>
      </c>
      <c r="BG5" s="4">
        <v>5.7549999999999999</v>
      </c>
      <c r="BH5" s="4">
        <v>4.9029999999999996</v>
      </c>
      <c r="BI5" s="4">
        <v>5.65</v>
      </c>
      <c r="BJ5" s="4">
        <v>0.68400000000000005</v>
      </c>
      <c r="BK5" s="4">
        <v>3.7290000000000001</v>
      </c>
      <c r="BL5" s="4">
        <v>-0.64400000000000002</v>
      </c>
      <c r="BM5" s="4">
        <v>-1.1399999999999999</v>
      </c>
      <c r="BN5" s="4">
        <v>4.5439999999999996</v>
      </c>
      <c r="BO5" s="4">
        <v>-1.4690000000000001</v>
      </c>
      <c r="BP5" s="4">
        <v>5.6509999999999998</v>
      </c>
      <c r="BQ5" s="4">
        <v>5.5540000000000003</v>
      </c>
      <c r="BR5" s="4">
        <v>5.2240000000000002</v>
      </c>
      <c r="BS5" s="4">
        <v>7.5670000000000002</v>
      </c>
      <c r="BT5" s="4">
        <v>5.6970000000000001</v>
      </c>
      <c r="BU5" s="4">
        <v>5.6109999999999998</v>
      </c>
      <c r="BV5" s="4">
        <v>5.8259999999999996</v>
      </c>
      <c r="BW5" s="4">
        <v>4.8440000000000003</v>
      </c>
      <c r="BX5" s="4">
        <v>3.847</v>
      </c>
      <c r="BY5" s="4">
        <v>3.786</v>
      </c>
      <c r="BZ5" s="4">
        <v>5.952</v>
      </c>
      <c r="CA5" s="4">
        <v>6.6909999999999998</v>
      </c>
      <c r="CB5" s="4">
        <v>4.7949999999999999</v>
      </c>
      <c r="CC5" s="4">
        <v>2.8079999999999998</v>
      </c>
      <c r="CD5" s="4">
        <v>5.524</v>
      </c>
      <c r="CE5" s="4">
        <v>2.169</v>
      </c>
      <c r="CF5" s="4">
        <v>3.266</v>
      </c>
      <c r="CG5" s="4">
        <v>6.2119999999999997</v>
      </c>
      <c r="CH5" s="4">
        <v>6.1310000000000002</v>
      </c>
      <c r="CI5" s="4">
        <v>4.1459999999999999</v>
      </c>
      <c r="CJ5" s="4">
        <v>-0.70499999999999996</v>
      </c>
      <c r="CK5" s="4">
        <v>6.9880000000000004</v>
      </c>
      <c r="CL5" s="4">
        <v>-1.0940000000000001</v>
      </c>
      <c r="CM5" s="4">
        <v>5.9139999999999997</v>
      </c>
      <c r="CN5" s="4">
        <v>5.4219999999999997</v>
      </c>
      <c r="CO5" s="4">
        <v>5.4880000000000004</v>
      </c>
      <c r="CP5" s="4">
        <v>3.6269999999999998</v>
      </c>
      <c r="CQ5" s="4">
        <v>7.5579999999999998</v>
      </c>
      <c r="CR5" s="4">
        <v>6.524</v>
      </c>
      <c r="CS5" s="4">
        <v>5.6520000000000001</v>
      </c>
      <c r="CT5" s="4">
        <v>5.2389999999999999</v>
      </c>
      <c r="CU5" s="4">
        <v>4.9059999999999997</v>
      </c>
      <c r="CV5" s="4">
        <v>5.9130000000000003</v>
      </c>
      <c r="CW5" s="4">
        <v>4.0720000000000001</v>
      </c>
      <c r="CX5" s="4">
        <v>6.359</v>
      </c>
      <c r="CY5" s="4">
        <v>5.7380000000000004</v>
      </c>
      <c r="CZ5" s="4">
        <v>5.5739999999999998</v>
      </c>
      <c r="DA5" s="4">
        <v>-0.996</v>
      </c>
      <c r="DB5" s="4">
        <v>5.7590000000000003</v>
      </c>
      <c r="DC5" s="4">
        <v>2.4020000000000001</v>
      </c>
      <c r="DD5" s="4">
        <v>-0.57399999999999995</v>
      </c>
      <c r="DE5" s="4">
        <v>5.3970000000000002</v>
      </c>
      <c r="DF5" s="4">
        <v>-1.5860000000000001</v>
      </c>
      <c r="DG5" s="4">
        <v>5.7220000000000004</v>
      </c>
      <c r="DH5" s="4">
        <v>5.6059999999999999</v>
      </c>
      <c r="DI5" s="4">
        <v>4.6529999999999996</v>
      </c>
      <c r="DJ5" s="4">
        <v>5.88</v>
      </c>
      <c r="DK5" s="4">
        <v>5.415</v>
      </c>
      <c r="DL5" s="4">
        <v>5.415</v>
      </c>
      <c r="DM5" s="4">
        <v>5.0990000000000002</v>
      </c>
      <c r="DN5" s="4">
        <v>4.4619999999999997</v>
      </c>
      <c r="DO5" s="4">
        <v>5.4749999999999996</v>
      </c>
      <c r="DP5" s="4">
        <v>-2.0089999999999999</v>
      </c>
      <c r="DQ5" s="4">
        <v>5.4139999999999997</v>
      </c>
      <c r="DR5" s="4">
        <v>7.4640000000000004</v>
      </c>
      <c r="DS5" s="4">
        <v>4.9580000000000002</v>
      </c>
      <c r="DT5" s="4">
        <v>5.7069999999999999</v>
      </c>
      <c r="DU5" s="4">
        <v>5.2350000000000003</v>
      </c>
      <c r="DV5" s="4">
        <v>2.9239999999999999</v>
      </c>
      <c r="DW5" s="4">
        <v>5.9960000000000004</v>
      </c>
      <c r="DX5" s="4">
        <v>4.9279999999999999</v>
      </c>
      <c r="DY5" s="4">
        <v>3.9870000000000001</v>
      </c>
      <c r="DZ5" s="4">
        <v>7.6360000000000001</v>
      </c>
      <c r="EA5" s="4">
        <v>7.609</v>
      </c>
      <c r="EB5" s="4">
        <v>5.7480000000000002</v>
      </c>
      <c r="EC5" s="4">
        <v>-0.77300000000000002</v>
      </c>
      <c r="ED5" s="4">
        <v>6.6740000000000004</v>
      </c>
      <c r="EE5" s="4">
        <v>7.0069999999999997</v>
      </c>
      <c r="EF5" s="4">
        <v>5.835</v>
      </c>
      <c r="EG5" s="4">
        <v>6.0039999999999996</v>
      </c>
      <c r="EH5" s="4">
        <v>3.117</v>
      </c>
      <c r="EI5" s="4">
        <v>5.8339999999999996</v>
      </c>
      <c r="EJ5" s="4">
        <v>5.3970000000000002</v>
      </c>
      <c r="EK5" s="4">
        <v>5.1100000000000003</v>
      </c>
      <c r="EL5" s="4">
        <v>5.5170000000000003</v>
      </c>
      <c r="EM5" s="4">
        <v>6.9870000000000001</v>
      </c>
      <c r="EN5" s="4">
        <v>5.5990000000000002</v>
      </c>
      <c r="EO5" s="4">
        <v>5.2779999999999996</v>
      </c>
      <c r="EP5" s="4">
        <v>6.2140000000000004</v>
      </c>
      <c r="EQ5" s="4">
        <v>3.58</v>
      </c>
      <c r="ER5" s="4">
        <v>7.9089999999999998</v>
      </c>
      <c r="ES5" s="4">
        <v>3.9329999999999998</v>
      </c>
      <c r="ET5" s="4">
        <v>0.33</v>
      </c>
      <c r="EU5" s="4">
        <v>6.085</v>
      </c>
      <c r="EV5" s="4">
        <v>-0.82099999999999995</v>
      </c>
      <c r="EW5" s="4">
        <v>7.2690000000000001</v>
      </c>
      <c r="EX5" s="4">
        <v>-1.202</v>
      </c>
      <c r="EY5" s="4">
        <v>5.4729999999999999</v>
      </c>
      <c r="EZ5" s="4">
        <v>6.29</v>
      </c>
      <c r="FA5" s="4">
        <v>2.855</v>
      </c>
      <c r="FB5" s="4">
        <v>6.6070000000000002</v>
      </c>
      <c r="FC5" s="4">
        <v>6.0229999999999997</v>
      </c>
      <c r="FD5" s="4">
        <v>6.157</v>
      </c>
      <c r="FE5" s="4">
        <v>5.7069999999999999</v>
      </c>
      <c r="FF5" s="4">
        <v>5.4020000000000001</v>
      </c>
      <c r="FG5" s="4">
        <v>7.6050000000000004</v>
      </c>
      <c r="FH5" s="4">
        <v>6.5629999999999997</v>
      </c>
      <c r="FI5" s="4">
        <v>4.6609999999999996</v>
      </c>
      <c r="FJ5" s="4">
        <v>5.4169999999999998</v>
      </c>
      <c r="FK5" s="4">
        <v>5.4550000000000001</v>
      </c>
      <c r="FL5" s="4">
        <v>6.5149999999999997</v>
      </c>
      <c r="FM5" s="4">
        <v>5.5049999999999999</v>
      </c>
      <c r="FN5" s="4">
        <v>6.0789999999999997</v>
      </c>
      <c r="FO5" s="4">
        <v>5.218</v>
      </c>
      <c r="FP5" s="4">
        <v>3.4929999999999999</v>
      </c>
      <c r="FQ5" s="4">
        <v>3.73</v>
      </c>
      <c r="FR5" s="4">
        <v>3.3929999999999998</v>
      </c>
      <c r="FS5" s="4">
        <v>2.1419999999999999</v>
      </c>
      <c r="FT5" s="4">
        <v>5.8310000000000004</v>
      </c>
      <c r="FU5" s="4">
        <v>4.7789999999999999</v>
      </c>
      <c r="FV5" s="4">
        <v>-0.78200000000000003</v>
      </c>
      <c r="FW5" s="4">
        <v>5.1120000000000001</v>
      </c>
      <c r="FX5" s="4">
        <v>6.1680000000000001</v>
      </c>
      <c r="FY5" s="4">
        <v>5.2130000000000001</v>
      </c>
      <c r="FZ5" s="4">
        <v>5.13</v>
      </c>
      <c r="GA5" s="4">
        <v>3.5379999999999998</v>
      </c>
      <c r="GB5" s="4">
        <v>7.548</v>
      </c>
      <c r="GC5" s="4">
        <v>5.6950000000000003</v>
      </c>
      <c r="GD5" s="4">
        <v>6.843</v>
      </c>
      <c r="GE5" s="4">
        <v>4.0720000000000001</v>
      </c>
      <c r="GF5" s="4">
        <v>6.9349999999999996</v>
      </c>
      <c r="GG5" s="4">
        <v>3.0379999999999998</v>
      </c>
      <c r="GH5" s="4">
        <v>4.3659999999999997</v>
      </c>
      <c r="GI5" s="4">
        <v>6.17</v>
      </c>
      <c r="GJ5" s="4">
        <v>5.7779999999999996</v>
      </c>
      <c r="GK5" s="4">
        <v>6.6479999999999997</v>
      </c>
      <c r="GL5" s="4">
        <v>5.0759999999999996</v>
      </c>
      <c r="GM5" s="4">
        <v>5.0759999999999996</v>
      </c>
      <c r="GN5" s="4">
        <v>2.1640000000000001</v>
      </c>
      <c r="GO5" s="4">
        <v>5.8920000000000003</v>
      </c>
      <c r="GP5" s="4">
        <v>4.7619999999999996</v>
      </c>
      <c r="GQ5" s="4">
        <v>-0.28100000000000003</v>
      </c>
      <c r="GR5" s="4">
        <v>-0.28399999999999997</v>
      </c>
      <c r="GS5" s="4">
        <v>5.2759999999999998</v>
      </c>
      <c r="GT5" s="4">
        <v>-0.28699999999999998</v>
      </c>
      <c r="GU5" s="4">
        <v>6.1929999999999996</v>
      </c>
      <c r="GV5" s="4">
        <v>1.6220000000000001</v>
      </c>
      <c r="GW5" s="4">
        <v>3.1779999999999999</v>
      </c>
      <c r="GX5" s="4">
        <v>-1.1379999999999999</v>
      </c>
      <c r="GY5" s="4">
        <v>1.663</v>
      </c>
      <c r="GZ5" s="4">
        <v>5.8719999999999999</v>
      </c>
      <c r="HA5" s="4">
        <v>5.0419999999999998</v>
      </c>
      <c r="HB5" s="4">
        <v>3.9940000000000002</v>
      </c>
      <c r="HC5" s="4">
        <v>4.8540000000000001</v>
      </c>
      <c r="HD5" s="4">
        <v>0.35299999999999998</v>
      </c>
      <c r="HE5" s="4">
        <v>3.8639999999999999</v>
      </c>
      <c r="HF5" s="4">
        <v>6.7000000000000004E-2</v>
      </c>
      <c r="HG5" s="4">
        <v>5.2119999999999997</v>
      </c>
      <c r="HH5" s="4">
        <v>4.9349999999999996</v>
      </c>
      <c r="HI5" s="4">
        <v>5.1539999999999999</v>
      </c>
      <c r="HJ5" s="4">
        <v>3.8149999999999999</v>
      </c>
      <c r="HK5" s="4">
        <v>4.76</v>
      </c>
      <c r="HL5" s="4">
        <v>5.82</v>
      </c>
      <c r="HM5" s="4">
        <v>5.2750000000000004</v>
      </c>
      <c r="HN5" s="4">
        <v>1.9650000000000001</v>
      </c>
      <c r="HO5" s="4">
        <v>4.3230000000000004</v>
      </c>
      <c r="HP5" s="4">
        <v>5.1859999999999999</v>
      </c>
      <c r="HQ5" s="4">
        <v>6.6369999999999996</v>
      </c>
      <c r="HR5" s="4">
        <v>5.468</v>
      </c>
      <c r="HS5" s="4">
        <v>4.3239999999999998</v>
      </c>
      <c r="HT5" s="4">
        <v>4.7869999999999999</v>
      </c>
      <c r="HU5" s="4">
        <v>5.5060000000000002</v>
      </c>
      <c r="HV5" s="4">
        <v>6.13</v>
      </c>
      <c r="HW5" s="4">
        <v>3.0009999999999999</v>
      </c>
      <c r="HX5" s="4">
        <v>5.5279999999999996</v>
      </c>
      <c r="HY5" s="4">
        <v>6.4560000000000004</v>
      </c>
      <c r="HZ5" s="4">
        <v>6.9790000000000001</v>
      </c>
      <c r="IA5" s="4">
        <v>-0.109</v>
      </c>
      <c r="IB5" s="4">
        <v>5.7039999999999997</v>
      </c>
      <c r="IC5" s="4">
        <v>6.4509999999999996</v>
      </c>
      <c r="ID5" s="4">
        <v>7.0190000000000001</v>
      </c>
      <c r="IE5" s="4">
        <v>6.1260000000000003</v>
      </c>
      <c r="IF5" s="4">
        <v>6.3819999999999997</v>
      </c>
      <c r="IG5" s="4">
        <v>4.3319999999999999</v>
      </c>
      <c r="IH5" s="4">
        <v>1.3069999999999999</v>
      </c>
      <c r="II5" s="4">
        <v>0.81499999999999995</v>
      </c>
      <c r="IJ5" s="4">
        <v>5.6740000000000004</v>
      </c>
      <c r="IK5" s="4">
        <v>6.3780000000000001</v>
      </c>
      <c r="IL5" s="4">
        <v>1.8640000000000001</v>
      </c>
      <c r="IM5" s="4">
        <v>5.5389999999999997</v>
      </c>
      <c r="IN5" s="4">
        <v>3.0649999999999999</v>
      </c>
      <c r="IO5" s="4">
        <v>5.4509999999999996</v>
      </c>
      <c r="IP5" s="4">
        <v>4.5170000000000003</v>
      </c>
      <c r="IQ5" s="4">
        <v>5.8570000000000002</v>
      </c>
      <c r="IR5" s="4">
        <v>7.3680000000000003</v>
      </c>
      <c r="IS5" s="4">
        <v>1.5660000000000001</v>
      </c>
      <c r="IT5" s="4">
        <v>5.3360000000000003</v>
      </c>
      <c r="IU5" s="4">
        <v>2.7989999999999999</v>
      </c>
      <c r="IV5" s="4">
        <v>4.5529999999999999</v>
      </c>
      <c r="IW5" s="4">
        <v>-0.95299999999999996</v>
      </c>
      <c r="IX5" s="4">
        <v>6.3570000000000002</v>
      </c>
      <c r="IY5" s="4">
        <v>3.3439999999999999</v>
      </c>
      <c r="IZ5" s="4">
        <v>5.2309999999999999</v>
      </c>
      <c r="JA5" s="4">
        <v>5.2119999999999997</v>
      </c>
      <c r="JB5" s="4">
        <v>5.6879999999999997</v>
      </c>
      <c r="JC5" s="4">
        <v>3.1739999999999999</v>
      </c>
      <c r="JD5" s="4">
        <v>6.1079999999999997</v>
      </c>
      <c r="JE5" s="4">
        <v>6.1980000000000004</v>
      </c>
      <c r="JF5" s="4">
        <v>6.1369999999999996</v>
      </c>
      <c r="JG5" s="4">
        <v>6.2359999999999998</v>
      </c>
      <c r="JH5" s="4">
        <v>5.4489999999999998</v>
      </c>
      <c r="JI5" s="4">
        <v>3.7280000000000002</v>
      </c>
      <c r="JJ5" s="4">
        <v>5.524</v>
      </c>
      <c r="JK5" s="4">
        <v>5.3780000000000001</v>
      </c>
      <c r="JL5" s="4">
        <v>6.444</v>
      </c>
      <c r="JM5" s="4">
        <v>6.5490000000000004</v>
      </c>
      <c r="JN5" s="4">
        <v>3.02</v>
      </c>
      <c r="JO5" s="4">
        <v>4.6609999999999996</v>
      </c>
      <c r="JP5" s="4">
        <v>6.5990000000000002</v>
      </c>
      <c r="JQ5" s="4">
        <v>6.181</v>
      </c>
      <c r="JR5" s="4">
        <v>5.3109999999999999</v>
      </c>
      <c r="JS5" s="4">
        <v>1.919</v>
      </c>
      <c r="JT5" s="4">
        <v>5.2930000000000001</v>
      </c>
      <c r="JU5" s="4">
        <v>5.4720000000000004</v>
      </c>
      <c r="JV5" s="4">
        <v>5.218</v>
      </c>
      <c r="JW5" s="4">
        <v>5.28</v>
      </c>
      <c r="JX5" s="4">
        <v>4.7439999999999998</v>
      </c>
      <c r="JY5" s="4">
        <v>6.3140000000000001</v>
      </c>
      <c r="JZ5" s="4">
        <v>5.1559999999999997</v>
      </c>
      <c r="KA5" s="4">
        <v>5.992</v>
      </c>
      <c r="KB5" s="4">
        <v>2</v>
      </c>
      <c r="KC5" s="4">
        <v>2.468</v>
      </c>
      <c r="KD5" s="4">
        <v>5.8630000000000004</v>
      </c>
      <c r="KE5" s="4">
        <v>7.3879999999999999</v>
      </c>
      <c r="KF5" s="4">
        <v>5.6139999999999999</v>
      </c>
      <c r="KG5" s="4">
        <v>4.9539999999999997</v>
      </c>
      <c r="KH5" s="4">
        <v>4.9009999999999998</v>
      </c>
      <c r="KI5" s="4">
        <v>4.9800000000000004</v>
      </c>
      <c r="KJ5" s="4">
        <v>6.2450000000000001</v>
      </c>
      <c r="KK5" s="4">
        <v>5.6929999999999996</v>
      </c>
      <c r="KL5" s="4">
        <v>5.4029999999999996</v>
      </c>
      <c r="KM5" s="4">
        <v>0.54800000000000004</v>
      </c>
      <c r="KN5" s="4">
        <v>6.2560000000000002</v>
      </c>
      <c r="KO5" s="4">
        <v>1.4330000000000001</v>
      </c>
      <c r="KP5" s="4">
        <v>5.548</v>
      </c>
      <c r="KQ5" s="4">
        <v>5.923</v>
      </c>
      <c r="KR5" s="4">
        <v>4.6159999999999997</v>
      </c>
      <c r="KS5" s="4">
        <v>5.8949999999999996</v>
      </c>
    </row>
    <row r="6" spans="1:305" x14ac:dyDescent="0.25">
      <c r="A6" s="3">
        <v>5</v>
      </c>
      <c r="B6" s="3"/>
      <c r="C6" s="4">
        <v>5.0590000000000002</v>
      </c>
      <c r="D6" s="4">
        <v>10.676</v>
      </c>
      <c r="E6" s="4">
        <v>10.403</v>
      </c>
      <c r="F6" s="4">
        <v>11.074</v>
      </c>
      <c r="G6" s="4">
        <v>10.428000000000001</v>
      </c>
      <c r="H6" s="4">
        <v>8.3879999999999999</v>
      </c>
      <c r="I6" s="4">
        <v>11.186999999999999</v>
      </c>
      <c r="J6" s="4">
        <v>6.8760000000000003</v>
      </c>
      <c r="K6" s="4">
        <v>10.898999999999999</v>
      </c>
      <c r="L6" s="4">
        <v>11.718999999999999</v>
      </c>
      <c r="M6" s="4">
        <v>8.4749999999999996</v>
      </c>
      <c r="N6" s="4">
        <v>10.103</v>
      </c>
      <c r="O6" s="4">
        <v>5.9880000000000004</v>
      </c>
      <c r="P6" s="4">
        <v>10.441000000000001</v>
      </c>
      <c r="Q6" s="4">
        <v>4.8970000000000002</v>
      </c>
      <c r="R6" s="4">
        <v>5.8819999999999997</v>
      </c>
      <c r="S6" s="4">
        <v>8.7449999999999992</v>
      </c>
      <c r="T6" s="4">
        <v>9.9740000000000002</v>
      </c>
      <c r="U6" s="4">
        <v>8.7289999999999992</v>
      </c>
      <c r="V6" s="4">
        <v>11.006</v>
      </c>
      <c r="W6" s="4">
        <v>9.2780000000000005</v>
      </c>
      <c r="X6" s="4">
        <v>11.683</v>
      </c>
      <c r="Y6" s="4">
        <v>10.308</v>
      </c>
      <c r="Z6" s="4">
        <v>6.8460000000000001</v>
      </c>
      <c r="AA6" s="4">
        <v>11.497999999999999</v>
      </c>
      <c r="AB6" s="4">
        <v>9.0969999999999995</v>
      </c>
      <c r="AC6" s="4">
        <v>10.83</v>
      </c>
      <c r="AD6" s="4">
        <v>8.8629999999999995</v>
      </c>
      <c r="AE6" s="4">
        <v>9.6660000000000004</v>
      </c>
      <c r="AF6" s="4">
        <v>10.337</v>
      </c>
      <c r="AG6" s="4">
        <v>10.446999999999999</v>
      </c>
      <c r="AH6" s="4">
        <v>9.9830000000000005</v>
      </c>
      <c r="AI6" s="4">
        <v>7.9290000000000003</v>
      </c>
      <c r="AJ6" s="4">
        <v>11.326000000000001</v>
      </c>
      <c r="AK6" s="4">
        <v>11.414</v>
      </c>
      <c r="AL6" s="4">
        <v>11.737</v>
      </c>
      <c r="AM6" s="4">
        <v>9.5380000000000003</v>
      </c>
      <c r="AN6" s="4">
        <v>10.856</v>
      </c>
      <c r="AO6" s="4">
        <v>10.788</v>
      </c>
      <c r="AP6" s="4">
        <v>8.9359999999999999</v>
      </c>
      <c r="AQ6" s="4">
        <v>7.47</v>
      </c>
      <c r="AR6" s="4">
        <v>8.9789999999999992</v>
      </c>
      <c r="AS6" s="4">
        <v>11.42</v>
      </c>
      <c r="AT6" s="4">
        <v>9.8219999999999992</v>
      </c>
      <c r="AU6" s="4">
        <v>11.118</v>
      </c>
      <c r="AV6" s="4">
        <v>10.614000000000001</v>
      </c>
      <c r="AW6" s="4">
        <v>11.577999999999999</v>
      </c>
      <c r="AX6" s="4">
        <v>11.916</v>
      </c>
      <c r="AY6" s="4">
        <v>11.042</v>
      </c>
      <c r="AZ6" s="4">
        <v>9.4570000000000007</v>
      </c>
      <c r="BA6" s="4">
        <v>10.948</v>
      </c>
      <c r="BB6" s="4">
        <v>9.42</v>
      </c>
      <c r="BC6" s="4">
        <v>10.785</v>
      </c>
      <c r="BD6" s="4">
        <v>10.176</v>
      </c>
      <c r="BE6" s="4">
        <v>11.724</v>
      </c>
      <c r="BF6" s="4">
        <v>9.8249999999999993</v>
      </c>
      <c r="BG6" s="4">
        <v>9.3849999999999998</v>
      </c>
      <c r="BH6" s="4">
        <v>10.701000000000001</v>
      </c>
      <c r="BI6" s="4">
        <v>10.379</v>
      </c>
      <c r="BJ6" s="4">
        <v>6.7190000000000003</v>
      </c>
      <c r="BK6" s="4">
        <v>10.419</v>
      </c>
      <c r="BL6" s="4">
        <v>8.9090000000000007</v>
      </c>
      <c r="BM6" s="4">
        <v>6.4210000000000003</v>
      </c>
      <c r="BN6" s="4">
        <v>7.6769999999999996</v>
      </c>
      <c r="BO6" s="4">
        <v>4.88</v>
      </c>
      <c r="BP6" s="4">
        <v>9.9469999999999992</v>
      </c>
      <c r="BQ6" s="4">
        <v>10.478999999999999</v>
      </c>
      <c r="BR6" s="4">
        <v>10.013999999999999</v>
      </c>
      <c r="BS6" s="4">
        <v>10.491</v>
      </c>
      <c r="BT6" s="4">
        <v>10.959</v>
      </c>
      <c r="BU6" s="4">
        <v>11.09</v>
      </c>
      <c r="BV6" s="4">
        <v>10.435</v>
      </c>
      <c r="BW6" s="4">
        <v>10.117000000000001</v>
      </c>
      <c r="BX6" s="4">
        <v>9.9689999999999994</v>
      </c>
      <c r="BY6" s="4">
        <v>10.698</v>
      </c>
      <c r="BZ6" s="4">
        <v>10.272</v>
      </c>
      <c r="CA6" s="4">
        <v>11.398</v>
      </c>
      <c r="CB6" s="4">
        <v>10.74</v>
      </c>
      <c r="CC6" s="4">
        <v>8.4179999999999993</v>
      </c>
      <c r="CD6" s="4">
        <v>10.032</v>
      </c>
      <c r="CE6" s="4">
        <v>6.1749999999999998</v>
      </c>
      <c r="CF6" s="4">
        <v>7.9809999999999999</v>
      </c>
      <c r="CG6" s="4">
        <v>10.680999999999999</v>
      </c>
      <c r="CH6" s="4">
        <v>11.654</v>
      </c>
      <c r="CI6" s="4">
        <v>10.272</v>
      </c>
      <c r="CJ6" s="4">
        <v>6.4059999999999997</v>
      </c>
      <c r="CK6" s="4">
        <v>11.522</v>
      </c>
      <c r="CL6" s="4">
        <v>4.0049999999999999</v>
      </c>
      <c r="CM6" s="4">
        <v>9.9600000000000009</v>
      </c>
      <c r="CN6" s="4">
        <v>9.6790000000000003</v>
      </c>
      <c r="CO6" s="4">
        <v>8.843</v>
      </c>
      <c r="CP6" s="4">
        <v>9.8889999999999993</v>
      </c>
      <c r="CQ6" s="4">
        <v>11.356999999999999</v>
      </c>
      <c r="CR6" s="4">
        <v>10.362</v>
      </c>
      <c r="CS6" s="4">
        <v>10.967000000000001</v>
      </c>
      <c r="CT6" s="4">
        <v>11.75</v>
      </c>
      <c r="CU6" s="4">
        <v>10.925000000000001</v>
      </c>
      <c r="CV6" s="4">
        <v>8.718</v>
      </c>
      <c r="CW6" s="4">
        <v>8.6170000000000009</v>
      </c>
      <c r="CX6" s="4">
        <v>10.282999999999999</v>
      </c>
      <c r="CY6" s="4">
        <v>10.351000000000001</v>
      </c>
      <c r="CZ6" s="4">
        <v>10.724</v>
      </c>
      <c r="DA6" s="4">
        <v>7.6559999999999997</v>
      </c>
      <c r="DB6" s="4">
        <v>10.27</v>
      </c>
      <c r="DC6" s="4">
        <v>8.2669999999999995</v>
      </c>
      <c r="DD6" s="4">
        <v>8.3789999999999996</v>
      </c>
      <c r="DE6" s="4">
        <v>11.365</v>
      </c>
      <c r="DF6" s="4">
        <v>3.3759999999999999</v>
      </c>
      <c r="DG6" s="4">
        <v>10.510999999999999</v>
      </c>
      <c r="DH6" s="4">
        <v>10.583</v>
      </c>
      <c r="DI6" s="4">
        <v>9.9949999999999992</v>
      </c>
      <c r="DJ6" s="4">
        <v>10.833</v>
      </c>
      <c r="DK6" s="4">
        <v>10.63</v>
      </c>
      <c r="DL6" s="4">
        <v>10.63</v>
      </c>
      <c r="DM6" s="4">
        <v>10.185</v>
      </c>
      <c r="DN6" s="4">
        <v>10.672000000000001</v>
      </c>
      <c r="DO6" s="4">
        <v>10.611000000000001</v>
      </c>
      <c r="DP6" s="4">
        <v>4.508</v>
      </c>
      <c r="DQ6" s="4">
        <v>10.303000000000001</v>
      </c>
      <c r="DR6" s="4">
        <v>11.513</v>
      </c>
      <c r="DS6" s="4">
        <v>10.272</v>
      </c>
      <c r="DT6" s="4">
        <v>11.55</v>
      </c>
      <c r="DU6" s="4">
        <v>9.7260000000000009</v>
      </c>
      <c r="DV6" s="4">
        <v>8.11</v>
      </c>
      <c r="DW6" s="4">
        <v>11.202999999999999</v>
      </c>
      <c r="DX6" s="4">
        <v>10.494</v>
      </c>
      <c r="DY6" s="4">
        <v>10.991</v>
      </c>
      <c r="DZ6" s="4">
        <v>10.593999999999999</v>
      </c>
      <c r="EA6" s="4">
        <v>9.9670000000000005</v>
      </c>
      <c r="EB6" s="4">
        <v>11.837</v>
      </c>
      <c r="EC6" s="4">
        <v>5.2590000000000003</v>
      </c>
      <c r="ED6" s="4">
        <v>11.555999999999999</v>
      </c>
      <c r="EE6" s="4">
        <v>11.515000000000001</v>
      </c>
      <c r="EF6" s="4">
        <v>10.837</v>
      </c>
      <c r="EG6" s="4">
        <v>9.1769999999999996</v>
      </c>
      <c r="EH6" s="4">
        <v>9.5860000000000003</v>
      </c>
      <c r="EI6" s="4">
        <v>10.352</v>
      </c>
      <c r="EJ6" s="4">
        <v>11.058999999999999</v>
      </c>
      <c r="EK6" s="4">
        <v>10.98</v>
      </c>
      <c r="EL6" s="4">
        <v>10.773999999999999</v>
      </c>
      <c r="EM6" s="4">
        <v>10.121</v>
      </c>
      <c r="EN6" s="4">
        <v>10.5</v>
      </c>
      <c r="EO6" s="4">
        <v>10.802</v>
      </c>
      <c r="EP6" s="4">
        <v>10.625</v>
      </c>
      <c r="EQ6" s="4">
        <v>10.595000000000001</v>
      </c>
      <c r="ER6" s="4">
        <v>11.698</v>
      </c>
      <c r="ES6" s="4">
        <v>9.8879999999999999</v>
      </c>
      <c r="ET6" s="4">
        <v>5.8970000000000002</v>
      </c>
      <c r="EU6" s="4">
        <v>11.167999999999999</v>
      </c>
      <c r="EV6" s="4">
        <v>8.9700000000000006</v>
      </c>
      <c r="EW6" s="4">
        <v>10.765000000000001</v>
      </c>
      <c r="EX6" s="4">
        <v>6.31</v>
      </c>
      <c r="EY6" s="4">
        <v>10.42</v>
      </c>
      <c r="EZ6" s="4">
        <v>11.763999999999999</v>
      </c>
      <c r="FA6" s="4">
        <v>8.3070000000000004</v>
      </c>
      <c r="FB6" s="4">
        <v>11.129</v>
      </c>
      <c r="FC6" s="4">
        <v>11.656000000000001</v>
      </c>
      <c r="FD6" s="4">
        <v>10.307</v>
      </c>
      <c r="FE6" s="4">
        <v>10.43</v>
      </c>
      <c r="FF6" s="4">
        <v>10.997999999999999</v>
      </c>
      <c r="FG6" s="4">
        <v>10.612</v>
      </c>
      <c r="FH6" s="4">
        <v>10.29</v>
      </c>
      <c r="FI6" s="4">
        <v>9.359</v>
      </c>
      <c r="FJ6" s="4">
        <v>10.488</v>
      </c>
      <c r="FK6" s="4">
        <v>10.202</v>
      </c>
      <c r="FL6" s="4">
        <v>10.773</v>
      </c>
      <c r="FM6" s="4">
        <v>10.236000000000001</v>
      </c>
      <c r="FN6" s="4">
        <v>10.244999999999999</v>
      </c>
      <c r="FO6" s="4">
        <v>9.8379999999999992</v>
      </c>
      <c r="FP6" s="4">
        <v>10.69</v>
      </c>
      <c r="FQ6" s="4">
        <v>10.461</v>
      </c>
      <c r="FR6" s="4">
        <v>9.2279999999999998</v>
      </c>
      <c r="FS6" s="4">
        <v>6.8789999999999996</v>
      </c>
      <c r="FT6" s="4">
        <v>11.29</v>
      </c>
      <c r="FU6" s="4">
        <v>10.128</v>
      </c>
      <c r="FV6" s="4">
        <v>6.681</v>
      </c>
      <c r="FW6" s="4">
        <v>11.48</v>
      </c>
      <c r="FX6" s="4">
        <v>9.9350000000000005</v>
      </c>
      <c r="FY6" s="4">
        <v>10.254</v>
      </c>
      <c r="FZ6" s="4">
        <v>8.8930000000000007</v>
      </c>
      <c r="GA6" s="4">
        <v>9.4510000000000005</v>
      </c>
      <c r="GB6" s="4">
        <v>9.6959999999999997</v>
      </c>
      <c r="GC6" s="4">
        <v>9.5739999999999998</v>
      </c>
      <c r="GD6" s="4">
        <v>11.351000000000001</v>
      </c>
      <c r="GE6" s="4">
        <v>11.432</v>
      </c>
      <c r="GF6" s="4">
        <v>10.871</v>
      </c>
      <c r="GG6" s="4">
        <v>7.1470000000000002</v>
      </c>
      <c r="GH6" s="4">
        <v>8.9960000000000004</v>
      </c>
      <c r="GI6" s="4">
        <v>11.007</v>
      </c>
      <c r="GJ6" s="4">
        <v>11.081</v>
      </c>
      <c r="GK6" s="4">
        <v>10.513999999999999</v>
      </c>
      <c r="GL6" s="4">
        <v>10.749000000000001</v>
      </c>
      <c r="GM6" s="4">
        <v>10.749000000000001</v>
      </c>
      <c r="GN6" s="4">
        <v>6.1139999999999999</v>
      </c>
      <c r="GO6" s="4">
        <v>8.9689999999999994</v>
      </c>
      <c r="GP6" s="4">
        <v>10.861000000000001</v>
      </c>
      <c r="GQ6" s="4">
        <v>7.9320000000000004</v>
      </c>
      <c r="GR6" s="4">
        <v>8.3190000000000008</v>
      </c>
      <c r="GS6" s="4">
        <v>9.6649999999999991</v>
      </c>
      <c r="GT6" s="4">
        <v>8.2170000000000005</v>
      </c>
      <c r="GU6" s="4">
        <v>10.693</v>
      </c>
      <c r="GV6" s="4">
        <v>8.9179999999999993</v>
      </c>
      <c r="GW6" s="4">
        <v>9.1620000000000008</v>
      </c>
      <c r="GX6" s="4">
        <v>1.8180000000000001</v>
      </c>
      <c r="GY6" s="4">
        <v>9.6790000000000003</v>
      </c>
      <c r="GZ6" s="4">
        <v>11.326000000000001</v>
      </c>
      <c r="HA6" s="4">
        <v>11.103999999999999</v>
      </c>
      <c r="HB6" s="4">
        <v>10.664</v>
      </c>
      <c r="HC6" s="4">
        <v>10.233000000000001</v>
      </c>
      <c r="HD6" s="4">
        <v>6.64</v>
      </c>
      <c r="HE6" s="4">
        <v>9.7370000000000001</v>
      </c>
      <c r="HF6" s="4">
        <v>8.1739999999999995</v>
      </c>
      <c r="HG6" s="4">
        <v>10.273</v>
      </c>
      <c r="HH6" s="4">
        <v>9.2100000000000009</v>
      </c>
      <c r="HI6" s="4">
        <v>9.9659999999999993</v>
      </c>
      <c r="HJ6" s="4">
        <v>10.420999999999999</v>
      </c>
      <c r="HK6" s="4">
        <v>10.103999999999999</v>
      </c>
      <c r="HL6" s="4">
        <v>11.843</v>
      </c>
      <c r="HM6" s="4">
        <v>10.721</v>
      </c>
      <c r="HN6" s="4">
        <v>10.253</v>
      </c>
      <c r="HO6" s="4">
        <v>10.493</v>
      </c>
      <c r="HP6" s="4">
        <v>10.448</v>
      </c>
      <c r="HQ6" s="4">
        <v>11.845000000000001</v>
      </c>
      <c r="HR6" s="4">
        <v>9.5359999999999996</v>
      </c>
      <c r="HS6" s="4">
        <v>10.28</v>
      </c>
      <c r="HT6" s="4">
        <v>8.8190000000000008</v>
      </c>
      <c r="HU6" s="4">
        <v>11.196999999999999</v>
      </c>
      <c r="HV6" s="4">
        <v>10.157999999999999</v>
      </c>
      <c r="HW6" s="4">
        <v>8.4960000000000004</v>
      </c>
      <c r="HX6" s="4">
        <v>10.775</v>
      </c>
      <c r="HY6" s="4">
        <v>9.3840000000000003</v>
      </c>
      <c r="HZ6" s="4">
        <v>10.631</v>
      </c>
      <c r="IA6" s="4">
        <v>5.8920000000000003</v>
      </c>
      <c r="IB6" s="4">
        <v>10.503</v>
      </c>
      <c r="IC6" s="4">
        <v>11.561999999999999</v>
      </c>
      <c r="ID6" s="4">
        <v>11.01</v>
      </c>
      <c r="IE6" s="4">
        <v>8.91</v>
      </c>
      <c r="IF6" s="4">
        <v>9.3919999999999995</v>
      </c>
      <c r="IG6" s="4">
        <v>9.9550000000000001</v>
      </c>
      <c r="IH6" s="4">
        <v>5.0129999999999999</v>
      </c>
      <c r="II6" s="4">
        <v>6.1260000000000003</v>
      </c>
      <c r="IJ6" s="4">
        <v>10.398</v>
      </c>
      <c r="IK6" s="4">
        <v>11.063000000000001</v>
      </c>
      <c r="IL6" s="4">
        <v>5.8289999999999997</v>
      </c>
      <c r="IM6" s="4">
        <v>10.625999999999999</v>
      </c>
      <c r="IN6" s="4">
        <v>8.5760000000000005</v>
      </c>
      <c r="IO6" s="4">
        <v>10.273999999999999</v>
      </c>
      <c r="IP6" s="4">
        <v>10.706</v>
      </c>
      <c r="IQ6" s="4">
        <v>11.282</v>
      </c>
      <c r="IR6" s="4">
        <v>12.048999999999999</v>
      </c>
      <c r="IS6" s="4">
        <v>7.7080000000000002</v>
      </c>
      <c r="IT6" s="4">
        <v>9.6829999999999998</v>
      </c>
      <c r="IU6" s="4">
        <v>6.9119999999999999</v>
      </c>
      <c r="IV6" s="4">
        <v>10.909000000000001</v>
      </c>
      <c r="IW6" s="4">
        <v>4.9569999999999999</v>
      </c>
      <c r="IX6" s="4">
        <v>10.817</v>
      </c>
      <c r="IY6" s="4">
        <v>9.9459999999999997</v>
      </c>
      <c r="IZ6" s="4">
        <v>11.093</v>
      </c>
      <c r="JA6" s="4">
        <v>10.427</v>
      </c>
      <c r="JB6" s="4">
        <v>11.157999999999999</v>
      </c>
      <c r="JC6" s="4">
        <v>8.6020000000000003</v>
      </c>
      <c r="JD6" s="4">
        <v>10.839</v>
      </c>
      <c r="JE6" s="4">
        <v>9.8699999999999992</v>
      </c>
      <c r="JF6" s="4">
        <v>11.622999999999999</v>
      </c>
      <c r="JG6" s="4">
        <v>11.048</v>
      </c>
      <c r="JH6" s="4">
        <v>11.285</v>
      </c>
      <c r="JI6" s="4">
        <v>9.5749999999999993</v>
      </c>
      <c r="JJ6" s="4">
        <v>10.672000000000001</v>
      </c>
      <c r="JK6" s="4">
        <v>10.59</v>
      </c>
      <c r="JL6" s="4">
        <v>10.696999999999999</v>
      </c>
      <c r="JM6" s="4">
        <v>10.134</v>
      </c>
      <c r="JN6" s="4">
        <v>9.282</v>
      </c>
      <c r="JO6" s="4">
        <v>9.9890000000000008</v>
      </c>
      <c r="JP6" s="4">
        <v>11.038</v>
      </c>
      <c r="JQ6" s="4">
        <v>11.707000000000001</v>
      </c>
      <c r="JR6" s="4">
        <v>9.5739999999999998</v>
      </c>
      <c r="JS6" s="4">
        <v>5.8769999999999998</v>
      </c>
      <c r="JT6" s="4">
        <v>10.699</v>
      </c>
      <c r="JU6" s="4">
        <v>10.647</v>
      </c>
      <c r="JV6" s="4">
        <v>10.364000000000001</v>
      </c>
      <c r="JW6" s="4">
        <v>11.010999999999999</v>
      </c>
      <c r="JX6" s="4">
        <v>11.535</v>
      </c>
      <c r="JY6" s="4">
        <v>10.457000000000001</v>
      </c>
      <c r="JZ6" s="4">
        <v>10.247</v>
      </c>
      <c r="KA6" s="4">
        <v>11.051</v>
      </c>
      <c r="KB6" s="4">
        <v>6.8879999999999999</v>
      </c>
      <c r="KC6" s="4">
        <v>9.6630000000000003</v>
      </c>
      <c r="KD6" s="4">
        <v>10.208</v>
      </c>
      <c r="KE6" s="4">
        <v>11.218999999999999</v>
      </c>
      <c r="KF6" s="4">
        <v>11.058999999999999</v>
      </c>
      <c r="KG6" s="4">
        <v>9.9459999999999997</v>
      </c>
      <c r="KH6" s="4">
        <v>10.769</v>
      </c>
      <c r="KI6" s="4">
        <v>11.413</v>
      </c>
      <c r="KJ6" s="4">
        <v>10.146000000000001</v>
      </c>
      <c r="KK6" s="4">
        <v>10.776999999999999</v>
      </c>
      <c r="KL6" s="4">
        <v>9.9710000000000001</v>
      </c>
      <c r="KM6" s="4">
        <v>7.0350000000000001</v>
      </c>
      <c r="KN6" s="4">
        <v>10.31</v>
      </c>
      <c r="KO6" s="4">
        <v>9.1880000000000006</v>
      </c>
      <c r="KP6" s="4">
        <v>10.805999999999999</v>
      </c>
      <c r="KQ6" s="4">
        <v>9.4749999999999996</v>
      </c>
      <c r="KR6" s="4">
        <v>10.321999999999999</v>
      </c>
      <c r="KS6" s="4">
        <v>11.295</v>
      </c>
    </row>
    <row r="7" spans="1:305" x14ac:dyDescent="0.25">
      <c r="A7" s="3">
        <v>6</v>
      </c>
      <c r="B7" s="3"/>
      <c r="C7" s="4">
        <v>7.8159999999999998</v>
      </c>
      <c r="D7" s="4">
        <v>15.432</v>
      </c>
      <c r="E7" s="4">
        <v>13.762</v>
      </c>
      <c r="F7" s="4">
        <v>13.96</v>
      </c>
      <c r="G7" s="4">
        <v>13.98</v>
      </c>
      <c r="H7" s="4">
        <v>12.587</v>
      </c>
      <c r="I7" s="4">
        <v>14.157</v>
      </c>
      <c r="J7" s="4">
        <v>12.329000000000001</v>
      </c>
      <c r="K7" s="4">
        <v>13.576000000000001</v>
      </c>
      <c r="L7" s="4">
        <v>14.247</v>
      </c>
      <c r="M7" s="4">
        <v>11.590999999999999</v>
      </c>
      <c r="N7" s="4">
        <v>15.475</v>
      </c>
      <c r="O7" s="4">
        <v>9.4849999999999994</v>
      </c>
      <c r="P7" s="4">
        <v>13.827</v>
      </c>
      <c r="Q7" s="4">
        <v>10.843999999999999</v>
      </c>
      <c r="R7" s="4">
        <v>11.84</v>
      </c>
      <c r="S7" s="4">
        <v>14.391</v>
      </c>
      <c r="T7" s="4">
        <v>13.602</v>
      </c>
      <c r="U7" s="4">
        <v>13.48</v>
      </c>
      <c r="V7" s="4">
        <v>14.497999999999999</v>
      </c>
      <c r="W7" s="4">
        <v>13.4</v>
      </c>
      <c r="X7" s="4">
        <v>14.391999999999999</v>
      </c>
      <c r="Y7" s="4">
        <v>13.285</v>
      </c>
      <c r="Z7" s="4">
        <v>13.727</v>
      </c>
      <c r="AA7" s="4">
        <v>14.247999999999999</v>
      </c>
      <c r="AB7" s="4">
        <v>12.255000000000001</v>
      </c>
      <c r="AC7" s="4">
        <v>13.444000000000001</v>
      </c>
      <c r="AD7" s="4">
        <v>12.853</v>
      </c>
      <c r="AE7" s="4">
        <v>13.930999999999999</v>
      </c>
      <c r="AF7" s="4">
        <v>14.77</v>
      </c>
      <c r="AG7" s="4">
        <v>13.907</v>
      </c>
      <c r="AH7" s="4">
        <v>14.755000000000001</v>
      </c>
      <c r="AI7" s="4">
        <v>10.835000000000001</v>
      </c>
      <c r="AJ7" s="4">
        <v>14.676</v>
      </c>
      <c r="AK7" s="4">
        <v>14.786</v>
      </c>
      <c r="AL7" s="4">
        <v>14.721</v>
      </c>
      <c r="AM7" s="4">
        <v>14.071</v>
      </c>
      <c r="AN7" s="4">
        <v>14.526</v>
      </c>
      <c r="AO7" s="4">
        <v>13.352</v>
      </c>
      <c r="AP7" s="4">
        <v>12.619</v>
      </c>
      <c r="AQ7" s="4">
        <v>10.97</v>
      </c>
      <c r="AR7" s="4">
        <v>12.394</v>
      </c>
      <c r="AS7" s="4">
        <v>13.177</v>
      </c>
      <c r="AT7" s="4">
        <v>13.927</v>
      </c>
      <c r="AU7" s="4">
        <v>13.773</v>
      </c>
      <c r="AV7" s="4">
        <v>14.343</v>
      </c>
      <c r="AW7" s="4">
        <v>14.555999999999999</v>
      </c>
      <c r="AX7" s="4">
        <v>14.069000000000001</v>
      </c>
      <c r="AY7" s="4">
        <v>14.007999999999999</v>
      </c>
      <c r="AZ7" s="4">
        <v>14.888999999999999</v>
      </c>
      <c r="BA7" s="4">
        <v>14.186</v>
      </c>
      <c r="BB7" s="4">
        <v>12.946</v>
      </c>
      <c r="BC7" s="4">
        <v>14.614000000000001</v>
      </c>
      <c r="BD7" s="4">
        <v>13.263</v>
      </c>
      <c r="BE7" s="4">
        <v>13.176</v>
      </c>
      <c r="BF7" s="4">
        <v>13.369</v>
      </c>
      <c r="BG7" s="4">
        <v>13.398</v>
      </c>
      <c r="BH7" s="4">
        <v>14.54</v>
      </c>
      <c r="BI7" s="4">
        <v>14.382</v>
      </c>
      <c r="BJ7" s="4">
        <v>12.368</v>
      </c>
      <c r="BK7" s="4">
        <v>14.423999999999999</v>
      </c>
      <c r="BL7" s="4">
        <v>10.513</v>
      </c>
      <c r="BM7" s="4">
        <v>10.074999999999999</v>
      </c>
      <c r="BN7" s="4">
        <v>14.500999999999999</v>
      </c>
      <c r="BO7" s="4">
        <v>10.983000000000001</v>
      </c>
      <c r="BP7" s="4">
        <v>13.329000000000001</v>
      </c>
      <c r="BQ7" s="4">
        <v>12.874000000000001</v>
      </c>
      <c r="BR7" s="4">
        <v>15.342000000000001</v>
      </c>
      <c r="BS7" s="4">
        <v>14.023</v>
      </c>
      <c r="BT7" s="4">
        <v>14.239000000000001</v>
      </c>
      <c r="BU7" s="4">
        <v>13.976000000000001</v>
      </c>
      <c r="BV7" s="4">
        <v>13.625999999999999</v>
      </c>
      <c r="BW7" s="4">
        <v>12.907</v>
      </c>
      <c r="BX7" s="4">
        <v>15.827999999999999</v>
      </c>
      <c r="BY7" s="4">
        <v>15.260999999999999</v>
      </c>
      <c r="BZ7" s="4">
        <v>14.461</v>
      </c>
      <c r="CA7" s="4">
        <v>14.359</v>
      </c>
      <c r="CB7" s="4">
        <v>14.23</v>
      </c>
      <c r="CC7" s="4">
        <v>11.686</v>
      </c>
      <c r="CD7" s="4">
        <v>13.763</v>
      </c>
      <c r="CE7" s="4">
        <v>11.983000000000001</v>
      </c>
      <c r="CF7" s="4">
        <v>11.548999999999999</v>
      </c>
      <c r="CG7" s="4">
        <v>13.709</v>
      </c>
      <c r="CH7" s="4">
        <v>14.218999999999999</v>
      </c>
      <c r="CI7" s="4">
        <v>13.27</v>
      </c>
      <c r="CJ7" s="4">
        <v>10.848000000000001</v>
      </c>
      <c r="CK7" s="4">
        <v>14.586</v>
      </c>
      <c r="CL7" s="4">
        <v>8.2279999999999998</v>
      </c>
      <c r="CM7" s="4">
        <v>13.249000000000001</v>
      </c>
      <c r="CN7" s="4">
        <v>13.153</v>
      </c>
      <c r="CO7" s="4">
        <v>13.842000000000001</v>
      </c>
      <c r="CP7" s="4">
        <v>13.234</v>
      </c>
      <c r="CQ7" s="4">
        <v>14.436999999999999</v>
      </c>
      <c r="CR7" s="4">
        <v>14.03</v>
      </c>
      <c r="CS7" s="4">
        <v>14.122</v>
      </c>
      <c r="CT7" s="4">
        <v>13.497999999999999</v>
      </c>
      <c r="CU7" s="4">
        <v>13.981</v>
      </c>
      <c r="CV7" s="4">
        <v>13.971</v>
      </c>
      <c r="CW7" s="4">
        <v>12.659000000000001</v>
      </c>
      <c r="CX7" s="4">
        <v>13.49</v>
      </c>
      <c r="CY7" s="4">
        <v>12.577</v>
      </c>
      <c r="CZ7" s="4">
        <v>14.941000000000001</v>
      </c>
      <c r="DA7" s="4">
        <v>10.375</v>
      </c>
      <c r="DB7" s="4">
        <v>13.678000000000001</v>
      </c>
      <c r="DC7" s="4">
        <v>12.849</v>
      </c>
      <c r="DD7" s="4">
        <v>12.010999999999999</v>
      </c>
      <c r="DE7" s="4">
        <v>14.52</v>
      </c>
      <c r="DF7" s="4">
        <v>10.146000000000001</v>
      </c>
      <c r="DG7" s="4">
        <v>14.912000000000001</v>
      </c>
      <c r="DH7" s="4">
        <v>14.68</v>
      </c>
      <c r="DI7" s="4">
        <v>15.712999999999999</v>
      </c>
      <c r="DJ7" s="4">
        <v>13.895</v>
      </c>
      <c r="DK7" s="4">
        <v>13.705</v>
      </c>
      <c r="DL7" s="4">
        <v>13.705</v>
      </c>
      <c r="DM7" s="4">
        <v>15.246</v>
      </c>
      <c r="DN7" s="4">
        <v>14.154</v>
      </c>
      <c r="DO7" s="4">
        <v>13.728999999999999</v>
      </c>
      <c r="DP7" s="4">
        <v>8.3719999999999999</v>
      </c>
      <c r="DQ7" s="4">
        <v>15.641999999999999</v>
      </c>
      <c r="DR7" s="4">
        <v>13.814</v>
      </c>
      <c r="DS7" s="4">
        <v>14.122999999999999</v>
      </c>
      <c r="DT7" s="4">
        <v>14.586</v>
      </c>
      <c r="DU7" s="4">
        <v>12.622</v>
      </c>
      <c r="DV7" s="4">
        <v>11.651999999999999</v>
      </c>
      <c r="DW7" s="4">
        <v>14.977</v>
      </c>
      <c r="DX7" s="4">
        <v>13.85</v>
      </c>
      <c r="DY7" s="4">
        <v>15.327</v>
      </c>
      <c r="DZ7" s="4">
        <v>13.946</v>
      </c>
      <c r="EA7" s="4">
        <v>14.03</v>
      </c>
      <c r="EB7" s="4">
        <v>14.599</v>
      </c>
      <c r="EC7" s="4">
        <v>9.1080000000000005</v>
      </c>
      <c r="ED7" s="4">
        <v>14.154999999999999</v>
      </c>
      <c r="EE7" s="4">
        <v>14.705</v>
      </c>
      <c r="EF7" s="4">
        <v>15.38</v>
      </c>
      <c r="EG7" s="4">
        <v>13.59</v>
      </c>
      <c r="EH7" s="4">
        <v>12.689</v>
      </c>
      <c r="EI7" s="4">
        <v>13.666</v>
      </c>
      <c r="EJ7" s="4">
        <v>13.257</v>
      </c>
      <c r="EK7" s="4">
        <v>14.013</v>
      </c>
      <c r="EL7" s="4">
        <v>13.877000000000001</v>
      </c>
      <c r="EM7" s="4">
        <v>14.29</v>
      </c>
      <c r="EN7" s="4">
        <v>14.05</v>
      </c>
      <c r="EO7" s="4">
        <v>14.558999999999999</v>
      </c>
      <c r="EP7" s="4">
        <v>14.794</v>
      </c>
      <c r="EQ7" s="4">
        <v>14.3</v>
      </c>
      <c r="ER7" s="4">
        <v>14.789</v>
      </c>
      <c r="ES7" s="4">
        <v>12.442</v>
      </c>
      <c r="ET7" s="4">
        <v>11.742000000000001</v>
      </c>
      <c r="EU7" s="4">
        <v>14.682</v>
      </c>
      <c r="EV7" s="4">
        <v>11.552</v>
      </c>
      <c r="EW7" s="4">
        <v>14.516999999999999</v>
      </c>
      <c r="EX7" s="4">
        <v>12.73</v>
      </c>
      <c r="EY7" s="4">
        <v>13.834</v>
      </c>
      <c r="EZ7" s="4">
        <v>14.617000000000001</v>
      </c>
      <c r="FA7" s="4">
        <v>13.773999999999999</v>
      </c>
      <c r="FB7" s="4">
        <v>14.039</v>
      </c>
      <c r="FC7" s="4">
        <v>13.89</v>
      </c>
      <c r="FD7" s="4">
        <v>15.51</v>
      </c>
      <c r="FE7" s="4">
        <v>14.295999999999999</v>
      </c>
      <c r="FF7" s="4">
        <v>13.775</v>
      </c>
      <c r="FG7" s="4">
        <v>13.999000000000001</v>
      </c>
      <c r="FH7" s="4">
        <v>14.510999999999999</v>
      </c>
      <c r="FI7" s="4">
        <v>13.792999999999999</v>
      </c>
      <c r="FJ7" s="4">
        <v>14.244999999999999</v>
      </c>
      <c r="FK7" s="4">
        <v>14.208</v>
      </c>
      <c r="FL7" s="4">
        <v>14</v>
      </c>
      <c r="FM7" s="4">
        <v>13.433999999999999</v>
      </c>
      <c r="FN7" s="4">
        <v>14.131</v>
      </c>
      <c r="FO7" s="4">
        <v>13.382999999999999</v>
      </c>
      <c r="FP7" s="4">
        <v>14.702999999999999</v>
      </c>
      <c r="FQ7" s="4">
        <v>14.368</v>
      </c>
      <c r="FR7" s="4">
        <v>13.076000000000001</v>
      </c>
      <c r="FS7" s="4">
        <v>13.628</v>
      </c>
      <c r="FT7" s="4">
        <v>14.461</v>
      </c>
      <c r="FU7" s="4">
        <v>13.17</v>
      </c>
      <c r="FV7" s="4">
        <v>13.327999999999999</v>
      </c>
      <c r="FW7" s="4">
        <v>14.068</v>
      </c>
      <c r="FX7" s="4">
        <v>13.992000000000001</v>
      </c>
      <c r="FY7" s="4">
        <v>14.256</v>
      </c>
      <c r="FZ7" s="4">
        <v>14.032</v>
      </c>
      <c r="GA7" s="4">
        <v>13.291</v>
      </c>
      <c r="GB7" s="4">
        <v>14.301</v>
      </c>
      <c r="GC7" s="4">
        <v>14.298999999999999</v>
      </c>
      <c r="GD7" s="4">
        <v>14.441000000000001</v>
      </c>
      <c r="GE7" s="4">
        <v>15.45</v>
      </c>
      <c r="GF7" s="4">
        <v>14.321999999999999</v>
      </c>
      <c r="GG7" s="4">
        <v>13.478999999999999</v>
      </c>
      <c r="GH7" s="4">
        <v>12.433999999999999</v>
      </c>
      <c r="GI7" s="4">
        <v>14.483000000000001</v>
      </c>
      <c r="GJ7" s="4">
        <v>14.175000000000001</v>
      </c>
      <c r="GK7" s="4">
        <v>14.523</v>
      </c>
      <c r="GL7" s="4">
        <v>14.27</v>
      </c>
      <c r="GM7" s="4">
        <v>14.27</v>
      </c>
      <c r="GN7" s="4">
        <v>11.9</v>
      </c>
      <c r="GO7" s="4">
        <v>13.571999999999999</v>
      </c>
      <c r="GP7" s="4">
        <v>13.211</v>
      </c>
      <c r="GQ7" s="4">
        <v>12.936999999999999</v>
      </c>
      <c r="GR7" s="4">
        <v>12.567</v>
      </c>
      <c r="GS7" s="4">
        <v>14.853999999999999</v>
      </c>
      <c r="GT7" s="4">
        <v>12.644</v>
      </c>
      <c r="GU7" s="4">
        <v>13.750999999999999</v>
      </c>
      <c r="GV7" s="4">
        <v>11.239000000000001</v>
      </c>
      <c r="GW7" s="4">
        <v>13.106999999999999</v>
      </c>
      <c r="GX7" s="4">
        <v>8.4030000000000005</v>
      </c>
      <c r="GY7" s="4">
        <v>14.106</v>
      </c>
      <c r="GZ7" s="4">
        <v>14.518000000000001</v>
      </c>
      <c r="HA7" s="4">
        <v>13.677</v>
      </c>
      <c r="HB7" s="4">
        <v>13.632</v>
      </c>
      <c r="HC7" s="4">
        <v>15.472</v>
      </c>
      <c r="HD7" s="4">
        <v>11.446999999999999</v>
      </c>
      <c r="HE7" s="4">
        <v>13.413</v>
      </c>
      <c r="HF7" s="4">
        <v>12.009</v>
      </c>
      <c r="HG7" s="4">
        <v>14.177</v>
      </c>
      <c r="HH7" s="4">
        <v>13.375</v>
      </c>
      <c r="HI7" s="4">
        <v>13.589</v>
      </c>
      <c r="HJ7" s="4">
        <v>14.013999999999999</v>
      </c>
      <c r="HK7" s="4">
        <v>13.919</v>
      </c>
      <c r="HL7" s="4">
        <v>14.409000000000001</v>
      </c>
      <c r="HM7" s="4">
        <v>13.593999999999999</v>
      </c>
      <c r="HN7" s="4">
        <v>14.558999999999999</v>
      </c>
      <c r="HO7" s="4">
        <v>13.065</v>
      </c>
      <c r="HP7" s="4">
        <v>14.079000000000001</v>
      </c>
      <c r="HQ7" s="4">
        <v>14.363</v>
      </c>
      <c r="HR7" s="4">
        <v>12.747</v>
      </c>
      <c r="HS7" s="4">
        <v>12.819000000000001</v>
      </c>
      <c r="HT7" s="4">
        <v>12.766999999999999</v>
      </c>
      <c r="HU7" s="4">
        <v>14.858000000000001</v>
      </c>
      <c r="HV7" s="4">
        <v>14.287000000000001</v>
      </c>
      <c r="HW7" s="4">
        <v>12.689</v>
      </c>
      <c r="HX7" s="4">
        <v>15.012</v>
      </c>
      <c r="HY7" s="4">
        <v>14.672000000000001</v>
      </c>
      <c r="HZ7" s="4">
        <v>14.013999999999999</v>
      </c>
      <c r="IA7" s="4">
        <v>11.840999999999999</v>
      </c>
      <c r="IB7" s="4">
        <v>14.676</v>
      </c>
      <c r="IC7" s="4">
        <v>13.856</v>
      </c>
      <c r="ID7" s="4">
        <v>14.384</v>
      </c>
      <c r="IE7" s="4">
        <v>14.272</v>
      </c>
      <c r="IF7" s="4">
        <v>14.628</v>
      </c>
      <c r="IG7" s="4">
        <v>13.635</v>
      </c>
      <c r="IH7" s="4">
        <v>8.7880000000000003</v>
      </c>
      <c r="II7" s="4">
        <v>9.8819999999999997</v>
      </c>
      <c r="IJ7" s="4">
        <v>15.685</v>
      </c>
      <c r="IK7" s="4">
        <v>13.65</v>
      </c>
      <c r="IL7" s="4">
        <v>10.403</v>
      </c>
      <c r="IM7" s="4">
        <v>14.851000000000001</v>
      </c>
      <c r="IN7" s="4">
        <v>12.499000000000001</v>
      </c>
      <c r="IO7" s="4">
        <v>13.456</v>
      </c>
      <c r="IP7" s="4">
        <v>13.7</v>
      </c>
      <c r="IQ7" s="4">
        <v>14.323</v>
      </c>
      <c r="IR7" s="4">
        <v>14.329000000000001</v>
      </c>
      <c r="IS7" s="4">
        <v>12.362</v>
      </c>
      <c r="IT7" s="4">
        <v>13.853999999999999</v>
      </c>
      <c r="IU7" s="4">
        <v>10.784000000000001</v>
      </c>
      <c r="IV7" s="4">
        <v>14.654999999999999</v>
      </c>
      <c r="IW7" s="4">
        <v>8.2119999999999997</v>
      </c>
      <c r="IX7" s="4">
        <v>14.757999999999999</v>
      </c>
      <c r="IY7" s="4">
        <v>13.372</v>
      </c>
      <c r="IZ7" s="4">
        <v>12.847</v>
      </c>
      <c r="JA7" s="4">
        <v>13.250999999999999</v>
      </c>
      <c r="JB7" s="4">
        <v>13.686999999999999</v>
      </c>
      <c r="JC7" s="4">
        <v>12.353</v>
      </c>
      <c r="JD7" s="4">
        <v>14.34</v>
      </c>
      <c r="JE7" s="4">
        <v>13.965999999999999</v>
      </c>
      <c r="JF7" s="4">
        <v>14.365</v>
      </c>
      <c r="JG7" s="4">
        <v>13.888</v>
      </c>
      <c r="JH7" s="4">
        <v>14.205</v>
      </c>
      <c r="JI7" s="4">
        <v>14.638</v>
      </c>
      <c r="JJ7" s="4">
        <v>13.606999999999999</v>
      </c>
      <c r="JK7" s="4">
        <v>12.657</v>
      </c>
      <c r="JL7" s="4">
        <v>14.275</v>
      </c>
      <c r="JM7" s="4">
        <v>14.491</v>
      </c>
      <c r="JN7" s="4">
        <v>13.529</v>
      </c>
      <c r="JO7" s="4">
        <v>13.782999999999999</v>
      </c>
      <c r="JP7" s="4">
        <v>15.307</v>
      </c>
      <c r="JQ7" s="4">
        <v>14.949</v>
      </c>
      <c r="JR7" s="4">
        <v>13.042999999999999</v>
      </c>
      <c r="JS7" s="4">
        <v>13.968</v>
      </c>
      <c r="JT7" s="4">
        <v>15.733000000000001</v>
      </c>
      <c r="JU7" s="4">
        <v>14.944000000000001</v>
      </c>
      <c r="JV7" s="4">
        <v>13.805999999999999</v>
      </c>
      <c r="JW7" s="4">
        <v>13.821999999999999</v>
      </c>
      <c r="JX7" s="4">
        <v>12.965</v>
      </c>
      <c r="JY7" s="4">
        <v>14.654</v>
      </c>
      <c r="JZ7" s="4">
        <v>14.532999999999999</v>
      </c>
      <c r="KA7" s="4">
        <v>14.526</v>
      </c>
      <c r="KB7" s="4">
        <v>14.052</v>
      </c>
      <c r="KC7" s="4">
        <v>13.002000000000001</v>
      </c>
      <c r="KD7" s="4">
        <v>13.692</v>
      </c>
      <c r="KE7" s="4">
        <v>14.885</v>
      </c>
      <c r="KF7" s="4">
        <v>13.617000000000001</v>
      </c>
      <c r="KG7" s="4">
        <v>13.907</v>
      </c>
      <c r="KH7" s="4">
        <v>13.484999999999999</v>
      </c>
      <c r="KI7" s="4">
        <v>14.113</v>
      </c>
      <c r="KJ7" s="4">
        <v>14.497999999999999</v>
      </c>
      <c r="KK7" s="4">
        <v>14.307</v>
      </c>
      <c r="KL7" s="4">
        <v>13.407</v>
      </c>
      <c r="KM7" s="4">
        <v>11.897</v>
      </c>
      <c r="KN7" s="4">
        <v>13.618</v>
      </c>
      <c r="KO7" s="4">
        <v>12.989000000000001</v>
      </c>
      <c r="KP7" s="4">
        <v>15.108000000000001</v>
      </c>
      <c r="KQ7" s="4">
        <v>13.718</v>
      </c>
      <c r="KR7" s="4">
        <v>13.015000000000001</v>
      </c>
      <c r="KS7" s="4">
        <v>14.073</v>
      </c>
    </row>
    <row r="8" spans="1:305" x14ac:dyDescent="0.25">
      <c r="A8" s="3">
        <v>7</v>
      </c>
      <c r="B8" s="3"/>
      <c r="C8" s="4">
        <v>11.045</v>
      </c>
      <c r="D8" s="4">
        <v>16.884</v>
      </c>
      <c r="E8" s="4">
        <v>17.084</v>
      </c>
      <c r="F8" s="4">
        <v>16.768999999999998</v>
      </c>
      <c r="G8" s="4">
        <v>16.832000000000001</v>
      </c>
      <c r="H8" s="4">
        <v>14.638999999999999</v>
      </c>
      <c r="I8" s="4">
        <v>16.637</v>
      </c>
      <c r="J8" s="4">
        <v>15.246</v>
      </c>
      <c r="K8" s="4">
        <v>17.513000000000002</v>
      </c>
      <c r="L8" s="4">
        <v>17.777000000000001</v>
      </c>
      <c r="M8" s="4">
        <v>14.151</v>
      </c>
      <c r="N8" s="4">
        <v>17.798999999999999</v>
      </c>
      <c r="O8" s="4">
        <v>12.728</v>
      </c>
      <c r="P8" s="4">
        <v>15.878</v>
      </c>
      <c r="Q8" s="4">
        <v>12.734</v>
      </c>
      <c r="R8" s="4">
        <v>14.547000000000001</v>
      </c>
      <c r="S8" s="4">
        <v>16.87</v>
      </c>
      <c r="T8" s="4">
        <v>16.989000000000001</v>
      </c>
      <c r="U8" s="4">
        <v>17.048999999999999</v>
      </c>
      <c r="V8" s="4">
        <v>16.395</v>
      </c>
      <c r="W8" s="4">
        <v>16.329999999999998</v>
      </c>
      <c r="X8" s="4">
        <v>17.649999999999999</v>
      </c>
      <c r="Y8" s="4">
        <v>16.331</v>
      </c>
      <c r="Z8" s="4">
        <v>15.111000000000001</v>
      </c>
      <c r="AA8" s="4">
        <v>17.61</v>
      </c>
      <c r="AB8" s="4">
        <v>15.164999999999999</v>
      </c>
      <c r="AC8" s="4">
        <v>16.863</v>
      </c>
      <c r="AD8" s="4">
        <v>15.298999999999999</v>
      </c>
      <c r="AE8" s="4">
        <v>16.195</v>
      </c>
      <c r="AF8" s="4">
        <v>17.050999999999998</v>
      </c>
      <c r="AG8" s="4">
        <v>17.222000000000001</v>
      </c>
      <c r="AH8" s="4">
        <v>16.768999999999998</v>
      </c>
      <c r="AI8" s="4">
        <v>15.185</v>
      </c>
      <c r="AJ8" s="4">
        <v>17.841999999999999</v>
      </c>
      <c r="AK8" s="4">
        <v>17.768999999999998</v>
      </c>
      <c r="AL8" s="4">
        <v>17.919</v>
      </c>
      <c r="AM8" s="4">
        <v>15.79</v>
      </c>
      <c r="AN8" s="4">
        <v>17.457999999999998</v>
      </c>
      <c r="AO8" s="4">
        <v>16.146999999999998</v>
      </c>
      <c r="AP8" s="4">
        <v>14.904</v>
      </c>
      <c r="AQ8" s="4">
        <v>14.698</v>
      </c>
      <c r="AR8" s="4">
        <v>14.785</v>
      </c>
      <c r="AS8" s="4">
        <v>16.495000000000001</v>
      </c>
      <c r="AT8" s="4">
        <v>15.728999999999999</v>
      </c>
      <c r="AU8" s="4">
        <v>16.893999999999998</v>
      </c>
      <c r="AV8" s="4">
        <v>16.831</v>
      </c>
      <c r="AW8" s="4">
        <v>18.154</v>
      </c>
      <c r="AX8" s="4">
        <v>17.763000000000002</v>
      </c>
      <c r="AY8" s="4">
        <v>16.562000000000001</v>
      </c>
      <c r="AZ8" s="4">
        <v>17.120999999999999</v>
      </c>
      <c r="BA8" s="4">
        <v>18.125</v>
      </c>
      <c r="BB8" s="4">
        <v>16.420999999999999</v>
      </c>
      <c r="BC8" s="4">
        <v>17.821999999999999</v>
      </c>
      <c r="BD8" s="4">
        <v>15.287000000000001</v>
      </c>
      <c r="BE8" s="4">
        <v>17.414999999999999</v>
      </c>
      <c r="BF8" s="4">
        <v>15.52</v>
      </c>
      <c r="BG8" s="4">
        <v>16.297000000000001</v>
      </c>
      <c r="BH8" s="4">
        <v>16.54</v>
      </c>
      <c r="BI8" s="4">
        <v>16.814</v>
      </c>
      <c r="BJ8" s="4">
        <v>14.1</v>
      </c>
      <c r="BK8" s="4">
        <v>15.092000000000001</v>
      </c>
      <c r="BL8" s="4">
        <v>15.571</v>
      </c>
      <c r="BM8" s="4">
        <v>13.824</v>
      </c>
      <c r="BN8" s="4">
        <v>14.218</v>
      </c>
      <c r="BO8" s="4">
        <v>12.526999999999999</v>
      </c>
      <c r="BP8" s="4">
        <v>17.72</v>
      </c>
      <c r="BQ8" s="4">
        <v>17.236000000000001</v>
      </c>
      <c r="BR8" s="4">
        <v>16.957999999999998</v>
      </c>
      <c r="BS8" s="4">
        <v>17.879000000000001</v>
      </c>
      <c r="BT8" s="4">
        <v>17.565999999999999</v>
      </c>
      <c r="BU8" s="4">
        <v>15.884</v>
      </c>
      <c r="BV8" s="4">
        <v>16.731999999999999</v>
      </c>
      <c r="BW8" s="4">
        <v>15.984999999999999</v>
      </c>
      <c r="BX8" s="4">
        <v>15.728</v>
      </c>
      <c r="BY8" s="4">
        <v>16.571999999999999</v>
      </c>
      <c r="BZ8" s="4">
        <v>17.100999999999999</v>
      </c>
      <c r="CA8" s="4">
        <v>17.850000000000001</v>
      </c>
      <c r="CB8" s="4">
        <v>16.457999999999998</v>
      </c>
      <c r="CC8" s="4">
        <v>13.568</v>
      </c>
      <c r="CD8" s="4">
        <v>16.777999999999999</v>
      </c>
      <c r="CE8" s="4">
        <v>16.109000000000002</v>
      </c>
      <c r="CF8" s="4">
        <v>15.321999999999999</v>
      </c>
      <c r="CG8" s="4">
        <v>17.010000000000002</v>
      </c>
      <c r="CH8" s="4">
        <v>17.513999999999999</v>
      </c>
      <c r="CI8" s="4">
        <v>15.864000000000001</v>
      </c>
      <c r="CJ8" s="4">
        <v>13.506</v>
      </c>
      <c r="CK8" s="4">
        <v>17.861000000000001</v>
      </c>
      <c r="CL8" s="4">
        <v>11.611000000000001</v>
      </c>
      <c r="CM8" s="4">
        <v>18.260999999999999</v>
      </c>
      <c r="CN8" s="4">
        <v>16.585000000000001</v>
      </c>
      <c r="CO8" s="4">
        <v>16.513000000000002</v>
      </c>
      <c r="CP8" s="4">
        <v>15.51</v>
      </c>
      <c r="CQ8" s="4">
        <v>16.184000000000001</v>
      </c>
      <c r="CR8" s="4">
        <v>18.577999999999999</v>
      </c>
      <c r="CS8" s="4">
        <v>17.568999999999999</v>
      </c>
      <c r="CT8" s="4">
        <v>17.463000000000001</v>
      </c>
      <c r="CU8" s="4">
        <v>16.111999999999998</v>
      </c>
      <c r="CV8" s="4">
        <v>16.236000000000001</v>
      </c>
      <c r="CW8" s="4">
        <v>15.439</v>
      </c>
      <c r="CX8" s="4">
        <v>18.021000000000001</v>
      </c>
      <c r="CY8" s="4">
        <v>17.227</v>
      </c>
      <c r="CZ8" s="4">
        <v>17.744</v>
      </c>
      <c r="DA8" s="4">
        <v>14.871</v>
      </c>
      <c r="DB8" s="4">
        <v>16.579999999999998</v>
      </c>
      <c r="DC8" s="4">
        <v>14.669</v>
      </c>
      <c r="DD8" s="4">
        <v>16.102</v>
      </c>
      <c r="DE8" s="4">
        <v>18.933</v>
      </c>
      <c r="DF8" s="4">
        <v>13.624000000000001</v>
      </c>
      <c r="DG8" s="4">
        <v>16.550999999999998</v>
      </c>
      <c r="DH8" s="4">
        <v>17.718</v>
      </c>
      <c r="DI8" s="4">
        <v>16.152999999999999</v>
      </c>
      <c r="DJ8" s="4">
        <v>17.221</v>
      </c>
      <c r="DK8" s="4">
        <v>17.228999999999999</v>
      </c>
      <c r="DL8" s="4">
        <v>17.228999999999999</v>
      </c>
      <c r="DM8" s="4">
        <v>18.055</v>
      </c>
      <c r="DN8" s="4">
        <v>15.832000000000001</v>
      </c>
      <c r="DO8" s="4">
        <v>17.282</v>
      </c>
      <c r="DP8" s="4">
        <v>12.532999999999999</v>
      </c>
      <c r="DQ8" s="4">
        <v>16.538</v>
      </c>
      <c r="DR8" s="4">
        <v>17.356999999999999</v>
      </c>
      <c r="DS8" s="4">
        <v>16.96</v>
      </c>
      <c r="DT8" s="4">
        <v>17.925999999999998</v>
      </c>
      <c r="DU8" s="4">
        <v>16.805</v>
      </c>
      <c r="DV8" s="4">
        <v>15.058999999999999</v>
      </c>
      <c r="DW8" s="4">
        <v>18.099</v>
      </c>
      <c r="DX8" s="4">
        <v>16.334</v>
      </c>
      <c r="DY8" s="4">
        <v>16.878</v>
      </c>
      <c r="DZ8" s="4">
        <v>17.728999999999999</v>
      </c>
      <c r="EA8" s="4">
        <v>17.329999999999998</v>
      </c>
      <c r="EB8" s="4">
        <v>17.943999999999999</v>
      </c>
      <c r="EC8" s="4">
        <v>11.744</v>
      </c>
      <c r="ED8" s="4">
        <v>17.521000000000001</v>
      </c>
      <c r="EE8" s="4">
        <v>16.279</v>
      </c>
      <c r="EF8" s="4">
        <v>17.094999999999999</v>
      </c>
      <c r="EG8" s="4">
        <v>17.29</v>
      </c>
      <c r="EH8" s="4">
        <v>14.701000000000001</v>
      </c>
      <c r="EI8" s="4">
        <v>17.010000000000002</v>
      </c>
      <c r="EJ8" s="4">
        <v>16.776</v>
      </c>
      <c r="EK8" s="4">
        <v>17.488</v>
      </c>
      <c r="EL8" s="4">
        <v>17.167000000000002</v>
      </c>
      <c r="EM8" s="4">
        <v>16.844999999999999</v>
      </c>
      <c r="EN8" s="4">
        <v>17.324000000000002</v>
      </c>
      <c r="EO8" s="4">
        <v>16.43</v>
      </c>
      <c r="EP8" s="4">
        <v>17.279</v>
      </c>
      <c r="EQ8" s="4">
        <v>17.206</v>
      </c>
      <c r="ER8" s="4">
        <v>18.497</v>
      </c>
      <c r="ES8" s="4">
        <v>15.609</v>
      </c>
      <c r="ET8" s="4">
        <v>16.035</v>
      </c>
      <c r="EU8" s="4">
        <v>17.696000000000002</v>
      </c>
      <c r="EV8" s="4">
        <v>14.587999999999999</v>
      </c>
      <c r="EW8" s="4">
        <v>16.32</v>
      </c>
      <c r="EX8" s="4">
        <v>15.275</v>
      </c>
      <c r="EY8" s="4">
        <v>17.03</v>
      </c>
      <c r="EZ8" s="4">
        <v>18.353999999999999</v>
      </c>
      <c r="FA8" s="4">
        <v>16.047999999999998</v>
      </c>
      <c r="FB8" s="4">
        <v>16.577999999999999</v>
      </c>
      <c r="FC8" s="4">
        <v>17.227</v>
      </c>
      <c r="FD8" s="4">
        <v>16.922000000000001</v>
      </c>
      <c r="FE8" s="4">
        <v>15.786</v>
      </c>
      <c r="FF8" s="4">
        <v>17.457999999999998</v>
      </c>
      <c r="FG8" s="4">
        <v>17.917000000000002</v>
      </c>
      <c r="FH8" s="4">
        <v>19.111999999999998</v>
      </c>
      <c r="FI8" s="4">
        <v>15.858000000000001</v>
      </c>
      <c r="FJ8" s="4">
        <v>17.114000000000001</v>
      </c>
      <c r="FK8" s="4">
        <v>17.013000000000002</v>
      </c>
      <c r="FL8" s="4">
        <v>17.777999999999999</v>
      </c>
      <c r="FM8" s="4">
        <v>16.687000000000001</v>
      </c>
      <c r="FN8" s="4">
        <v>16.989000000000001</v>
      </c>
      <c r="FO8" s="4">
        <v>15.683999999999999</v>
      </c>
      <c r="FP8" s="4">
        <v>17.120999999999999</v>
      </c>
      <c r="FQ8" s="4">
        <v>16.588000000000001</v>
      </c>
      <c r="FR8" s="4">
        <v>15.593999999999999</v>
      </c>
      <c r="FS8" s="4">
        <v>16.024999999999999</v>
      </c>
      <c r="FT8" s="4">
        <v>18.701000000000001</v>
      </c>
      <c r="FU8" s="4">
        <v>16.148</v>
      </c>
      <c r="FV8" s="4">
        <v>15.342000000000001</v>
      </c>
      <c r="FW8" s="4">
        <v>16.927</v>
      </c>
      <c r="FX8" s="4">
        <v>16.344000000000001</v>
      </c>
      <c r="FY8" s="4">
        <v>16.015000000000001</v>
      </c>
      <c r="FZ8" s="4">
        <v>16.111000000000001</v>
      </c>
      <c r="GA8" s="4">
        <v>15.507</v>
      </c>
      <c r="GB8" s="4">
        <v>17.396999999999998</v>
      </c>
      <c r="GC8" s="4">
        <v>17.239999999999998</v>
      </c>
      <c r="GD8" s="4">
        <v>17.126999999999999</v>
      </c>
      <c r="GE8" s="4">
        <v>17.257999999999999</v>
      </c>
      <c r="GF8" s="4">
        <v>17.055</v>
      </c>
      <c r="GG8" s="4">
        <v>15.435</v>
      </c>
      <c r="GH8" s="4">
        <v>14.576000000000001</v>
      </c>
      <c r="GI8" s="4">
        <v>18.001999999999999</v>
      </c>
      <c r="GJ8" s="4">
        <v>17.004000000000001</v>
      </c>
      <c r="GK8" s="4">
        <v>18.803999999999998</v>
      </c>
      <c r="GL8" s="4">
        <v>16.408000000000001</v>
      </c>
      <c r="GM8" s="4">
        <v>16.408000000000001</v>
      </c>
      <c r="GN8" s="4">
        <v>15.208</v>
      </c>
      <c r="GO8" s="4">
        <v>16.881</v>
      </c>
      <c r="GP8" s="4">
        <v>15.744</v>
      </c>
      <c r="GQ8" s="4">
        <v>15.254</v>
      </c>
      <c r="GR8" s="4">
        <v>15.515000000000001</v>
      </c>
      <c r="GS8" s="4">
        <v>18.398</v>
      </c>
      <c r="GT8" s="4">
        <v>14.853</v>
      </c>
      <c r="GU8" s="4">
        <v>17.082999999999998</v>
      </c>
      <c r="GV8" s="4">
        <v>15.503</v>
      </c>
      <c r="GW8" s="4">
        <v>15.065</v>
      </c>
      <c r="GX8" s="4">
        <v>11.536</v>
      </c>
      <c r="GY8" s="4">
        <v>15.388</v>
      </c>
      <c r="GZ8" s="4">
        <v>18.603000000000002</v>
      </c>
      <c r="HA8" s="4">
        <v>17.021000000000001</v>
      </c>
      <c r="HB8" s="4">
        <v>17.12</v>
      </c>
      <c r="HC8" s="4">
        <v>18.97</v>
      </c>
      <c r="HD8" s="4">
        <v>14.874000000000001</v>
      </c>
      <c r="HE8" s="4">
        <v>15.913</v>
      </c>
      <c r="HF8" s="4">
        <v>12.506</v>
      </c>
      <c r="HG8" s="4">
        <v>16.484000000000002</v>
      </c>
      <c r="HH8" s="4">
        <v>15.294</v>
      </c>
      <c r="HI8" s="4">
        <v>15.848000000000001</v>
      </c>
      <c r="HJ8" s="4">
        <v>17.257999999999999</v>
      </c>
      <c r="HK8" s="4">
        <v>16.722999999999999</v>
      </c>
      <c r="HL8" s="4">
        <v>16.649999999999999</v>
      </c>
      <c r="HM8" s="4">
        <v>16.443999999999999</v>
      </c>
      <c r="HN8" s="4">
        <v>15.446</v>
      </c>
      <c r="HO8" s="4">
        <v>14.946999999999999</v>
      </c>
      <c r="HP8" s="4">
        <v>17.013000000000002</v>
      </c>
      <c r="HQ8" s="4">
        <v>17.393000000000001</v>
      </c>
      <c r="HR8" s="4">
        <v>16.831</v>
      </c>
      <c r="HS8" s="4">
        <v>15.795999999999999</v>
      </c>
      <c r="HT8" s="4">
        <v>15.252000000000001</v>
      </c>
      <c r="HU8" s="4">
        <v>18.288</v>
      </c>
      <c r="HV8" s="4">
        <v>16.849</v>
      </c>
      <c r="HW8" s="4">
        <v>15.003</v>
      </c>
      <c r="HX8" s="4">
        <v>17.585000000000001</v>
      </c>
      <c r="HY8" s="4">
        <v>16.997</v>
      </c>
      <c r="HZ8" s="4">
        <v>16.513999999999999</v>
      </c>
      <c r="IA8" s="4">
        <v>12.967000000000001</v>
      </c>
      <c r="IB8" s="4">
        <v>17.274000000000001</v>
      </c>
      <c r="IC8" s="4">
        <v>17.707000000000001</v>
      </c>
      <c r="ID8" s="4">
        <v>17.285</v>
      </c>
      <c r="IE8" s="4">
        <v>16.673999999999999</v>
      </c>
      <c r="IF8" s="4">
        <v>17.399000000000001</v>
      </c>
      <c r="IG8" s="4">
        <v>15.888999999999999</v>
      </c>
      <c r="IH8" s="4">
        <v>12.943</v>
      </c>
      <c r="II8" s="4">
        <v>14.635999999999999</v>
      </c>
      <c r="IJ8" s="4">
        <v>17.047999999999998</v>
      </c>
      <c r="IK8" s="4">
        <v>16.524999999999999</v>
      </c>
      <c r="IL8" s="4">
        <v>14.147</v>
      </c>
      <c r="IM8" s="4">
        <v>17.629000000000001</v>
      </c>
      <c r="IN8" s="4">
        <v>15.698</v>
      </c>
      <c r="IO8" s="4">
        <v>16.573</v>
      </c>
      <c r="IP8" s="4">
        <v>16.449000000000002</v>
      </c>
      <c r="IQ8" s="4">
        <v>17.577999999999999</v>
      </c>
      <c r="IR8" s="4">
        <v>17.731000000000002</v>
      </c>
      <c r="IS8" s="4">
        <v>14.595000000000001</v>
      </c>
      <c r="IT8" s="4">
        <v>16.309000000000001</v>
      </c>
      <c r="IU8" s="4">
        <v>13.159000000000001</v>
      </c>
      <c r="IV8" s="4">
        <v>17.321000000000002</v>
      </c>
      <c r="IW8" s="4">
        <v>12.048</v>
      </c>
      <c r="IX8" s="4">
        <v>16.04</v>
      </c>
      <c r="IY8" s="4">
        <v>16.556999999999999</v>
      </c>
      <c r="IZ8" s="4">
        <v>17.138000000000002</v>
      </c>
      <c r="JA8" s="4">
        <v>17</v>
      </c>
      <c r="JB8" s="4">
        <v>16.79</v>
      </c>
      <c r="JC8" s="4">
        <v>17.271000000000001</v>
      </c>
      <c r="JD8" s="4">
        <v>16.812999999999999</v>
      </c>
      <c r="JE8" s="4">
        <v>17.172999999999998</v>
      </c>
      <c r="JF8" s="4">
        <v>17.341000000000001</v>
      </c>
      <c r="JG8" s="4">
        <v>16.298999999999999</v>
      </c>
      <c r="JH8" s="4">
        <v>17.106999999999999</v>
      </c>
      <c r="JI8" s="4">
        <v>16.956</v>
      </c>
      <c r="JJ8" s="4">
        <v>15.808</v>
      </c>
      <c r="JK8" s="4">
        <v>16.920999999999999</v>
      </c>
      <c r="JL8" s="4">
        <v>17.678000000000001</v>
      </c>
      <c r="JM8" s="4">
        <v>16.739999999999998</v>
      </c>
      <c r="JN8" s="4">
        <v>18.265999999999998</v>
      </c>
      <c r="JO8" s="4">
        <v>16.634</v>
      </c>
      <c r="JP8" s="4">
        <v>18.033000000000001</v>
      </c>
      <c r="JQ8" s="4">
        <v>16.946999999999999</v>
      </c>
      <c r="JR8" s="4">
        <v>16.155000000000001</v>
      </c>
      <c r="JS8" s="4">
        <v>15.269</v>
      </c>
      <c r="JT8" s="4">
        <v>17.34</v>
      </c>
      <c r="JU8" s="4">
        <v>17.47</v>
      </c>
      <c r="JV8" s="4">
        <v>18.806000000000001</v>
      </c>
      <c r="JW8" s="4">
        <v>16.306999999999999</v>
      </c>
      <c r="JX8" s="4">
        <v>16.11</v>
      </c>
      <c r="JY8" s="4">
        <v>18.242000000000001</v>
      </c>
      <c r="JZ8" s="4">
        <v>17.123999999999999</v>
      </c>
      <c r="KA8" s="4">
        <v>16.614999999999998</v>
      </c>
      <c r="KB8" s="4">
        <v>15.73</v>
      </c>
      <c r="KC8" s="4">
        <v>16.396000000000001</v>
      </c>
      <c r="KD8" s="4">
        <v>16.785</v>
      </c>
      <c r="KE8" s="4">
        <v>15.853999999999999</v>
      </c>
      <c r="KF8" s="4">
        <v>16.61</v>
      </c>
      <c r="KG8" s="4">
        <v>16.927</v>
      </c>
      <c r="KH8" s="4">
        <v>16.486999999999998</v>
      </c>
      <c r="KI8" s="4">
        <v>15.977</v>
      </c>
      <c r="KJ8" s="4">
        <v>18.664000000000001</v>
      </c>
      <c r="KK8" s="4">
        <v>16.719000000000001</v>
      </c>
      <c r="KL8" s="4">
        <v>16.564</v>
      </c>
      <c r="KM8" s="4">
        <v>12.548</v>
      </c>
      <c r="KN8" s="4">
        <v>18.047999999999998</v>
      </c>
      <c r="KO8" s="4">
        <v>16.010000000000002</v>
      </c>
      <c r="KP8" s="4">
        <v>16.574000000000002</v>
      </c>
      <c r="KQ8" s="4">
        <v>19.050999999999998</v>
      </c>
      <c r="KR8" s="4">
        <v>16.018999999999998</v>
      </c>
      <c r="KS8" s="4">
        <v>16.66</v>
      </c>
    </row>
    <row r="9" spans="1:305" x14ac:dyDescent="0.25">
      <c r="A9" s="3">
        <v>8</v>
      </c>
      <c r="B9" s="3"/>
      <c r="C9" s="4">
        <v>9.2929999999999993</v>
      </c>
      <c r="D9" s="4">
        <v>16.648</v>
      </c>
      <c r="E9" s="4">
        <v>16.867000000000001</v>
      </c>
      <c r="F9" s="4">
        <v>16.292000000000002</v>
      </c>
      <c r="G9" s="4">
        <v>16.042999999999999</v>
      </c>
      <c r="H9" s="4">
        <v>13.387</v>
      </c>
      <c r="I9" s="4">
        <v>15.87</v>
      </c>
      <c r="J9" s="4">
        <v>12.391</v>
      </c>
      <c r="K9" s="4">
        <v>16.22</v>
      </c>
      <c r="L9" s="4">
        <v>16.597000000000001</v>
      </c>
      <c r="M9" s="4">
        <v>11.641</v>
      </c>
      <c r="N9" s="4">
        <v>16.077000000000002</v>
      </c>
      <c r="O9" s="4">
        <v>11.173</v>
      </c>
      <c r="P9" s="4">
        <v>15.125</v>
      </c>
      <c r="Q9" s="4">
        <v>10.696</v>
      </c>
      <c r="R9" s="4">
        <v>10.679</v>
      </c>
      <c r="S9" s="4">
        <v>15.55</v>
      </c>
      <c r="T9" s="4">
        <v>13.782999999999999</v>
      </c>
      <c r="U9" s="4">
        <v>16.777000000000001</v>
      </c>
      <c r="V9" s="4">
        <v>15.516</v>
      </c>
      <c r="W9" s="4">
        <v>15.388</v>
      </c>
      <c r="X9" s="4">
        <v>15.861000000000001</v>
      </c>
      <c r="Y9" s="4">
        <v>15.71</v>
      </c>
      <c r="Z9" s="4">
        <v>13.930999999999999</v>
      </c>
      <c r="AA9" s="4">
        <v>17.466999999999999</v>
      </c>
      <c r="AB9" s="4">
        <v>12.956</v>
      </c>
      <c r="AC9" s="4">
        <v>16.036000000000001</v>
      </c>
      <c r="AD9" s="4">
        <v>14.874000000000001</v>
      </c>
      <c r="AE9" s="4">
        <v>15.593</v>
      </c>
      <c r="AF9" s="4">
        <v>17.742000000000001</v>
      </c>
      <c r="AG9" s="4">
        <v>13.962</v>
      </c>
      <c r="AH9" s="4">
        <v>15.675000000000001</v>
      </c>
      <c r="AI9" s="4">
        <v>12.968999999999999</v>
      </c>
      <c r="AJ9" s="4">
        <v>16.413</v>
      </c>
      <c r="AK9" s="4">
        <v>16.885999999999999</v>
      </c>
      <c r="AL9" s="4">
        <v>17.498999999999999</v>
      </c>
      <c r="AM9" s="4">
        <v>15.089</v>
      </c>
      <c r="AN9" s="4">
        <v>17.114000000000001</v>
      </c>
      <c r="AO9" s="4">
        <v>14.109</v>
      </c>
      <c r="AP9" s="4">
        <v>14.696</v>
      </c>
      <c r="AQ9" s="4">
        <v>11.946</v>
      </c>
      <c r="AR9" s="4">
        <v>12.954000000000001</v>
      </c>
      <c r="AS9" s="4">
        <v>14.679</v>
      </c>
      <c r="AT9" s="4">
        <v>13.682</v>
      </c>
      <c r="AU9" s="4">
        <v>16.588999999999999</v>
      </c>
      <c r="AV9" s="4">
        <v>16.222000000000001</v>
      </c>
      <c r="AW9" s="4">
        <v>16.116</v>
      </c>
      <c r="AX9" s="4">
        <v>17.456</v>
      </c>
      <c r="AY9" s="4">
        <v>15.571</v>
      </c>
      <c r="AZ9" s="4">
        <v>15.193</v>
      </c>
      <c r="BA9" s="4">
        <v>17.725999999999999</v>
      </c>
      <c r="BB9" s="4">
        <v>15.563000000000001</v>
      </c>
      <c r="BC9" s="4">
        <v>17.353999999999999</v>
      </c>
      <c r="BD9" s="4">
        <v>15.204000000000001</v>
      </c>
      <c r="BE9" s="4">
        <v>15.887</v>
      </c>
      <c r="BF9" s="4">
        <v>13.617000000000001</v>
      </c>
      <c r="BG9" s="4">
        <v>15.54</v>
      </c>
      <c r="BH9" s="4">
        <v>16.021000000000001</v>
      </c>
      <c r="BI9" s="4">
        <v>14.574999999999999</v>
      </c>
      <c r="BJ9" s="4">
        <v>11.782</v>
      </c>
      <c r="BK9" s="4">
        <v>15.98</v>
      </c>
      <c r="BL9" s="4">
        <v>13.364000000000001</v>
      </c>
      <c r="BM9" s="4">
        <v>12.291</v>
      </c>
      <c r="BN9" s="4">
        <v>15.21</v>
      </c>
      <c r="BO9" s="4">
        <v>11.743</v>
      </c>
      <c r="BP9" s="4">
        <v>14.391</v>
      </c>
      <c r="BQ9" s="4">
        <v>14.656000000000001</v>
      </c>
      <c r="BR9" s="4">
        <v>16.039000000000001</v>
      </c>
      <c r="BS9" s="4">
        <v>17.765000000000001</v>
      </c>
      <c r="BT9" s="4">
        <v>14.824</v>
      </c>
      <c r="BU9" s="4">
        <v>16.231999999999999</v>
      </c>
      <c r="BV9" s="4">
        <v>14.943</v>
      </c>
      <c r="BW9" s="4">
        <v>14.79</v>
      </c>
      <c r="BX9" s="4">
        <v>14.954000000000001</v>
      </c>
      <c r="BY9" s="4">
        <v>16.039000000000001</v>
      </c>
      <c r="BZ9" s="4">
        <v>15.705</v>
      </c>
      <c r="CA9" s="4">
        <v>16.052</v>
      </c>
      <c r="CB9" s="4">
        <v>15.714</v>
      </c>
      <c r="CC9" s="4">
        <v>11.457000000000001</v>
      </c>
      <c r="CD9" s="4">
        <v>15.795</v>
      </c>
      <c r="CE9" s="4">
        <v>13.827999999999999</v>
      </c>
      <c r="CF9" s="4">
        <v>14.79</v>
      </c>
      <c r="CG9" s="4">
        <v>16.742000000000001</v>
      </c>
      <c r="CH9" s="4">
        <v>16.728999999999999</v>
      </c>
      <c r="CI9" s="4">
        <v>15.371</v>
      </c>
      <c r="CJ9" s="4">
        <v>11.571999999999999</v>
      </c>
      <c r="CK9" s="4">
        <v>17.922000000000001</v>
      </c>
      <c r="CL9" s="4">
        <v>10.14</v>
      </c>
      <c r="CM9" s="4">
        <v>16.088000000000001</v>
      </c>
      <c r="CN9" s="4">
        <v>14.335000000000001</v>
      </c>
      <c r="CO9" s="4">
        <v>15.728</v>
      </c>
      <c r="CP9" s="4">
        <v>14.959</v>
      </c>
      <c r="CQ9" s="4">
        <v>17.638999999999999</v>
      </c>
      <c r="CR9" s="4">
        <v>16.32</v>
      </c>
      <c r="CS9" s="4">
        <v>16.809999999999999</v>
      </c>
      <c r="CT9" s="4">
        <v>16.968</v>
      </c>
      <c r="CU9" s="4">
        <v>15.885</v>
      </c>
      <c r="CV9" s="4">
        <v>15.817</v>
      </c>
      <c r="CW9" s="4">
        <v>14.824</v>
      </c>
      <c r="CX9" s="4">
        <v>15.776</v>
      </c>
      <c r="CY9" s="4">
        <v>14.686</v>
      </c>
      <c r="CZ9" s="4">
        <v>16.016999999999999</v>
      </c>
      <c r="DA9" s="4">
        <v>11.565</v>
      </c>
      <c r="DB9" s="4">
        <v>14.657</v>
      </c>
      <c r="DC9" s="4">
        <v>11.629</v>
      </c>
      <c r="DD9" s="4">
        <v>12.537000000000001</v>
      </c>
      <c r="DE9" s="4">
        <v>16.026</v>
      </c>
      <c r="DF9" s="4">
        <v>10.228</v>
      </c>
      <c r="DG9" s="4">
        <v>14.891999999999999</v>
      </c>
      <c r="DH9" s="4">
        <v>16.279</v>
      </c>
      <c r="DI9" s="4">
        <v>15.75</v>
      </c>
      <c r="DJ9" s="4">
        <v>17.89</v>
      </c>
      <c r="DK9" s="4">
        <v>16.562000000000001</v>
      </c>
      <c r="DL9" s="4">
        <v>16.562000000000001</v>
      </c>
      <c r="DM9" s="4">
        <v>14.79</v>
      </c>
      <c r="DN9" s="4">
        <v>15.624000000000001</v>
      </c>
      <c r="DO9" s="4">
        <v>16.375</v>
      </c>
      <c r="DP9" s="4">
        <v>10.62</v>
      </c>
      <c r="DQ9" s="4">
        <v>15.669</v>
      </c>
      <c r="DR9" s="4">
        <v>17.402000000000001</v>
      </c>
      <c r="DS9" s="4">
        <v>16.285</v>
      </c>
      <c r="DT9" s="4">
        <v>16.190999999999999</v>
      </c>
      <c r="DU9" s="4">
        <v>15.122999999999999</v>
      </c>
      <c r="DV9" s="4">
        <v>14.771000000000001</v>
      </c>
      <c r="DW9" s="4">
        <v>16.716999999999999</v>
      </c>
      <c r="DX9" s="4">
        <v>14.531000000000001</v>
      </c>
      <c r="DY9" s="4">
        <v>16.14</v>
      </c>
      <c r="DZ9" s="4">
        <v>17.361000000000001</v>
      </c>
      <c r="EA9" s="4">
        <v>15.256</v>
      </c>
      <c r="EB9" s="4">
        <v>16.366</v>
      </c>
      <c r="EC9" s="4">
        <v>10.585000000000001</v>
      </c>
      <c r="ED9" s="4">
        <v>17.227</v>
      </c>
      <c r="EE9" s="4">
        <v>17.244</v>
      </c>
      <c r="EF9" s="4">
        <v>14.49</v>
      </c>
      <c r="EG9" s="4">
        <v>16.548999999999999</v>
      </c>
      <c r="EH9" s="4">
        <v>14.843999999999999</v>
      </c>
      <c r="EI9" s="4">
        <v>16.649000000000001</v>
      </c>
      <c r="EJ9" s="4">
        <v>16.491</v>
      </c>
      <c r="EK9" s="4">
        <v>16.876999999999999</v>
      </c>
      <c r="EL9" s="4">
        <v>15.231999999999999</v>
      </c>
      <c r="EM9" s="4">
        <v>16.533000000000001</v>
      </c>
      <c r="EN9" s="4">
        <v>15.845000000000001</v>
      </c>
      <c r="EO9" s="4">
        <v>15.944000000000001</v>
      </c>
      <c r="EP9" s="4">
        <v>16.071000000000002</v>
      </c>
      <c r="EQ9" s="4">
        <v>12.829000000000001</v>
      </c>
      <c r="ER9" s="4">
        <v>17.492999999999999</v>
      </c>
      <c r="ES9" s="4">
        <v>15.281000000000001</v>
      </c>
      <c r="ET9" s="4">
        <v>13.352</v>
      </c>
      <c r="EU9" s="4">
        <v>15.558</v>
      </c>
      <c r="EV9" s="4">
        <v>12.997999999999999</v>
      </c>
      <c r="EW9" s="4">
        <v>16.459</v>
      </c>
      <c r="EX9" s="4">
        <v>10.88</v>
      </c>
      <c r="EY9" s="4">
        <v>14.63</v>
      </c>
      <c r="EZ9" s="4">
        <v>17.427</v>
      </c>
      <c r="FA9" s="4">
        <v>13.448</v>
      </c>
      <c r="FB9" s="4">
        <v>15.445</v>
      </c>
      <c r="FC9" s="4">
        <v>16.18</v>
      </c>
      <c r="FD9" s="4">
        <v>15.510999999999999</v>
      </c>
      <c r="FE9" s="4">
        <v>15.525</v>
      </c>
      <c r="FF9" s="4">
        <v>16.292000000000002</v>
      </c>
      <c r="FG9" s="4">
        <v>17.593</v>
      </c>
      <c r="FH9" s="4">
        <v>17.137</v>
      </c>
      <c r="FI9" s="4">
        <v>13.973000000000001</v>
      </c>
      <c r="FJ9" s="4">
        <v>17.210999999999999</v>
      </c>
      <c r="FK9" s="4">
        <v>14.723000000000001</v>
      </c>
      <c r="FL9" s="4">
        <v>15.772</v>
      </c>
      <c r="FM9" s="4">
        <v>15.566000000000001</v>
      </c>
      <c r="FN9" s="4">
        <v>16.212</v>
      </c>
      <c r="FO9" s="4">
        <v>13.262</v>
      </c>
      <c r="FP9" s="4">
        <v>15.624000000000001</v>
      </c>
      <c r="FQ9" s="4">
        <v>13.436</v>
      </c>
      <c r="FR9" s="4">
        <v>15.504</v>
      </c>
      <c r="FS9" s="4">
        <v>14.52</v>
      </c>
      <c r="FT9" s="4">
        <v>15.545999999999999</v>
      </c>
      <c r="FU9" s="4">
        <v>15.499000000000001</v>
      </c>
      <c r="FV9" s="4">
        <v>10.823</v>
      </c>
      <c r="FW9" s="4">
        <v>16.402999999999999</v>
      </c>
      <c r="FX9" s="4">
        <v>15.6</v>
      </c>
      <c r="FY9" s="4">
        <v>15.994999999999999</v>
      </c>
      <c r="FZ9" s="4">
        <v>16.891999999999999</v>
      </c>
      <c r="GA9" s="4">
        <v>15.2</v>
      </c>
      <c r="GB9" s="4">
        <v>15.506</v>
      </c>
      <c r="GC9" s="4">
        <v>15.711</v>
      </c>
      <c r="GD9" s="4">
        <v>16.138999999999999</v>
      </c>
      <c r="GE9" s="4">
        <v>16.177</v>
      </c>
      <c r="GF9" s="4">
        <v>16.178999999999998</v>
      </c>
      <c r="GG9" s="4">
        <v>14.472</v>
      </c>
      <c r="GH9" s="4">
        <v>13.85</v>
      </c>
      <c r="GI9" s="4">
        <v>16.350000000000001</v>
      </c>
      <c r="GJ9" s="4">
        <v>16.283000000000001</v>
      </c>
      <c r="GK9" s="4">
        <v>17.021999999999998</v>
      </c>
      <c r="GL9" s="4">
        <v>16.388999999999999</v>
      </c>
      <c r="GM9" s="4">
        <v>16.388999999999999</v>
      </c>
      <c r="GN9" s="4">
        <v>11.72</v>
      </c>
      <c r="GO9" s="4">
        <v>15.224</v>
      </c>
      <c r="GP9" s="4">
        <v>13.624000000000001</v>
      </c>
      <c r="GQ9" s="4">
        <v>13.253</v>
      </c>
      <c r="GR9" s="4">
        <v>13.343</v>
      </c>
      <c r="GS9" s="4">
        <v>16.123000000000001</v>
      </c>
      <c r="GT9" s="4">
        <v>12.416</v>
      </c>
      <c r="GU9" s="4">
        <v>16.751999999999999</v>
      </c>
      <c r="GV9" s="4">
        <v>13.271000000000001</v>
      </c>
      <c r="GW9" s="4">
        <v>14.377000000000001</v>
      </c>
      <c r="GX9" s="4">
        <v>9.6310000000000002</v>
      </c>
      <c r="GY9" s="4">
        <v>13.888</v>
      </c>
      <c r="GZ9" s="4">
        <v>17.391999999999999</v>
      </c>
      <c r="HA9" s="4">
        <v>14.718</v>
      </c>
      <c r="HB9" s="4">
        <v>15.635</v>
      </c>
      <c r="HC9" s="4">
        <v>15.96</v>
      </c>
      <c r="HD9" s="4">
        <v>12.366</v>
      </c>
      <c r="HE9" s="4">
        <v>15.643000000000001</v>
      </c>
      <c r="HF9" s="4">
        <v>11.16</v>
      </c>
      <c r="HG9" s="4">
        <v>16.260999999999999</v>
      </c>
      <c r="HH9" s="4">
        <v>15.015000000000001</v>
      </c>
      <c r="HI9" s="4">
        <v>15.243</v>
      </c>
      <c r="HJ9" s="4">
        <v>16.783000000000001</v>
      </c>
      <c r="HK9" s="4">
        <v>17.765000000000001</v>
      </c>
      <c r="HL9" s="4">
        <v>17.135000000000002</v>
      </c>
      <c r="HM9" s="4">
        <v>15.141</v>
      </c>
      <c r="HN9" s="4">
        <v>13.635</v>
      </c>
      <c r="HO9" s="4">
        <v>15.698</v>
      </c>
      <c r="HP9" s="4">
        <v>15.101000000000001</v>
      </c>
      <c r="HQ9" s="4">
        <v>15.909000000000001</v>
      </c>
      <c r="HR9" s="4">
        <v>16.29</v>
      </c>
      <c r="HS9" s="4">
        <v>15.451000000000001</v>
      </c>
      <c r="HT9" s="4">
        <v>15.039</v>
      </c>
      <c r="HU9" s="4">
        <v>16.582999999999998</v>
      </c>
      <c r="HV9" s="4">
        <v>17.018999999999998</v>
      </c>
      <c r="HW9" s="4">
        <v>12.227</v>
      </c>
      <c r="HX9" s="4">
        <v>15.977</v>
      </c>
      <c r="HY9" s="4">
        <v>16.352</v>
      </c>
      <c r="HZ9" s="4">
        <v>16.385999999999999</v>
      </c>
      <c r="IA9" s="4">
        <v>12.385999999999999</v>
      </c>
      <c r="IB9" s="4">
        <v>16.481000000000002</v>
      </c>
      <c r="IC9" s="4">
        <v>15.833</v>
      </c>
      <c r="ID9" s="4">
        <v>16.317</v>
      </c>
      <c r="IE9" s="4">
        <v>16.117000000000001</v>
      </c>
      <c r="IF9" s="4">
        <v>16.856000000000002</v>
      </c>
      <c r="IG9" s="4">
        <v>13.856</v>
      </c>
      <c r="IH9" s="4">
        <v>11.067</v>
      </c>
      <c r="II9" s="4">
        <v>11.606999999999999</v>
      </c>
      <c r="IJ9" s="4">
        <v>15.739000000000001</v>
      </c>
      <c r="IK9" s="4">
        <v>16.341000000000001</v>
      </c>
      <c r="IL9" s="4">
        <v>12.076000000000001</v>
      </c>
      <c r="IM9" s="4">
        <v>16.045000000000002</v>
      </c>
      <c r="IN9" s="4">
        <v>14.976000000000001</v>
      </c>
      <c r="IO9" s="4">
        <v>15.54</v>
      </c>
      <c r="IP9" s="4">
        <v>15.891</v>
      </c>
      <c r="IQ9" s="4">
        <v>17.207999999999998</v>
      </c>
      <c r="IR9" s="4">
        <v>16.173999999999999</v>
      </c>
      <c r="IS9" s="4">
        <v>12.981999999999999</v>
      </c>
      <c r="IT9" s="4">
        <v>15.651</v>
      </c>
      <c r="IU9" s="4">
        <v>12.611000000000001</v>
      </c>
      <c r="IV9" s="4">
        <v>17.122</v>
      </c>
      <c r="IW9" s="4">
        <v>10.923999999999999</v>
      </c>
      <c r="IX9" s="4">
        <v>16.587</v>
      </c>
      <c r="IY9" s="4">
        <v>15.69</v>
      </c>
      <c r="IZ9" s="4">
        <v>15.305</v>
      </c>
      <c r="JA9" s="4">
        <v>15.923999999999999</v>
      </c>
      <c r="JB9" s="4">
        <v>15.42</v>
      </c>
      <c r="JC9" s="4">
        <v>14.914999999999999</v>
      </c>
      <c r="JD9" s="4">
        <v>16.071000000000002</v>
      </c>
      <c r="JE9" s="4">
        <v>16.437999999999999</v>
      </c>
      <c r="JF9" s="4">
        <v>15.821999999999999</v>
      </c>
      <c r="JG9" s="4">
        <v>15.02</v>
      </c>
      <c r="JH9" s="4">
        <v>16.818999999999999</v>
      </c>
      <c r="JI9" s="4">
        <v>15.409000000000001</v>
      </c>
      <c r="JJ9" s="4">
        <v>15.222</v>
      </c>
      <c r="JK9" s="4">
        <v>15.428000000000001</v>
      </c>
      <c r="JL9" s="4">
        <v>17.329999999999998</v>
      </c>
      <c r="JM9" s="4">
        <v>16.521999999999998</v>
      </c>
      <c r="JN9" s="4">
        <v>15.667</v>
      </c>
      <c r="JO9" s="4">
        <v>16.137</v>
      </c>
      <c r="JP9" s="4">
        <v>16.023</v>
      </c>
      <c r="JQ9" s="4">
        <v>16.239999999999998</v>
      </c>
      <c r="JR9" s="4">
        <v>15.291</v>
      </c>
      <c r="JS9" s="4">
        <v>14.052</v>
      </c>
      <c r="JT9" s="4">
        <v>16.591999999999999</v>
      </c>
      <c r="JU9" s="4">
        <v>16.026</v>
      </c>
      <c r="JV9" s="4">
        <v>15.542999999999999</v>
      </c>
      <c r="JW9" s="4">
        <v>14.638</v>
      </c>
      <c r="JX9" s="4">
        <v>15.313000000000001</v>
      </c>
      <c r="JY9" s="4">
        <v>16.780999999999999</v>
      </c>
      <c r="JZ9" s="4">
        <v>16.21</v>
      </c>
      <c r="KA9" s="4">
        <v>15.813000000000001</v>
      </c>
      <c r="KB9" s="4">
        <v>13.928000000000001</v>
      </c>
      <c r="KC9" s="4">
        <v>14.079000000000001</v>
      </c>
      <c r="KD9" s="4">
        <v>14.685</v>
      </c>
      <c r="KE9" s="4">
        <v>17.108000000000001</v>
      </c>
      <c r="KF9" s="4">
        <v>14.7</v>
      </c>
      <c r="KG9" s="4">
        <v>16.408999999999999</v>
      </c>
      <c r="KH9" s="4">
        <v>15.601000000000001</v>
      </c>
      <c r="KI9" s="4">
        <v>16.391999999999999</v>
      </c>
      <c r="KJ9" s="4">
        <v>17.161000000000001</v>
      </c>
      <c r="KK9" s="4">
        <v>15.984</v>
      </c>
      <c r="KL9" s="4">
        <v>13.877000000000001</v>
      </c>
      <c r="KM9" s="4">
        <v>11.528</v>
      </c>
      <c r="KN9" s="4">
        <v>15.677</v>
      </c>
      <c r="KO9" s="4">
        <v>13.725</v>
      </c>
      <c r="KP9" s="4">
        <v>16.25</v>
      </c>
      <c r="KQ9" s="4">
        <v>15.734999999999999</v>
      </c>
      <c r="KR9" s="4">
        <v>15.647</v>
      </c>
      <c r="KS9" s="4">
        <v>17.251999999999999</v>
      </c>
    </row>
    <row r="10" spans="1:305" x14ac:dyDescent="0.25">
      <c r="A10" s="3">
        <v>9</v>
      </c>
      <c r="B10" s="3"/>
      <c r="C10" s="4">
        <v>4.7469999999999999</v>
      </c>
      <c r="D10" s="4">
        <v>11.712999999999999</v>
      </c>
      <c r="E10" s="4">
        <v>11.388</v>
      </c>
      <c r="F10" s="4">
        <v>11.215</v>
      </c>
      <c r="G10" s="4">
        <v>11.435</v>
      </c>
      <c r="H10" s="4">
        <v>8.8079999999999998</v>
      </c>
      <c r="I10" s="4">
        <v>11.164999999999999</v>
      </c>
      <c r="J10" s="4">
        <v>6.7210000000000001</v>
      </c>
      <c r="K10" s="4">
        <v>10.786</v>
      </c>
      <c r="L10" s="4">
        <v>13.44</v>
      </c>
      <c r="M10" s="4">
        <v>7.2850000000000001</v>
      </c>
      <c r="N10" s="4">
        <v>11.178000000000001</v>
      </c>
      <c r="O10" s="4">
        <v>6.5919999999999996</v>
      </c>
      <c r="P10" s="4">
        <v>10.327</v>
      </c>
      <c r="Q10" s="4">
        <v>6.3319999999999999</v>
      </c>
      <c r="R10" s="4">
        <v>5.3129999999999997</v>
      </c>
      <c r="S10" s="4">
        <v>11.076000000000001</v>
      </c>
      <c r="T10" s="4">
        <v>10.715</v>
      </c>
      <c r="U10" s="4">
        <v>11.186</v>
      </c>
      <c r="V10" s="4">
        <v>10.88</v>
      </c>
      <c r="W10" s="4">
        <v>8.9580000000000002</v>
      </c>
      <c r="X10" s="4">
        <v>12.64</v>
      </c>
      <c r="Y10" s="4">
        <v>10.789</v>
      </c>
      <c r="Z10" s="4">
        <v>7.3579999999999997</v>
      </c>
      <c r="AA10" s="4">
        <v>12.61</v>
      </c>
      <c r="AB10" s="4">
        <v>9.6460000000000008</v>
      </c>
      <c r="AC10" s="4">
        <v>12.635</v>
      </c>
      <c r="AD10" s="4">
        <v>11.27</v>
      </c>
      <c r="AE10" s="4">
        <v>10.026999999999999</v>
      </c>
      <c r="AF10" s="4">
        <v>13.234</v>
      </c>
      <c r="AG10" s="4">
        <v>10.16</v>
      </c>
      <c r="AH10" s="4">
        <v>11.307</v>
      </c>
      <c r="AI10" s="4">
        <v>7.1559999999999997</v>
      </c>
      <c r="AJ10" s="4">
        <v>12.041</v>
      </c>
      <c r="AK10" s="4">
        <v>12.529</v>
      </c>
      <c r="AL10" s="4">
        <v>13.03</v>
      </c>
      <c r="AM10" s="4">
        <v>10.61</v>
      </c>
      <c r="AN10" s="4">
        <v>13.012</v>
      </c>
      <c r="AO10" s="4">
        <v>10.206</v>
      </c>
      <c r="AP10" s="4">
        <v>11.191000000000001</v>
      </c>
      <c r="AQ10" s="4">
        <v>6.9880000000000004</v>
      </c>
      <c r="AR10" s="4">
        <v>8.5489999999999995</v>
      </c>
      <c r="AS10" s="4">
        <v>11.108000000000001</v>
      </c>
      <c r="AT10" s="4">
        <v>9.4250000000000007</v>
      </c>
      <c r="AU10" s="4">
        <v>11.337</v>
      </c>
      <c r="AV10" s="4">
        <v>10.981</v>
      </c>
      <c r="AW10" s="4">
        <v>11.976000000000001</v>
      </c>
      <c r="AX10" s="4">
        <v>12.617000000000001</v>
      </c>
      <c r="AY10" s="4">
        <v>11.034000000000001</v>
      </c>
      <c r="AZ10" s="4">
        <v>9.6549999999999994</v>
      </c>
      <c r="BA10" s="4">
        <v>13.058999999999999</v>
      </c>
      <c r="BB10" s="4">
        <v>10.458</v>
      </c>
      <c r="BC10" s="4">
        <v>13.664999999999999</v>
      </c>
      <c r="BD10" s="4">
        <v>8.4920000000000009</v>
      </c>
      <c r="BE10" s="4">
        <v>10.365</v>
      </c>
      <c r="BF10" s="4">
        <v>9.8309999999999995</v>
      </c>
      <c r="BG10" s="4">
        <v>10.269</v>
      </c>
      <c r="BH10" s="4">
        <v>11.156000000000001</v>
      </c>
      <c r="BI10" s="4">
        <v>11.942</v>
      </c>
      <c r="BJ10" s="4">
        <v>7.9180000000000001</v>
      </c>
      <c r="BK10" s="4">
        <v>11.707000000000001</v>
      </c>
      <c r="BL10" s="4">
        <v>7.391</v>
      </c>
      <c r="BM10" s="4">
        <v>6.3410000000000002</v>
      </c>
      <c r="BN10" s="4">
        <v>9.3030000000000008</v>
      </c>
      <c r="BO10" s="4">
        <v>5.1669999999999998</v>
      </c>
      <c r="BP10" s="4">
        <v>10.173999999999999</v>
      </c>
      <c r="BQ10" s="4">
        <v>11.068</v>
      </c>
      <c r="BR10" s="4">
        <v>11.382999999999999</v>
      </c>
      <c r="BS10" s="4">
        <v>13.222</v>
      </c>
      <c r="BT10" s="4">
        <v>11.884</v>
      </c>
      <c r="BU10" s="4">
        <v>12.082000000000001</v>
      </c>
      <c r="BV10" s="4">
        <v>9.4619999999999997</v>
      </c>
      <c r="BW10" s="4">
        <v>9.3659999999999997</v>
      </c>
      <c r="BX10" s="4">
        <v>9.9559999999999995</v>
      </c>
      <c r="BY10" s="4">
        <v>10.545</v>
      </c>
      <c r="BZ10" s="4">
        <v>10.750999999999999</v>
      </c>
      <c r="CA10" s="4">
        <v>12.55</v>
      </c>
      <c r="CB10" s="4">
        <v>11.02</v>
      </c>
      <c r="CC10" s="4">
        <v>6.9039999999999999</v>
      </c>
      <c r="CD10" s="4">
        <v>11.398</v>
      </c>
      <c r="CE10" s="4">
        <v>8.875</v>
      </c>
      <c r="CF10" s="4">
        <v>9.4499999999999993</v>
      </c>
      <c r="CG10" s="4">
        <v>11.651</v>
      </c>
      <c r="CH10" s="4">
        <v>12.4</v>
      </c>
      <c r="CI10" s="4">
        <v>8.6539999999999999</v>
      </c>
      <c r="CJ10" s="4">
        <v>6.726</v>
      </c>
      <c r="CK10" s="4">
        <v>12.582000000000001</v>
      </c>
      <c r="CL10" s="4">
        <v>4.9039999999999999</v>
      </c>
      <c r="CM10" s="4">
        <v>12.332000000000001</v>
      </c>
      <c r="CN10" s="4">
        <v>11.605</v>
      </c>
      <c r="CO10" s="4">
        <v>11.141</v>
      </c>
      <c r="CP10" s="4">
        <v>8.7219999999999995</v>
      </c>
      <c r="CQ10" s="4">
        <v>13.253</v>
      </c>
      <c r="CR10" s="4">
        <v>11.436999999999999</v>
      </c>
      <c r="CS10" s="4">
        <v>12.835000000000001</v>
      </c>
      <c r="CT10" s="4">
        <v>11.949</v>
      </c>
      <c r="CU10" s="4">
        <v>11.680999999999999</v>
      </c>
      <c r="CV10" s="4">
        <v>11.173</v>
      </c>
      <c r="CW10" s="4">
        <v>9.9459999999999997</v>
      </c>
      <c r="CX10" s="4">
        <v>11.051</v>
      </c>
      <c r="CY10" s="4">
        <v>11.304</v>
      </c>
      <c r="CZ10" s="4">
        <v>11.529</v>
      </c>
      <c r="DA10" s="4">
        <v>5.5750000000000002</v>
      </c>
      <c r="DB10" s="4">
        <v>9.5329999999999995</v>
      </c>
      <c r="DC10" s="4">
        <v>8.3919999999999995</v>
      </c>
      <c r="DD10" s="4">
        <v>7.9260000000000002</v>
      </c>
      <c r="DE10" s="4">
        <v>12.5</v>
      </c>
      <c r="DF10" s="4">
        <v>4.569</v>
      </c>
      <c r="DG10" s="4">
        <v>11.722</v>
      </c>
      <c r="DH10" s="4">
        <v>12.324999999999999</v>
      </c>
      <c r="DI10" s="4">
        <v>10.074</v>
      </c>
      <c r="DJ10" s="4">
        <v>12.907</v>
      </c>
      <c r="DK10" s="4">
        <v>10.824999999999999</v>
      </c>
      <c r="DL10" s="4">
        <v>10.824999999999999</v>
      </c>
      <c r="DM10" s="4">
        <v>11.257999999999999</v>
      </c>
      <c r="DN10" s="4">
        <v>10.253</v>
      </c>
      <c r="DO10" s="4">
        <v>12.513999999999999</v>
      </c>
      <c r="DP10" s="4">
        <v>4.8449999999999998</v>
      </c>
      <c r="DQ10" s="4">
        <v>9.843</v>
      </c>
      <c r="DR10" s="4">
        <v>11.952999999999999</v>
      </c>
      <c r="DS10" s="4">
        <v>11.191000000000001</v>
      </c>
      <c r="DT10" s="4">
        <v>10.88</v>
      </c>
      <c r="DU10" s="4">
        <v>10.836</v>
      </c>
      <c r="DV10" s="4">
        <v>9.1329999999999991</v>
      </c>
      <c r="DW10" s="4">
        <v>12.602</v>
      </c>
      <c r="DX10" s="4">
        <v>10.948</v>
      </c>
      <c r="DY10" s="4">
        <v>10.771000000000001</v>
      </c>
      <c r="DZ10" s="4">
        <v>12.863</v>
      </c>
      <c r="EA10" s="4">
        <v>12.741</v>
      </c>
      <c r="EB10" s="4">
        <v>11.114000000000001</v>
      </c>
      <c r="EC10" s="4">
        <v>5.7960000000000003</v>
      </c>
      <c r="ED10" s="4">
        <v>12.802</v>
      </c>
      <c r="EE10" s="4">
        <v>12.797000000000001</v>
      </c>
      <c r="EF10" s="4">
        <v>10.3</v>
      </c>
      <c r="EG10" s="4">
        <v>11.048999999999999</v>
      </c>
      <c r="EH10" s="4">
        <v>9.8640000000000008</v>
      </c>
      <c r="EI10" s="4">
        <v>11.26</v>
      </c>
      <c r="EJ10" s="4">
        <v>11.369</v>
      </c>
      <c r="EK10" s="4">
        <v>11.598000000000001</v>
      </c>
      <c r="EL10" s="4">
        <v>12.358000000000001</v>
      </c>
      <c r="EM10" s="4">
        <v>11.262</v>
      </c>
      <c r="EN10" s="4">
        <v>10.212999999999999</v>
      </c>
      <c r="EO10" s="4">
        <v>11.345000000000001</v>
      </c>
      <c r="EP10" s="4">
        <v>11.183999999999999</v>
      </c>
      <c r="EQ10" s="4">
        <v>9.74</v>
      </c>
      <c r="ER10" s="4">
        <v>13.051</v>
      </c>
      <c r="ES10" s="4">
        <v>9.6419999999999995</v>
      </c>
      <c r="ET10" s="4">
        <v>8.343</v>
      </c>
      <c r="EU10" s="4">
        <v>13.022</v>
      </c>
      <c r="EV10" s="4">
        <v>7.4580000000000002</v>
      </c>
      <c r="EW10" s="4">
        <v>12.417</v>
      </c>
      <c r="EX10" s="4">
        <v>5.7969999999999997</v>
      </c>
      <c r="EY10" s="4">
        <v>10.237</v>
      </c>
      <c r="EZ10" s="4">
        <v>13.092000000000001</v>
      </c>
      <c r="FA10" s="4">
        <v>8.1129999999999995</v>
      </c>
      <c r="FB10" s="4">
        <v>11.507999999999999</v>
      </c>
      <c r="FC10" s="4">
        <v>11.744999999999999</v>
      </c>
      <c r="FD10" s="4">
        <v>10.561999999999999</v>
      </c>
      <c r="FE10" s="4">
        <v>11.404</v>
      </c>
      <c r="FF10" s="4">
        <v>10.952999999999999</v>
      </c>
      <c r="FG10" s="4">
        <v>12.968999999999999</v>
      </c>
      <c r="FH10" s="4">
        <v>12.586</v>
      </c>
      <c r="FI10" s="4">
        <v>9.3010000000000002</v>
      </c>
      <c r="FJ10" s="4">
        <v>13.119</v>
      </c>
      <c r="FK10" s="4">
        <v>11.58</v>
      </c>
      <c r="FL10" s="4">
        <v>11.189</v>
      </c>
      <c r="FM10" s="4">
        <v>10.039999999999999</v>
      </c>
      <c r="FN10" s="4">
        <v>11.603999999999999</v>
      </c>
      <c r="FO10" s="4">
        <v>9.4079999999999995</v>
      </c>
      <c r="FP10" s="4">
        <v>11.339</v>
      </c>
      <c r="FQ10" s="4">
        <v>8.5739999999999998</v>
      </c>
      <c r="FR10" s="4">
        <v>9.1430000000000007</v>
      </c>
      <c r="FS10" s="4">
        <v>8.6359999999999992</v>
      </c>
      <c r="FT10" s="4">
        <v>12.726000000000001</v>
      </c>
      <c r="FU10" s="4">
        <v>11.401</v>
      </c>
      <c r="FV10" s="4">
        <v>5.8570000000000002</v>
      </c>
      <c r="FW10" s="4">
        <v>11.551</v>
      </c>
      <c r="FX10" s="4">
        <v>11.433999999999999</v>
      </c>
      <c r="FY10" s="4">
        <v>11.224</v>
      </c>
      <c r="FZ10" s="4">
        <v>11.805999999999999</v>
      </c>
      <c r="GA10" s="4">
        <v>9.6639999999999997</v>
      </c>
      <c r="GB10" s="4">
        <v>13.157</v>
      </c>
      <c r="GC10" s="4">
        <v>10.866</v>
      </c>
      <c r="GD10" s="4">
        <v>11.643000000000001</v>
      </c>
      <c r="GE10" s="4">
        <v>10.895</v>
      </c>
      <c r="GF10" s="4">
        <v>11.364000000000001</v>
      </c>
      <c r="GG10" s="4">
        <v>8.4920000000000009</v>
      </c>
      <c r="GH10" s="4">
        <v>8.8070000000000004</v>
      </c>
      <c r="GI10" s="4">
        <v>11.875</v>
      </c>
      <c r="GJ10" s="4">
        <v>11.699</v>
      </c>
      <c r="GK10" s="4">
        <v>12.545</v>
      </c>
      <c r="GL10" s="4">
        <v>11.776</v>
      </c>
      <c r="GM10" s="4">
        <v>11.776</v>
      </c>
      <c r="GN10" s="4">
        <v>8.7409999999999997</v>
      </c>
      <c r="GO10" s="4">
        <v>10.891999999999999</v>
      </c>
      <c r="GP10" s="4">
        <v>10.053000000000001</v>
      </c>
      <c r="GQ10" s="4">
        <v>9.24</v>
      </c>
      <c r="GR10" s="4">
        <v>8.4120000000000008</v>
      </c>
      <c r="GS10" s="4">
        <v>12.138</v>
      </c>
      <c r="GT10" s="4">
        <v>6.0919999999999996</v>
      </c>
      <c r="GU10" s="4">
        <v>11.601000000000001</v>
      </c>
      <c r="GV10" s="4">
        <v>10.734999999999999</v>
      </c>
      <c r="GW10" s="4">
        <v>9.6790000000000003</v>
      </c>
      <c r="GX10" s="4">
        <v>3.6110000000000002</v>
      </c>
      <c r="GY10" s="4">
        <v>8.6310000000000002</v>
      </c>
      <c r="GZ10" s="4">
        <v>12.295</v>
      </c>
      <c r="HA10" s="4">
        <v>11.529</v>
      </c>
      <c r="HB10" s="4">
        <v>10.127000000000001</v>
      </c>
      <c r="HC10" s="4">
        <v>11.231999999999999</v>
      </c>
      <c r="HD10" s="4">
        <v>7.0259999999999998</v>
      </c>
      <c r="HE10" s="4">
        <v>10.026</v>
      </c>
      <c r="HF10" s="4">
        <v>7.0540000000000003</v>
      </c>
      <c r="HG10" s="4">
        <v>12.273999999999999</v>
      </c>
      <c r="HH10" s="4">
        <v>11.428000000000001</v>
      </c>
      <c r="HI10" s="4">
        <v>9.3949999999999996</v>
      </c>
      <c r="HJ10" s="4">
        <v>11.52</v>
      </c>
      <c r="HK10" s="4">
        <v>12.553000000000001</v>
      </c>
      <c r="HL10" s="4">
        <v>12.435</v>
      </c>
      <c r="HM10" s="4">
        <v>11.651</v>
      </c>
      <c r="HN10" s="4">
        <v>8.4830000000000005</v>
      </c>
      <c r="HO10" s="4">
        <v>11.355</v>
      </c>
      <c r="HP10" s="4">
        <v>11.497</v>
      </c>
      <c r="HQ10" s="4">
        <v>12.564</v>
      </c>
      <c r="HR10" s="4">
        <v>10.446</v>
      </c>
      <c r="HS10" s="4">
        <v>9.6590000000000007</v>
      </c>
      <c r="HT10" s="4">
        <v>9.9540000000000006</v>
      </c>
      <c r="HU10" s="4">
        <v>11.867000000000001</v>
      </c>
      <c r="HV10" s="4">
        <v>11.151</v>
      </c>
      <c r="HW10" s="4">
        <v>8.4670000000000005</v>
      </c>
      <c r="HX10" s="4">
        <v>11.595000000000001</v>
      </c>
      <c r="HY10" s="4">
        <v>11.599</v>
      </c>
      <c r="HZ10" s="4">
        <v>11.609</v>
      </c>
      <c r="IA10" s="4">
        <v>5.4509999999999996</v>
      </c>
      <c r="IB10" s="4">
        <v>14.092000000000001</v>
      </c>
      <c r="IC10" s="4">
        <v>12.955</v>
      </c>
      <c r="ID10" s="4">
        <v>11.811999999999999</v>
      </c>
      <c r="IE10" s="4">
        <v>11.529</v>
      </c>
      <c r="IF10" s="4">
        <v>12.224</v>
      </c>
      <c r="IG10" s="4">
        <v>10.316000000000001</v>
      </c>
      <c r="IH10" s="4">
        <v>6.75</v>
      </c>
      <c r="II10" s="4">
        <v>7.1269999999999998</v>
      </c>
      <c r="IJ10" s="4">
        <v>11.802</v>
      </c>
      <c r="IK10" s="4">
        <v>11.587</v>
      </c>
      <c r="IL10" s="4">
        <v>8.2810000000000006</v>
      </c>
      <c r="IM10" s="4">
        <v>11.573</v>
      </c>
      <c r="IN10" s="4">
        <v>9.0299999999999994</v>
      </c>
      <c r="IO10" s="4">
        <v>10.119999999999999</v>
      </c>
      <c r="IP10" s="4">
        <v>10.263</v>
      </c>
      <c r="IQ10" s="4">
        <v>12.436</v>
      </c>
      <c r="IR10" s="4">
        <v>12.699</v>
      </c>
      <c r="IS10" s="4">
        <v>6.9710000000000001</v>
      </c>
      <c r="IT10" s="4">
        <v>9.9600000000000009</v>
      </c>
      <c r="IU10" s="4">
        <v>8.3789999999999996</v>
      </c>
      <c r="IV10" s="4">
        <v>13.042999999999999</v>
      </c>
      <c r="IW10" s="4">
        <v>5.35</v>
      </c>
      <c r="IX10" s="4">
        <v>12.35</v>
      </c>
      <c r="IY10" s="4">
        <v>9.391</v>
      </c>
      <c r="IZ10" s="4">
        <v>11.82</v>
      </c>
      <c r="JA10" s="4">
        <v>10.609</v>
      </c>
      <c r="JB10" s="4">
        <v>10.087999999999999</v>
      </c>
      <c r="JC10" s="4">
        <v>8.6449999999999996</v>
      </c>
      <c r="JD10" s="4">
        <v>11.324999999999999</v>
      </c>
      <c r="JE10" s="4">
        <v>12.58</v>
      </c>
      <c r="JF10" s="4">
        <v>12.387</v>
      </c>
      <c r="JG10" s="4">
        <v>10.978</v>
      </c>
      <c r="JH10" s="4">
        <v>12.404999999999999</v>
      </c>
      <c r="JI10" s="4">
        <v>9.7780000000000005</v>
      </c>
      <c r="JJ10" s="4">
        <v>11.176</v>
      </c>
      <c r="JK10" s="4">
        <v>11.180999999999999</v>
      </c>
      <c r="JL10" s="4">
        <v>13.362</v>
      </c>
      <c r="JM10" s="4">
        <v>11.548999999999999</v>
      </c>
      <c r="JN10" s="4">
        <v>11.733000000000001</v>
      </c>
      <c r="JO10" s="4">
        <v>11.93</v>
      </c>
      <c r="JP10" s="4">
        <v>11.643000000000001</v>
      </c>
      <c r="JQ10" s="4">
        <v>11.555999999999999</v>
      </c>
      <c r="JR10" s="4">
        <v>9.57</v>
      </c>
      <c r="JS10" s="4">
        <v>8.6920000000000002</v>
      </c>
      <c r="JT10" s="4">
        <v>11.519</v>
      </c>
      <c r="JU10" s="4">
        <v>11.457000000000001</v>
      </c>
      <c r="JV10" s="4">
        <v>10.599</v>
      </c>
      <c r="JW10" s="4">
        <v>11.829000000000001</v>
      </c>
      <c r="JX10" s="4">
        <v>9.6790000000000003</v>
      </c>
      <c r="JY10" s="4">
        <v>11.378</v>
      </c>
      <c r="JZ10" s="4">
        <v>12.683</v>
      </c>
      <c r="KA10" s="4">
        <v>12.215999999999999</v>
      </c>
      <c r="KB10" s="4">
        <v>7.7460000000000004</v>
      </c>
      <c r="KC10" s="4">
        <v>8.9260000000000002</v>
      </c>
      <c r="KD10" s="4">
        <v>11.999000000000001</v>
      </c>
      <c r="KE10" s="4">
        <v>13.143000000000001</v>
      </c>
      <c r="KF10" s="4">
        <v>10.827999999999999</v>
      </c>
      <c r="KG10" s="4">
        <v>12.093999999999999</v>
      </c>
      <c r="KH10" s="4">
        <v>10.816000000000001</v>
      </c>
      <c r="KI10" s="4">
        <v>11.013999999999999</v>
      </c>
      <c r="KJ10" s="4">
        <v>12.571</v>
      </c>
      <c r="KK10" s="4">
        <v>10.444000000000001</v>
      </c>
      <c r="KL10" s="4">
        <v>10.606999999999999</v>
      </c>
      <c r="KM10" s="4">
        <v>6.702</v>
      </c>
      <c r="KN10" s="4">
        <v>10.821</v>
      </c>
      <c r="KO10" s="4">
        <v>6.93</v>
      </c>
      <c r="KP10" s="4">
        <v>11.06</v>
      </c>
      <c r="KQ10" s="4">
        <v>12.351000000000001</v>
      </c>
      <c r="KR10" s="4">
        <v>11.672000000000001</v>
      </c>
      <c r="KS10" s="4">
        <v>13.101000000000001</v>
      </c>
    </row>
    <row r="11" spans="1:305" x14ac:dyDescent="0.25">
      <c r="A11" s="3">
        <v>10</v>
      </c>
      <c r="B11" s="3"/>
      <c r="C11" s="4">
        <v>-0.28399999999999997</v>
      </c>
      <c r="D11" s="4">
        <v>7.7439999999999998</v>
      </c>
      <c r="E11" s="4">
        <v>7.835</v>
      </c>
      <c r="F11" s="4">
        <v>6.9720000000000004</v>
      </c>
      <c r="G11" s="4">
        <v>8.4030000000000005</v>
      </c>
      <c r="H11" s="4">
        <v>4.1239999999999997</v>
      </c>
      <c r="I11" s="4">
        <v>7.2119999999999997</v>
      </c>
      <c r="J11" s="4">
        <v>3.141</v>
      </c>
      <c r="K11" s="4">
        <v>6.9779999999999998</v>
      </c>
      <c r="L11" s="4">
        <v>8.9280000000000008</v>
      </c>
      <c r="M11" s="4">
        <v>3.7309999999999999</v>
      </c>
      <c r="N11" s="4">
        <v>7.1020000000000003</v>
      </c>
      <c r="O11" s="4">
        <v>1.9910000000000001</v>
      </c>
      <c r="P11" s="4">
        <v>4.0389999999999997</v>
      </c>
      <c r="Q11" s="4">
        <v>1.3180000000000001</v>
      </c>
      <c r="R11" s="4">
        <v>1.7809999999999999</v>
      </c>
      <c r="S11" s="4">
        <v>3.9039999999999999</v>
      </c>
      <c r="T11" s="4">
        <v>7.2309999999999999</v>
      </c>
      <c r="U11" s="4">
        <v>4.101</v>
      </c>
      <c r="V11" s="4">
        <v>5.3410000000000002</v>
      </c>
      <c r="W11" s="4">
        <v>4.0970000000000004</v>
      </c>
      <c r="X11" s="4">
        <v>8.4489999999999998</v>
      </c>
      <c r="Y11" s="4">
        <v>4.7030000000000003</v>
      </c>
      <c r="Z11" s="4">
        <v>3.27</v>
      </c>
      <c r="AA11" s="4">
        <v>9.4239999999999995</v>
      </c>
      <c r="AB11" s="4">
        <v>1.4830000000000001</v>
      </c>
      <c r="AC11" s="4">
        <v>7.2210000000000001</v>
      </c>
      <c r="AD11" s="4">
        <v>5.3890000000000002</v>
      </c>
      <c r="AE11" s="4">
        <v>7.6970000000000001</v>
      </c>
      <c r="AF11" s="4">
        <v>8.23</v>
      </c>
      <c r="AG11" s="4">
        <v>5.4950000000000001</v>
      </c>
      <c r="AH11" s="4">
        <v>5.62</v>
      </c>
      <c r="AI11" s="4">
        <v>3.5659999999999998</v>
      </c>
      <c r="AJ11" s="4">
        <v>7.7629999999999999</v>
      </c>
      <c r="AK11" s="4">
        <v>8.26</v>
      </c>
      <c r="AL11" s="4">
        <v>8.3030000000000008</v>
      </c>
      <c r="AM11" s="4">
        <v>6.1180000000000003</v>
      </c>
      <c r="AN11" s="4">
        <v>6.0019999999999998</v>
      </c>
      <c r="AO11" s="4">
        <v>6.4669999999999996</v>
      </c>
      <c r="AP11" s="4">
        <v>5.0739999999999998</v>
      </c>
      <c r="AQ11" s="4">
        <v>2.69</v>
      </c>
      <c r="AR11" s="4">
        <v>4.4660000000000002</v>
      </c>
      <c r="AS11" s="4">
        <v>4.6559999999999997</v>
      </c>
      <c r="AT11" s="4">
        <v>7.6070000000000002</v>
      </c>
      <c r="AU11" s="4">
        <v>5.4119999999999999</v>
      </c>
      <c r="AV11" s="4">
        <v>7.1950000000000003</v>
      </c>
      <c r="AW11" s="4">
        <v>6.4770000000000003</v>
      </c>
      <c r="AX11" s="4">
        <v>9.5139999999999993</v>
      </c>
      <c r="AY11" s="4">
        <v>7.3280000000000003</v>
      </c>
      <c r="AZ11" s="4">
        <v>5.5010000000000003</v>
      </c>
      <c r="BA11" s="4">
        <v>9.7929999999999993</v>
      </c>
      <c r="BB11" s="4">
        <v>7.4649999999999999</v>
      </c>
      <c r="BC11" s="4">
        <v>9.8209999999999997</v>
      </c>
      <c r="BD11" s="4">
        <v>3.7360000000000002</v>
      </c>
      <c r="BE11" s="4">
        <v>7.0149999999999997</v>
      </c>
      <c r="BF11" s="4">
        <v>5.4210000000000003</v>
      </c>
      <c r="BG11" s="4">
        <v>5.01</v>
      </c>
      <c r="BH11" s="4">
        <v>5.673</v>
      </c>
      <c r="BI11" s="4">
        <v>5.3840000000000003</v>
      </c>
      <c r="BJ11" s="4">
        <v>2.9780000000000002</v>
      </c>
      <c r="BK11" s="4">
        <v>4.24</v>
      </c>
      <c r="BL11" s="4">
        <v>2.6869999999999998</v>
      </c>
      <c r="BM11" s="4">
        <v>1.9550000000000001</v>
      </c>
      <c r="BN11" s="4">
        <v>3.29</v>
      </c>
      <c r="BO11" s="4">
        <v>-0.53200000000000003</v>
      </c>
      <c r="BP11" s="4">
        <v>5.3819999999999997</v>
      </c>
      <c r="BQ11" s="4">
        <v>7.2880000000000003</v>
      </c>
      <c r="BR11" s="4">
        <v>5.915</v>
      </c>
      <c r="BS11" s="4">
        <v>7.82</v>
      </c>
      <c r="BT11" s="4">
        <v>6.968</v>
      </c>
      <c r="BU11" s="4">
        <v>8.0039999999999996</v>
      </c>
      <c r="BV11" s="4">
        <v>7.3380000000000001</v>
      </c>
      <c r="BW11" s="4">
        <v>2.9870000000000001</v>
      </c>
      <c r="BX11" s="4">
        <v>5.5339999999999998</v>
      </c>
      <c r="BY11" s="4">
        <v>5.0170000000000003</v>
      </c>
      <c r="BZ11" s="4">
        <v>6.1079999999999997</v>
      </c>
      <c r="CA11" s="4">
        <v>7.46</v>
      </c>
      <c r="CB11" s="4">
        <v>7.2489999999999997</v>
      </c>
      <c r="CC11" s="4">
        <v>4.1740000000000004</v>
      </c>
      <c r="CD11" s="4">
        <v>7.399</v>
      </c>
      <c r="CE11" s="4">
        <v>3.7469999999999999</v>
      </c>
      <c r="CF11" s="4">
        <v>4.5979999999999999</v>
      </c>
      <c r="CG11" s="4">
        <v>8.0559999999999992</v>
      </c>
      <c r="CH11" s="4">
        <v>7.8129999999999997</v>
      </c>
      <c r="CI11" s="4">
        <v>3.964</v>
      </c>
      <c r="CJ11" s="4">
        <v>2.8029999999999999</v>
      </c>
      <c r="CK11" s="4">
        <v>7.9950000000000001</v>
      </c>
      <c r="CL11" s="4">
        <v>-0.64500000000000002</v>
      </c>
      <c r="CM11" s="4">
        <v>7.2069999999999999</v>
      </c>
      <c r="CN11" s="4">
        <v>7.0960000000000001</v>
      </c>
      <c r="CO11" s="4">
        <v>7.508</v>
      </c>
      <c r="CP11" s="4">
        <v>3.556</v>
      </c>
      <c r="CQ11" s="4">
        <v>8.3249999999999993</v>
      </c>
      <c r="CR11" s="4">
        <v>5.4509999999999996</v>
      </c>
      <c r="CS11" s="4">
        <v>9.1950000000000003</v>
      </c>
      <c r="CT11" s="4">
        <v>8.9969999999999999</v>
      </c>
      <c r="CU11" s="4">
        <v>5.2759999999999998</v>
      </c>
      <c r="CV11" s="4">
        <v>5.8369999999999997</v>
      </c>
      <c r="CW11" s="4">
        <v>5.883</v>
      </c>
      <c r="CX11" s="4">
        <v>5.0579999999999998</v>
      </c>
      <c r="CY11" s="4">
        <v>7.6150000000000002</v>
      </c>
      <c r="CZ11" s="4">
        <v>5.85</v>
      </c>
      <c r="DA11" s="4">
        <v>0.16700000000000001</v>
      </c>
      <c r="DB11" s="4">
        <v>7.4290000000000003</v>
      </c>
      <c r="DC11" s="4">
        <v>2.6379999999999999</v>
      </c>
      <c r="DD11" s="4">
        <v>1.7709999999999999</v>
      </c>
      <c r="DE11" s="4">
        <v>8.5820000000000007</v>
      </c>
      <c r="DF11" s="4">
        <v>-1.1419999999999999</v>
      </c>
      <c r="DG11" s="4">
        <v>6.6580000000000004</v>
      </c>
      <c r="DH11" s="4">
        <v>6.8920000000000003</v>
      </c>
      <c r="DI11" s="4">
        <v>6.1539999999999999</v>
      </c>
      <c r="DJ11" s="4">
        <v>6.9779999999999998</v>
      </c>
      <c r="DK11" s="4">
        <v>4.806</v>
      </c>
      <c r="DL11" s="4">
        <v>4.806</v>
      </c>
      <c r="DM11" s="4">
        <v>5.4340000000000002</v>
      </c>
      <c r="DN11" s="4">
        <v>6.3559999999999999</v>
      </c>
      <c r="DO11" s="4">
        <v>7.5179999999999998</v>
      </c>
      <c r="DP11" s="4">
        <v>-1.2430000000000001</v>
      </c>
      <c r="DQ11" s="4">
        <v>5.35</v>
      </c>
      <c r="DR11" s="4">
        <v>8.1820000000000004</v>
      </c>
      <c r="DS11" s="4">
        <v>7.4880000000000004</v>
      </c>
      <c r="DT11" s="4">
        <v>6.149</v>
      </c>
      <c r="DU11" s="4">
        <v>4.2960000000000003</v>
      </c>
      <c r="DV11" s="4">
        <v>3.8519999999999999</v>
      </c>
      <c r="DW11" s="4">
        <v>8.43</v>
      </c>
      <c r="DX11" s="4">
        <v>6.5540000000000003</v>
      </c>
      <c r="DY11" s="4">
        <v>5.1870000000000003</v>
      </c>
      <c r="DZ11" s="4">
        <v>7.3490000000000002</v>
      </c>
      <c r="EA11" s="4">
        <v>8.6969999999999992</v>
      </c>
      <c r="EB11" s="4">
        <v>6.2050000000000001</v>
      </c>
      <c r="EC11" s="4">
        <v>-0.317</v>
      </c>
      <c r="ED11" s="4">
        <v>7.1479999999999997</v>
      </c>
      <c r="EE11" s="4">
        <v>9.0269999999999992</v>
      </c>
      <c r="EF11" s="4">
        <v>4.8449999999999998</v>
      </c>
      <c r="EG11" s="4">
        <v>4.3120000000000003</v>
      </c>
      <c r="EH11" s="4">
        <v>5.3479999999999999</v>
      </c>
      <c r="EI11" s="4">
        <v>7.6980000000000004</v>
      </c>
      <c r="EJ11" s="4">
        <v>5.2149999999999999</v>
      </c>
      <c r="EK11" s="4">
        <v>6.1239999999999997</v>
      </c>
      <c r="EL11" s="4">
        <v>6.8639999999999999</v>
      </c>
      <c r="EM11" s="4">
        <v>9.2639999999999993</v>
      </c>
      <c r="EN11" s="4">
        <v>4.5910000000000002</v>
      </c>
      <c r="EO11" s="4">
        <v>5.7830000000000004</v>
      </c>
      <c r="EP11" s="4">
        <v>7.4589999999999996</v>
      </c>
      <c r="EQ11" s="4">
        <v>4.0460000000000003</v>
      </c>
      <c r="ER11" s="4">
        <v>8.266</v>
      </c>
      <c r="ES11" s="4">
        <v>5.8179999999999996</v>
      </c>
      <c r="ET11" s="4">
        <v>3.6970000000000001</v>
      </c>
      <c r="EU11" s="4">
        <v>7.2190000000000003</v>
      </c>
      <c r="EV11" s="4">
        <v>2.0499999999999998</v>
      </c>
      <c r="EW11" s="4">
        <v>8.6869999999999994</v>
      </c>
      <c r="EX11" s="4">
        <v>2.778</v>
      </c>
      <c r="EY11" s="4">
        <v>7.819</v>
      </c>
      <c r="EZ11" s="4">
        <v>9.5419999999999998</v>
      </c>
      <c r="FA11" s="4">
        <v>2.6219999999999999</v>
      </c>
      <c r="FB11" s="4">
        <v>7.73</v>
      </c>
      <c r="FC11" s="4">
        <v>7.3159999999999998</v>
      </c>
      <c r="FD11" s="4">
        <v>4.95</v>
      </c>
      <c r="FE11" s="4">
        <v>7.9969999999999999</v>
      </c>
      <c r="FF11" s="4">
        <v>7.0069999999999997</v>
      </c>
      <c r="FG11" s="4">
        <v>7.6509999999999998</v>
      </c>
      <c r="FH11" s="4">
        <v>6.407</v>
      </c>
      <c r="FI11" s="4">
        <v>5.4039999999999999</v>
      </c>
      <c r="FJ11" s="4">
        <v>8.6539999999999999</v>
      </c>
      <c r="FK11" s="4">
        <v>5.54</v>
      </c>
      <c r="FL11" s="4">
        <v>8.2189999999999994</v>
      </c>
      <c r="FM11" s="4">
        <v>3.6840000000000002</v>
      </c>
      <c r="FN11" s="4">
        <v>5.944</v>
      </c>
      <c r="FO11" s="4">
        <v>7.577</v>
      </c>
      <c r="FP11" s="4">
        <v>6.26</v>
      </c>
      <c r="FQ11" s="4">
        <v>5.5519999999999996</v>
      </c>
      <c r="FR11" s="4">
        <v>4.9489999999999998</v>
      </c>
      <c r="FS11" s="4">
        <v>4.5410000000000004</v>
      </c>
      <c r="FT11" s="4">
        <v>5.7670000000000003</v>
      </c>
      <c r="FU11" s="4">
        <v>7.3620000000000001</v>
      </c>
      <c r="FV11" s="4">
        <v>3.2450000000000001</v>
      </c>
      <c r="FW11" s="4">
        <v>7.06</v>
      </c>
      <c r="FX11" s="4">
        <v>7.5720000000000001</v>
      </c>
      <c r="FY11" s="4">
        <v>5.7240000000000002</v>
      </c>
      <c r="FZ11" s="4">
        <v>7.85</v>
      </c>
      <c r="GA11" s="4">
        <v>4.1420000000000003</v>
      </c>
      <c r="GB11" s="4">
        <v>9.2629999999999999</v>
      </c>
      <c r="GC11" s="4">
        <v>7.1829999999999998</v>
      </c>
      <c r="GD11" s="4">
        <v>7.4340000000000002</v>
      </c>
      <c r="GE11" s="4">
        <v>5.1890000000000001</v>
      </c>
      <c r="GF11" s="4">
        <v>7.61</v>
      </c>
      <c r="GG11" s="4">
        <v>4.7759999999999998</v>
      </c>
      <c r="GH11" s="4">
        <v>4.9489999999999998</v>
      </c>
      <c r="GI11" s="4">
        <v>8.2899999999999991</v>
      </c>
      <c r="GJ11" s="4">
        <v>8.5640000000000001</v>
      </c>
      <c r="GK11" s="4">
        <v>6.5289999999999999</v>
      </c>
      <c r="GL11" s="4">
        <v>7.8540000000000001</v>
      </c>
      <c r="GM11" s="4">
        <v>7.8540000000000001</v>
      </c>
      <c r="GN11" s="4">
        <v>3.27</v>
      </c>
      <c r="GO11" s="4">
        <v>5.5510000000000002</v>
      </c>
      <c r="GP11" s="4">
        <v>2.97</v>
      </c>
      <c r="GQ11" s="4">
        <v>0.88700000000000001</v>
      </c>
      <c r="GR11" s="4">
        <v>1.9490000000000001</v>
      </c>
      <c r="GS11" s="4">
        <v>8.1560000000000006</v>
      </c>
      <c r="GT11" s="4">
        <v>0.439</v>
      </c>
      <c r="GU11" s="4">
        <v>7.9539999999999997</v>
      </c>
      <c r="GV11" s="4">
        <v>2.1459999999999999</v>
      </c>
      <c r="GW11" s="4">
        <v>2.7490000000000001</v>
      </c>
      <c r="GX11" s="4">
        <v>0.40799999999999997</v>
      </c>
      <c r="GY11" s="4">
        <v>2.1880000000000002</v>
      </c>
      <c r="GZ11" s="4">
        <v>6.9509999999999996</v>
      </c>
      <c r="HA11" s="4">
        <v>7.17</v>
      </c>
      <c r="HB11" s="4">
        <v>5.6920000000000002</v>
      </c>
      <c r="HC11" s="4">
        <v>5.9260000000000002</v>
      </c>
      <c r="HD11" s="4">
        <v>2.0310000000000001</v>
      </c>
      <c r="HE11" s="4">
        <v>4.45</v>
      </c>
      <c r="HF11" s="4">
        <v>2.6970000000000001</v>
      </c>
      <c r="HG11" s="4">
        <v>7.3470000000000004</v>
      </c>
      <c r="HH11" s="4">
        <v>3.6429999999999998</v>
      </c>
      <c r="HI11" s="4">
        <v>7.7930000000000001</v>
      </c>
      <c r="HJ11" s="4">
        <v>6.8230000000000004</v>
      </c>
      <c r="HK11" s="4">
        <v>8.99</v>
      </c>
      <c r="HL11" s="4">
        <v>8.6980000000000004</v>
      </c>
      <c r="HM11" s="4">
        <v>7.1470000000000002</v>
      </c>
      <c r="HN11" s="4">
        <v>1.8360000000000001</v>
      </c>
      <c r="HO11" s="4">
        <v>4.7779999999999996</v>
      </c>
      <c r="HP11" s="4">
        <v>5.3659999999999997</v>
      </c>
      <c r="HQ11" s="4">
        <v>9.3680000000000003</v>
      </c>
      <c r="HR11" s="4">
        <v>5.6390000000000002</v>
      </c>
      <c r="HS11" s="4">
        <v>5.97</v>
      </c>
      <c r="HT11" s="4">
        <v>4.8869999999999996</v>
      </c>
      <c r="HU11" s="4">
        <v>5.6980000000000004</v>
      </c>
      <c r="HV11" s="4">
        <v>5.9909999999999997</v>
      </c>
      <c r="HW11" s="4">
        <v>2.7050000000000001</v>
      </c>
      <c r="HX11" s="4">
        <v>5.66</v>
      </c>
      <c r="HY11" s="4">
        <v>6.0730000000000004</v>
      </c>
      <c r="HZ11" s="4">
        <v>8.3480000000000008</v>
      </c>
      <c r="IA11" s="4">
        <v>-0.51</v>
      </c>
      <c r="IB11" s="4">
        <v>8.94</v>
      </c>
      <c r="IC11" s="4">
        <v>7.91</v>
      </c>
      <c r="ID11" s="4">
        <v>7.6340000000000003</v>
      </c>
      <c r="IE11" s="4">
        <v>5.899</v>
      </c>
      <c r="IF11" s="4">
        <v>6.1580000000000004</v>
      </c>
      <c r="IG11" s="4">
        <v>5.7279999999999998</v>
      </c>
      <c r="IH11" s="4">
        <v>2.2509999999999999</v>
      </c>
      <c r="II11" s="4">
        <v>2.6720000000000002</v>
      </c>
      <c r="IJ11" s="4">
        <v>6.6040000000000001</v>
      </c>
      <c r="IK11" s="4">
        <v>7.9550000000000001</v>
      </c>
      <c r="IL11" s="4">
        <v>3.5680000000000001</v>
      </c>
      <c r="IM11" s="4">
        <v>5.9059999999999997</v>
      </c>
      <c r="IN11" s="4">
        <v>4.0730000000000004</v>
      </c>
      <c r="IO11" s="4">
        <v>3.637</v>
      </c>
      <c r="IP11" s="4">
        <v>4.5199999999999996</v>
      </c>
      <c r="IQ11" s="4">
        <v>9.3859999999999992</v>
      </c>
      <c r="IR11" s="4">
        <v>7.8490000000000002</v>
      </c>
      <c r="IS11" s="4">
        <v>2.968</v>
      </c>
      <c r="IT11" s="4">
        <v>7.7320000000000002</v>
      </c>
      <c r="IU11" s="4">
        <v>3.8050000000000002</v>
      </c>
      <c r="IV11" s="4">
        <v>5.7839999999999998</v>
      </c>
      <c r="IW11" s="4">
        <v>1.667</v>
      </c>
      <c r="IX11" s="4">
        <v>7.4870000000000001</v>
      </c>
      <c r="IY11" s="4">
        <v>5.8</v>
      </c>
      <c r="IZ11" s="4">
        <v>7.484</v>
      </c>
      <c r="JA11" s="4">
        <v>7.4409999999999998</v>
      </c>
      <c r="JB11" s="4">
        <v>4.6639999999999997</v>
      </c>
      <c r="JC11" s="4">
        <v>4.5419999999999998</v>
      </c>
      <c r="JD11" s="4">
        <v>8.077</v>
      </c>
      <c r="JE11" s="4">
        <v>9.1839999999999993</v>
      </c>
      <c r="JF11" s="4">
        <v>9.0250000000000004</v>
      </c>
      <c r="JG11" s="4">
        <v>6.3150000000000004</v>
      </c>
      <c r="JH11" s="4">
        <v>7.976</v>
      </c>
      <c r="JI11" s="4">
        <v>3.3540000000000001</v>
      </c>
      <c r="JJ11" s="4">
        <v>5.0250000000000004</v>
      </c>
      <c r="JK11" s="4">
        <v>7.2670000000000003</v>
      </c>
      <c r="JL11" s="4">
        <v>9.5920000000000005</v>
      </c>
      <c r="JM11" s="4">
        <v>8.8190000000000008</v>
      </c>
      <c r="JN11" s="4">
        <v>7.8330000000000002</v>
      </c>
      <c r="JO11" s="4">
        <v>7.7590000000000003</v>
      </c>
      <c r="JP11" s="4">
        <v>7.5090000000000003</v>
      </c>
      <c r="JQ11" s="4">
        <v>7.2389999999999999</v>
      </c>
      <c r="JR11" s="4">
        <v>6.7539999999999996</v>
      </c>
      <c r="JS11" s="4">
        <v>4.4950000000000001</v>
      </c>
      <c r="JT11" s="4">
        <v>7.6769999999999996</v>
      </c>
      <c r="JU11" s="4">
        <v>5.62</v>
      </c>
      <c r="JV11" s="4">
        <v>7.0449999999999999</v>
      </c>
      <c r="JW11" s="4">
        <v>7.2969999999999997</v>
      </c>
      <c r="JX11" s="4">
        <v>7.5960000000000001</v>
      </c>
      <c r="JY11" s="4">
        <v>6.1289999999999996</v>
      </c>
      <c r="JZ11" s="4">
        <v>7.3689999999999998</v>
      </c>
      <c r="KA11" s="4">
        <v>8.4009999999999998</v>
      </c>
      <c r="KB11" s="4">
        <v>3.7810000000000001</v>
      </c>
      <c r="KC11" s="4">
        <v>5.1390000000000002</v>
      </c>
      <c r="KD11" s="4">
        <v>7.476</v>
      </c>
      <c r="KE11" s="4">
        <v>8.0399999999999991</v>
      </c>
      <c r="KF11" s="4">
        <v>7.2919999999999998</v>
      </c>
      <c r="KG11" s="4">
        <v>7.9770000000000003</v>
      </c>
      <c r="KH11" s="4">
        <v>7.7960000000000003</v>
      </c>
      <c r="KI11" s="4">
        <v>6.0419999999999998</v>
      </c>
      <c r="KJ11" s="4">
        <v>6.835</v>
      </c>
      <c r="KK11" s="4">
        <v>7.12</v>
      </c>
      <c r="KL11" s="4">
        <v>6.843</v>
      </c>
      <c r="KM11" s="4">
        <v>-0.56599999999999995</v>
      </c>
      <c r="KN11" s="4">
        <v>4.92</v>
      </c>
      <c r="KO11" s="4">
        <v>3.3039999999999998</v>
      </c>
      <c r="KP11" s="4">
        <v>5.3319999999999999</v>
      </c>
      <c r="KQ11" s="4">
        <v>7.9139999999999997</v>
      </c>
      <c r="KR11" s="4">
        <v>4.8419999999999996</v>
      </c>
      <c r="KS11" s="4">
        <v>9.3379999999999992</v>
      </c>
    </row>
    <row r="12" spans="1:305" x14ac:dyDescent="0.25">
      <c r="A12" s="3">
        <v>11</v>
      </c>
      <c r="B12" s="3"/>
      <c r="C12" s="4">
        <v>-6.2640000000000002</v>
      </c>
      <c r="D12" s="4">
        <v>3.1110000000000002</v>
      </c>
      <c r="E12" s="4">
        <v>3.4350000000000001</v>
      </c>
      <c r="F12" s="4">
        <v>2.3439999999999999</v>
      </c>
      <c r="G12" s="4">
        <v>2.246</v>
      </c>
      <c r="H12" s="4">
        <v>-3.0470000000000002</v>
      </c>
      <c r="I12" s="4">
        <v>1.873</v>
      </c>
      <c r="J12" s="4">
        <v>-8.4339999999999993</v>
      </c>
      <c r="K12" s="4">
        <v>4.2809999999999997</v>
      </c>
      <c r="L12" s="4">
        <v>3.5720000000000001</v>
      </c>
      <c r="M12" s="4">
        <v>-2.5910000000000002</v>
      </c>
      <c r="N12" s="4">
        <v>2.2130000000000001</v>
      </c>
      <c r="O12" s="4">
        <v>-3.073</v>
      </c>
      <c r="P12" s="4">
        <v>1.5760000000000001</v>
      </c>
      <c r="Q12" s="4">
        <v>-6.726</v>
      </c>
      <c r="R12" s="4">
        <v>-5.0199999999999996</v>
      </c>
      <c r="S12" s="4">
        <v>1.2649999999999999</v>
      </c>
      <c r="T12" s="4">
        <v>2.6389999999999998</v>
      </c>
      <c r="U12" s="4">
        <v>3.63</v>
      </c>
      <c r="V12" s="4">
        <v>0.998</v>
      </c>
      <c r="W12" s="4">
        <v>-0.91100000000000003</v>
      </c>
      <c r="X12" s="4">
        <v>4.2149999999999999</v>
      </c>
      <c r="Y12" s="4">
        <v>2.5249999999999999</v>
      </c>
      <c r="Z12" s="4">
        <v>-0.83599999999999997</v>
      </c>
      <c r="AA12" s="4">
        <v>3.5750000000000002</v>
      </c>
      <c r="AB12" s="4">
        <v>-8.077</v>
      </c>
      <c r="AC12" s="4">
        <v>2.4750000000000001</v>
      </c>
      <c r="AD12" s="4">
        <v>-2.1999999999999999E-2</v>
      </c>
      <c r="AE12" s="4">
        <v>2.37</v>
      </c>
      <c r="AF12" s="4">
        <v>4.7720000000000002</v>
      </c>
      <c r="AG12" s="4">
        <v>2.7650000000000001</v>
      </c>
      <c r="AH12" s="4">
        <v>2.5710000000000002</v>
      </c>
      <c r="AI12" s="4">
        <v>-5.2729999999999997</v>
      </c>
      <c r="AJ12" s="4">
        <v>2.0289999999999999</v>
      </c>
      <c r="AK12" s="4">
        <v>3.629</v>
      </c>
      <c r="AL12" s="4">
        <v>5.1779999999999999</v>
      </c>
      <c r="AM12" s="4">
        <v>4.0000000000000001E-3</v>
      </c>
      <c r="AN12" s="4">
        <v>2.855</v>
      </c>
      <c r="AO12" s="4">
        <v>3.4870000000000001</v>
      </c>
      <c r="AP12" s="4">
        <v>-1.042</v>
      </c>
      <c r="AQ12" s="4">
        <v>-6.7939999999999996</v>
      </c>
      <c r="AR12" s="4">
        <v>-0.89300000000000002</v>
      </c>
      <c r="AS12" s="4">
        <v>2.452</v>
      </c>
      <c r="AT12" s="4">
        <v>0.73399999999999999</v>
      </c>
      <c r="AU12" s="4">
        <v>3.5379999999999998</v>
      </c>
      <c r="AV12" s="4">
        <v>1.643</v>
      </c>
      <c r="AW12" s="4">
        <v>2.2130000000000001</v>
      </c>
      <c r="AX12" s="4">
        <v>3.6669999999999998</v>
      </c>
      <c r="AY12" s="4">
        <v>2.36</v>
      </c>
      <c r="AZ12" s="4">
        <v>0.99299999999999999</v>
      </c>
      <c r="BA12" s="4">
        <v>4.1180000000000003</v>
      </c>
      <c r="BB12" s="4">
        <v>1.2669999999999999</v>
      </c>
      <c r="BC12" s="4">
        <v>6.2640000000000002</v>
      </c>
      <c r="BD12" s="4">
        <v>0.7</v>
      </c>
      <c r="BE12" s="4">
        <v>1.6970000000000001</v>
      </c>
      <c r="BF12" s="4">
        <v>2.8919999999999999</v>
      </c>
      <c r="BG12" s="4">
        <v>1.165</v>
      </c>
      <c r="BH12" s="4">
        <v>1.087</v>
      </c>
      <c r="BI12" s="4">
        <v>0.56699999999999995</v>
      </c>
      <c r="BJ12" s="4">
        <v>-4.0720000000000001</v>
      </c>
      <c r="BK12" s="4">
        <v>3.9540000000000002</v>
      </c>
      <c r="BL12" s="4">
        <v>-4.9039999999999999</v>
      </c>
      <c r="BM12" s="4">
        <v>-7.5250000000000004</v>
      </c>
      <c r="BN12" s="4">
        <v>2.42</v>
      </c>
      <c r="BO12" s="4">
        <v>-7.8040000000000003</v>
      </c>
      <c r="BP12" s="4">
        <v>3.02</v>
      </c>
      <c r="BQ12" s="4">
        <v>2.2669999999999999</v>
      </c>
      <c r="BR12" s="4">
        <v>2.9209999999999998</v>
      </c>
      <c r="BS12" s="4">
        <v>5.4630000000000001</v>
      </c>
      <c r="BT12" s="4">
        <v>3.4359999999999999</v>
      </c>
      <c r="BU12" s="4">
        <v>2.8849999999999998</v>
      </c>
      <c r="BV12" s="4">
        <v>2.9540000000000002</v>
      </c>
      <c r="BW12" s="4">
        <v>-0.11899999999999999</v>
      </c>
      <c r="BX12" s="4">
        <v>0.437</v>
      </c>
      <c r="BY12" s="4">
        <v>2.1349999999999998</v>
      </c>
      <c r="BZ12" s="4">
        <v>1.095</v>
      </c>
      <c r="CA12" s="4">
        <v>3.73</v>
      </c>
      <c r="CB12" s="4">
        <v>4.2030000000000003</v>
      </c>
      <c r="CC12" s="4">
        <v>-2.657</v>
      </c>
      <c r="CD12" s="4">
        <v>2.819</v>
      </c>
      <c r="CE12" s="4">
        <v>-3.6779999999999999</v>
      </c>
      <c r="CF12" s="4">
        <v>0.22</v>
      </c>
      <c r="CG12" s="4">
        <v>3.3809999999999998</v>
      </c>
      <c r="CH12" s="4">
        <v>1.397</v>
      </c>
      <c r="CI12" s="4">
        <v>0.44700000000000001</v>
      </c>
      <c r="CJ12" s="4">
        <v>-2.512</v>
      </c>
      <c r="CK12" s="4">
        <v>3.871</v>
      </c>
      <c r="CL12" s="4">
        <v>-6.8780000000000001</v>
      </c>
      <c r="CM12" s="4">
        <v>4.3310000000000004</v>
      </c>
      <c r="CN12" s="4">
        <v>2.6309999999999998</v>
      </c>
      <c r="CO12" s="4">
        <v>1.9930000000000001</v>
      </c>
      <c r="CP12" s="4">
        <v>0.55800000000000005</v>
      </c>
      <c r="CQ12" s="4">
        <v>5.1980000000000004</v>
      </c>
      <c r="CR12" s="4">
        <v>1.544</v>
      </c>
      <c r="CS12" s="4">
        <v>1.5169999999999999</v>
      </c>
      <c r="CT12" s="4">
        <v>3.323</v>
      </c>
      <c r="CU12" s="4">
        <v>1.91</v>
      </c>
      <c r="CV12" s="4">
        <v>2.75</v>
      </c>
      <c r="CW12" s="4">
        <v>8.6999999999999994E-2</v>
      </c>
      <c r="CX12" s="4">
        <v>0.95</v>
      </c>
      <c r="CY12" s="4">
        <v>2.698</v>
      </c>
      <c r="CZ12" s="4">
        <v>2.92</v>
      </c>
      <c r="DA12" s="4">
        <v>-7.5069999999999997</v>
      </c>
      <c r="DB12" s="4">
        <v>2.871</v>
      </c>
      <c r="DC12" s="4">
        <v>-4.83</v>
      </c>
      <c r="DD12" s="4">
        <v>-4.0540000000000003</v>
      </c>
      <c r="DE12" s="4">
        <v>4.8120000000000003</v>
      </c>
      <c r="DF12" s="4">
        <v>-8.3049999999999997</v>
      </c>
      <c r="DG12" s="4">
        <v>1.222</v>
      </c>
      <c r="DH12" s="4">
        <v>3.1829999999999998</v>
      </c>
      <c r="DI12" s="4">
        <v>1.631</v>
      </c>
      <c r="DJ12" s="4">
        <v>5.0199999999999996</v>
      </c>
      <c r="DK12" s="4">
        <v>2.5539999999999998</v>
      </c>
      <c r="DL12" s="4">
        <v>2.5539999999999998</v>
      </c>
      <c r="DM12" s="4">
        <v>0.35299999999999998</v>
      </c>
      <c r="DN12" s="4">
        <v>3.504</v>
      </c>
      <c r="DO12" s="4">
        <v>2.9529999999999998</v>
      </c>
      <c r="DP12" s="4">
        <v>-8.4870000000000001</v>
      </c>
      <c r="DQ12" s="4">
        <v>2.911</v>
      </c>
      <c r="DR12" s="4">
        <v>1.9350000000000001</v>
      </c>
      <c r="DS12" s="4">
        <v>2.0070000000000001</v>
      </c>
      <c r="DT12" s="4">
        <v>1.8979999999999999</v>
      </c>
      <c r="DU12" s="4">
        <v>0.42299999999999999</v>
      </c>
      <c r="DV12" s="4">
        <v>-1.3740000000000001</v>
      </c>
      <c r="DW12" s="4">
        <v>2.714</v>
      </c>
      <c r="DX12" s="4">
        <v>3.863</v>
      </c>
      <c r="DY12" s="4">
        <v>2.2349999999999999</v>
      </c>
      <c r="DZ12" s="4">
        <v>4.9560000000000004</v>
      </c>
      <c r="EA12" s="4">
        <v>5.3529999999999998</v>
      </c>
      <c r="EB12" s="4">
        <v>2.1880000000000002</v>
      </c>
      <c r="EC12" s="4">
        <v>-10.430999999999999</v>
      </c>
      <c r="ED12" s="4">
        <v>3.4849999999999999</v>
      </c>
      <c r="EE12" s="4">
        <v>5.24</v>
      </c>
      <c r="EF12" s="4">
        <v>2.1240000000000001</v>
      </c>
      <c r="EG12" s="4">
        <v>3.976</v>
      </c>
      <c r="EH12" s="4">
        <v>-3.0129999999999999</v>
      </c>
      <c r="EI12" s="4">
        <v>3.01</v>
      </c>
      <c r="EJ12" s="4">
        <v>3.363</v>
      </c>
      <c r="EK12" s="4">
        <v>3.0089999999999999</v>
      </c>
      <c r="EL12" s="4">
        <v>1.1759999999999999</v>
      </c>
      <c r="EM12" s="4">
        <v>3.306</v>
      </c>
      <c r="EN12" s="4">
        <v>-0.14000000000000001</v>
      </c>
      <c r="EO12" s="4">
        <v>1.4850000000000001</v>
      </c>
      <c r="EP12" s="4">
        <v>0.42499999999999999</v>
      </c>
      <c r="EQ12" s="4">
        <v>-1.8819999999999999</v>
      </c>
      <c r="ER12" s="4">
        <v>5.1639999999999997</v>
      </c>
      <c r="ES12" s="4">
        <v>0.14299999999999999</v>
      </c>
      <c r="ET12" s="4">
        <v>-3.2730000000000001</v>
      </c>
      <c r="EU12" s="4">
        <v>2.637</v>
      </c>
      <c r="EV12" s="4">
        <v>-0.89500000000000002</v>
      </c>
      <c r="EW12" s="4">
        <v>5.9480000000000004</v>
      </c>
      <c r="EX12" s="4">
        <v>-4.8319999999999999</v>
      </c>
      <c r="EY12" s="4">
        <v>1.5960000000000001</v>
      </c>
      <c r="EZ12" s="4">
        <v>5.1429999999999998</v>
      </c>
      <c r="FA12" s="4">
        <v>-1.2150000000000001</v>
      </c>
      <c r="FB12" s="4">
        <v>1.2</v>
      </c>
      <c r="FC12" s="4">
        <v>1.0249999999999999</v>
      </c>
      <c r="FD12" s="4">
        <v>1.6719999999999999</v>
      </c>
      <c r="FE12" s="4">
        <v>2.6280000000000001</v>
      </c>
      <c r="FF12" s="4">
        <v>2.6829999999999998</v>
      </c>
      <c r="FG12" s="4">
        <v>5.2770000000000001</v>
      </c>
      <c r="FH12" s="4">
        <v>2.3370000000000002</v>
      </c>
      <c r="FI12" s="4">
        <v>-2.6070000000000002</v>
      </c>
      <c r="FJ12" s="4">
        <v>4.8330000000000002</v>
      </c>
      <c r="FK12" s="4">
        <v>2.802</v>
      </c>
      <c r="FL12" s="4">
        <v>3.605</v>
      </c>
      <c r="FM12" s="4">
        <v>0.73599999999999999</v>
      </c>
      <c r="FN12" s="4">
        <v>2.8620000000000001</v>
      </c>
      <c r="FO12" s="4">
        <v>0.71199999999999997</v>
      </c>
      <c r="FP12" s="4">
        <v>2.0489999999999999</v>
      </c>
      <c r="FQ12" s="4">
        <v>7.5999999999999998E-2</v>
      </c>
      <c r="FR12" s="4">
        <v>-2.903</v>
      </c>
      <c r="FS12" s="4">
        <v>0.77</v>
      </c>
      <c r="FT12" s="4">
        <v>2.8330000000000002</v>
      </c>
      <c r="FU12" s="4">
        <v>2.2709999999999999</v>
      </c>
      <c r="FV12" s="4">
        <v>-4.258</v>
      </c>
      <c r="FW12" s="4">
        <v>3.38</v>
      </c>
      <c r="FX12" s="4">
        <v>2.7930000000000001</v>
      </c>
      <c r="FY12" s="4">
        <v>2.6819999999999999</v>
      </c>
      <c r="FZ12" s="4">
        <v>4.0910000000000002</v>
      </c>
      <c r="GA12" s="4">
        <v>0.21099999999999999</v>
      </c>
      <c r="GB12" s="4">
        <v>6.44</v>
      </c>
      <c r="GC12" s="4">
        <v>3.0419999999999998</v>
      </c>
      <c r="GD12" s="4">
        <v>2.7789999999999999</v>
      </c>
      <c r="GE12" s="4">
        <v>2.1160000000000001</v>
      </c>
      <c r="GF12" s="4">
        <v>3.4060000000000001</v>
      </c>
      <c r="GG12" s="4">
        <v>0.53200000000000003</v>
      </c>
      <c r="GH12" s="4">
        <v>-0.66800000000000004</v>
      </c>
      <c r="GI12" s="4">
        <v>3.3559999999999999</v>
      </c>
      <c r="GJ12" s="4">
        <v>2.6320000000000001</v>
      </c>
      <c r="GK12" s="4">
        <v>4.125</v>
      </c>
      <c r="GL12" s="4">
        <v>2.738</v>
      </c>
      <c r="GM12" s="4">
        <v>2.738</v>
      </c>
      <c r="GN12" s="4">
        <v>-1.329</v>
      </c>
      <c r="GO12" s="4">
        <v>3.7930000000000001</v>
      </c>
      <c r="GP12" s="4">
        <v>-0.33700000000000002</v>
      </c>
      <c r="GQ12" s="4">
        <v>-7.38</v>
      </c>
      <c r="GR12" s="4">
        <v>-6.367</v>
      </c>
      <c r="GS12" s="4">
        <v>3.5779999999999998</v>
      </c>
      <c r="GT12" s="4">
        <v>-7.1669999999999998</v>
      </c>
      <c r="GU12" s="4">
        <v>3.5939999999999999</v>
      </c>
      <c r="GV12" s="4">
        <v>-5.2619999999999996</v>
      </c>
      <c r="GW12" s="4">
        <v>-0.57899999999999996</v>
      </c>
      <c r="GX12" s="4">
        <v>-6.04</v>
      </c>
      <c r="GY12" s="4">
        <v>-1.786</v>
      </c>
      <c r="GZ12" s="4">
        <v>3.4129999999999998</v>
      </c>
      <c r="HA12" s="4">
        <v>2.601</v>
      </c>
      <c r="HB12" s="4">
        <v>1.0429999999999999</v>
      </c>
      <c r="HC12" s="4">
        <v>2.92</v>
      </c>
      <c r="HD12" s="4">
        <v>-3.12</v>
      </c>
      <c r="HE12" s="4">
        <v>0.76800000000000002</v>
      </c>
      <c r="HF12" s="4">
        <v>-3.9289999999999998</v>
      </c>
      <c r="HG12" s="4">
        <v>2.6320000000000001</v>
      </c>
      <c r="HH12" s="4">
        <v>0.193</v>
      </c>
      <c r="HI12" s="4">
        <v>2.6080000000000001</v>
      </c>
      <c r="HJ12" s="4">
        <v>2.2269999999999999</v>
      </c>
      <c r="HK12" s="4">
        <v>4.9180000000000001</v>
      </c>
      <c r="HL12" s="4">
        <v>4.6440000000000001</v>
      </c>
      <c r="HM12" s="4">
        <v>2.367</v>
      </c>
      <c r="HN12" s="4">
        <v>-2.9180000000000001</v>
      </c>
      <c r="HO12" s="4">
        <v>1.204</v>
      </c>
      <c r="HP12" s="4">
        <v>2.0379999999999998</v>
      </c>
      <c r="HQ12" s="4">
        <v>4.2160000000000002</v>
      </c>
      <c r="HR12" s="4">
        <v>1.6419999999999999</v>
      </c>
      <c r="HS12" s="4">
        <v>0.30599999999999999</v>
      </c>
      <c r="HT12" s="4">
        <v>0.46500000000000002</v>
      </c>
      <c r="HU12" s="4">
        <v>2.9180000000000001</v>
      </c>
      <c r="HV12" s="4">
        <v>2.7349999999999999</v>
      </c>
      <c r="HW12" s="4">
        <v>-4.21</v>
      </c>
      <c r="HX12" s="4">
        <v>2.8159999999999998</v>
      </c>
      <c r="HY12" s="4">
        <v>3.1429999999999998</v>
      </c>
      <c r="HZ12" s="4">
        <v>4.492</v>
      </c>
      <c r="IA12" s="4">
        <v>-7.351</v>
      </c>
      <c r="IB12" s="4">
        <v>6.3680000000000003</v>
      </c>
      <c r="IC12" s="4">
        <v>4.5650000000000004</v>
      </c>
      <c r="ID12" s="4">
        <v>5.3879999999999999</v>
      </c>
      <c r="IE12" s="4">
        <v>3.1080000000000001</v>
      </c>
      <c r="IF12" s="4">
        <v>3.1240000000000001</v>
      </c>
      <c r="IG12" s="4">
        <v>3.1619999999999999</v>
      </c>
      <c r="IH12" s="4">
        <v>-1.8</v>
      </c>
      <c r="II12" s="4">
        <v>-6.6509999999999998</v>
      </c>
      <c r="IJ12" s="4">
        <v>2.5990000000000002</v>
      </c>
      <c r="IK12" s="4">
        <v>4.7569999999999997</v>
      </c>
      <c r="IL12" s="4">
        <v>-1.653</v>
      </c>
      <c r="IM12" s="4">
        <v>3.0739999999999998</v>
      </c>
      <c r="IN12" s="4">
        <v>-1.9419999999999999</v>
      </c>
      <c r="IO12" s="4">
        <v>0.80800000000000005</v>
      </c>
      <c r="IP12" s="4">
        <v>1.304</v>
      </c>
      <c r="IQ12" s="4">
        <v>2.1459999999999999</v>
      </c>
      <c r="IR12" s="4">
        <v>4.7939999999999996</v>
      </c>
      <c r="IS12" s="4">
        <v>0.246</v>
      </c>
      <c r="IT12" s="4">
        <v>2.2530000000000001</v>
      </c>
      <c r="IU12" s="4">
        <v>-1.8</v>
      </c>
      <c r="IV12" s="4">
        <v>2.62</v>
      </c>
      <c r="IW12" s="4">
        <v>-4.718</v>
      </c>
      <c r="IX12" s="4">
        <v>2.6219999999999999</v>
      </c>
      <c r="IY12" s="4">
        <v>1.155</v>
      </c>
      <c r="IZ12" s="4">
        <v>1.474</v>
      </c>
      <c r="JA12" s="4">
        <v>2.3420000000000001</v>
      </c>
      <c r="JB12" s="4">
        <v>0.86299999999999999</v>
      </c>
      <c r="JC12" s="4">
        <v>-2.1539999999999999</v>
      </c>
      <c r="JD12" s="4">
        <v>2.3090000000000002</v>
      </c>
      <c r="JE12" s="4">
        <v>3.2229999999999999</v>
      </c>
      <c r="JF12" s="4">
        <v>3.9910000000000001</v>
      </c>
      <c r="JG12" s="4">
        <v>1.163</v>
      </c>
      <c r="JH12" s="4">
        <v>4.3710000000000004</v>
      </c>
      <c r="JI12" s="4">
        <v>-0.30399999999999999</v>
      </c>
      <c r="JJ12" s="4">
        <v>2.5720000000000001</v>
      </c>
      <c r="JK12" s="4">
        <v>3.1509999999999998</v>
      </c>
      <c r="JL12" s="4">
        <v>5.25</v>
      </c>
      <c r="JM12" s="4">
        <v>3.3889999999999998</v>
      </c>
      <c r="JN12" s="4">
        <v>3.286</v>
      </c>
      <c r="JO12" s="4">
        <v>3.069</v>
      </c>
      <c r="JP12" s="4">
        <v>2.9729999999999999</v>
      </c>
      <c r="JQ12" s="4">
        <v>3.419</v>
      </c>
      <c r="JR12" s="4">
        <v>1.2110000000000001</v>
      </c>
      <c r="JS12" s="4">
        <v>-1.5469999999999999</v>
      </c>
      <c r="JT12" s="4">
        <v>2.6909999999999998</v>
      </c>
      <c r="JU12" s="4">
        <v>2.5550000000000002</v>
      </c>
      <c r="JV12" s="4">
        <v>1.673</v>
      </c>
      <c r="JW12" s="4">
        <v>3.105</v>
      </c>
      <c r="JX12" s="4">
        <v>1.4239999999999999</v>
      </c>
      <c r="JY12" s="4">
        <v>3.46</v>
      </c>
      <c r="JZ12" s="4">
        <v>2.052</v>
      </c>
      <c r="KA12" s="4">
        <v>2.8079999999999998</v>
      </c>
      <c r="KB12" s="4">
        <v>-0.871</v>
      </c>
      <c r="KC12" s="4">
        <v>-1.423</v>
      </c>
      <c r="KD12" s="4">
        <v>3.2250000000000001</v>
      </c>
      <c r="KE12" s="4">
        <v>5.5190000000000001</v>
      </c>
      <c r="KF12" s="4">
        <v>1.7889999999999999</v>
      </c>
      <c r="KG12" s="4">
        <v>3.319</v>
      </c>
      <c r="KH12" s="4">
        <v>3.1949999999999998</v>
      </c>
      <c r="KI12" s="4">
        <v>1.913</v>
      </c>
      <c r="KJ12" s="4">
        <v>4.1820000000000004</v>
      </c>
      <c r="KK12" s="4">
        <v>1.966</v>
      </c>
      <c r="KL12" s="4">
        <v>2.6120000000000001</v>
      </c>
      <c r="KM12" s="4">
        <v>-7.05</v>
      </c>
      <c r="KN12" s="4">
        <v>0.84399999999999997</v>
      </c>
      <c r="KO12" s="4">
        <v>-3.56</v>
      </c>
      <c r="KP12" s="4">
        <v>2.3450000000000002</v>
      </c>
      <c r="KQ12" s="4">
        <v>4.24</v>
      </c>
      <c r="KR12" s="4">
        <v>2.31</v>
      </c>
      <c r="KS12" s="4">
        <v>5.4320000000000004</v>
      </c>
    </row>
    <row r="13" spans="1:305" x14ac:dyDescent="0.25">
      <c r="A13" s="3">
        <v>12</v>
      </c>
      <c r="B13" s="3"/>
      <c r="C13" s="4">
        <v>-7.3440000000000003</v>
      </c>
      <c r="D13" s="4">
        <v>-2.6219999999999999</v>
      </c>
      <c r="E13" s="4">
        <v>2.597</v>
      </c>
      <c r="F13" s="4">
        <v>0.46600000000000003</v>
      </c>
      <c r="G13" s="4">
        <v>1.1240000000000001</v>
      </c>
      <c r="H13" s="4">
        <v>-7.5670000000000002</v>
      </c>
      <c r="I13" s="4">
        <v>1.202</v>
      </c>
      <c r="J13" s="4">
        <v>-11.321999999999999</v>
      </c>
      <c r="K13" s="4">
        <v>-2.48</v>
      </c>
      <c r="L13" s="4">
        <v>1.534</v>
      </c>
      <c r="M13" s="4">
        <v>-5.6130000000000004</v>
      </c>
      <c r="N13" s="4">
        <v>-3.1640000000000001</v>
      </c>
      <c r="O13" s="4">
        <v>-7.6070000000000002</v>
      </c>
      <c r="P13" s="4">
        <v>-3.073</v>
      </c>
      <c r="Q13" s="4">
        <v>-7.6150000000000002</v>
      </c>
      <c r="R13" s="4">
        <v>-7.742</v>
      </c>
      <c r="S13" s="4">
        <v>-1.0940000000000001</v>
      </c>
      <c r="T13" s="4">
        <v>-0.76300000000000001</v>
      </c>
      <c r="U13" s="4">
        <v>0.45900000000000002</v>
      </c>
      <c r="V13" s="4">
        <v>-0.28399999999999997</v>
      </c>
      <c r="W13" s="4">
        <v>-0.71599999999999997</v>
      </c>
      <c r="X13" s="4">
        <v>2.2389999999999999</v>
      </c>
      <c r="Y13" s="4">
        <v>0.60299999999999998</v>
      </c>
      <c r="Z13" s="4">
        <v>-7.8440000000000003</v>
      </c>
      <c r="AA13" s="4">
        <v>-1.546</v>
      </c>
      <c r="AB13" s="4">
        <v>-5.65</v>
      </c>
      <c r="AC13" s="4">
        <v>0.82199999999999995</v>
      </c>
      <c r="AD13" s="4">
        <v>-4.1920000000000002</v>
      </c>
      <c r="AE13" s="4">
        <v>0.153</v>
      </c>
      <c r="AF13" s="4">
        <v>-1.5269999999999999</v>
      </c>
      <c r="AG13" s="4">
        <v>-6.1269999999999998</v>
      </c>
      <c r="AH13" s="4">
        <v>0.98299999999999998</v>
      </c>
      <c r="AI13" s="4">
        <v>-5.726</v>
      </c>
      <c r="AJ13" s="4">
        <v>1.538</v>
      </c>
      <c r="AK13" s="4">
        <v>0.69799999999999995</v>
      </c>
      <c r="AL13" s="4">
        <v>2.2490000000000001</v>
      </c>
      <c r="AM13" s="4">
        <v>-1.7909999999999999</v>
      </c>
      <c r="AN13" s="4">
        <v>-0.17699999999999999</v>
      </c>
      <c r="AO13" s="4">
        <v>-3.0609999999999999</v>
      </c>
      <c r="AP13" s="4">
        <v>-4.8339999999999996</v>
      </c>
      <c r="AQ13" s="4">
        <v>-6.9790000000000001</v>
      </c>
      <c r="AR13" s="4">
        <v>-4.0540000000000003</v>
      </c>
      <c r="AS13" s="4">
        <v>0.37</v>
      </c>
      <c r="AT13" s="4">
        <v>-2.1659999999999999</v>
      </c>
      <c r="AU13" s="4">
        <v>-0.40200000000000002</v>
      </c>
      <c r="AV13" s="4">
        <v>-1.54</v>
      </c>
      <c r="AW13" s="4">
        <v>-3.0630000000000002</v>
      </c>
      <c r="AX13" s="4">
        <v>2.1360000000000001</v>
      </c>
      <c r="AY13" s="4">
        <v>0.66300000000000003</v>
      </c>
      <c r="AZ13" s="4">
        <v>-4.9969999999999999</v>
      </c>
      <c r="BA13" s="4">
        <v>-0.61799999999999999</v>
      </c>
      <c r="BB13" s="4">
        <v>-0.187</v>
      </c>
      <c r="BC13" s="4">
        <v>3.01</v>
      </c>
      <c r="BD13" s="4">
        <v>-6.1980000000000004</v>
      </c>
      <c r="BE13" s="4">
        <v>0.54300000000000004</v>
      </c>
      <c r="BF13" s="4">
        <v>-4.4329999999999998</v>
      </c>
      <c r="BG13" s="4">
        <v>-3.2229999999999999</v>
      </c>
      <c r="BH13" s="4">
        <v>7.5999999999999998E-2</v>
      </c>
      <c r="BI13" s="4">
        <v>0.13800000000000001</v>
      </c>
      <c r="BJ13" s="4">
        <v>-4.5090000000000003</v>
      </c>
      <c r="BK13" s="4">
        <v>-3.4</v>
      </c>
      <c r="BL13" s="4">
        <v>-6.3250000000000002</v>
      </c>
      <c r="BM13" s="4">
        <v>-10.538</v>
      </c>
      <c r="BN13" s="4">
        <v>-6.4710000000000001</v>
      </c>
      <c r="BO13" s="4">
        <v>-10.871</v>
      </c>
      <c r="BP13" s="4">
        <v>-4.1760000000000002</v>
      </c>
      <c r="BQ13" s="4">
        <v>6.0999999999999999E-2</v>
      </c>
      <c r="BR13" s="4">
        <v>0.83799999999999997</v>
      </c>
      <c r="BS13" s="4">
        <v>1.3360000000000001</v>
      </c>
      <c r="BT13" s="4">
        <v>-1.1439999999999999</v>
      </c>
      <c r="BU13" s="4">
        <v>-3.9980000000000002</v>
      </c>
      <c r="BV13" s="4">
        <v>-3.7269999999999999</v>
      </c>
      <c r="BW13" s="4">
        <v>-4.6280000000000001</v>
      </c>
      <c r="BX13" s="4">
        <v>-4.1509999999999998</v>
      </c>
      <c r="BY13" s="4">
        <v>0.61099999999999999</v>
      </c>
      <c r="BZ13" s="4">
        <v>-3.665</v>
      </c>
      <c r="CA13" s="4">
        <v>1.2070000000000001</v>
      </c>
      <c r="CB13" s="4">
        <v>-3.0539999999999998</v>
      </c>
      <c r="CC13" s="4">
        <v>-5.8380000000000001</v>
      </c>
      <c r="CD13" s="4">
        <v>-0.27800000000000002</v>
      </c>
      <c r="CE13" s="4">
        <v>-3.6920000000000002</v>
      </c>
      <c r="CF13" s="4">
        <v>-5.6429999999999998</v>
      </c>
      <c r="CG13" s="4">
        <v>2.774</v>
      </c>
      <c r="CH13" s="4">
        <v>2.7869999999999999</v>
      </c>
      <c r="CI13" s="4">
        <v>-5.5830000000000002</v>
      </c>
      <c r="CJ13" s="4">
        <v>-6.1849999999999996</v>
      </c>
      <c r="CK13" s="4">
        <v>0.58799999999999997</v>
      </c>
      <c r="CL13" s="4">
        <v>-11.045999999999999</v>
      </c>
      <c r="CM13" s="4">
        <v>0.66500000000000004</v>
      </c>
      <c r="CN13" s="4">
        <v>-4.9180000000000001</v>
      </c>
      <c r="CO13" s="4">
        <v>-0.58299999999999996</v>
      </c>
      <c r="CP13" s="4">
        <v>-5.7569999999999997</v>
      </c>
      <c r="CQ13" s="4">
        <v>0.57899999999999996</v>
      </c>
      <c r="CR13" s="4">
        <v>-0.64800000000000002</v>
      </c>
      <c r="CS13" s="4">
        <v>-0.28899999999999998</v>
      </c>
      <c r="CT13" s="4">
        <v>1.597</v>
      </c>
      <c r="CU13" s="4">
        <v>0.59899999999999998</v>
      </c>
      <c r="CV13" s="4">
        <v>-0.27800000000000002</v>
      </c>
      <c r="CW13" s="4">
        <v>-3.49</v>
      </c>
      <c r="CX13" s="4">
        <v>-1.03</v>
      </c>
      <c r="CY13" s="4">
        <v>0.56000000000000005</v>
      </c>
      <c r="CZ13" s="4">
        <v>0.93799999999999994</v>
      </c>
      <c r="DA13" s="4">
        <v>-13.112</v>
      </c>
      <c r="DB13" s="4">
        <v>-4.1159999999999997</v>
      </c>
      <c r="DC13" s="4">
        <v>-6.7690000000000001</v>
      </c>
      <c r="DD13" s="4">
        <v>-5.0609999999999999</v>
      </c>
      <c r="DE13" s="4">
        <v>2.113</v>
      </c>
      <c r="DF13" s="4">
        <v>-14.21</v>
      </c>
      <c r="DG13" s="4">
        <v>-1.633</v>
      </c>
      <c r="DH13" s="4">
        <v>-0.52800000000000002</v>
      </c>
      <c r="DI13" s="4">
        <v>-3.0710000000000002</v>
      </c>
      <c r="DJ13" s="4">
        <v>1.714</v>
      </c>
      <c r="DK13" s="4">
        <v>0.44700000000000001</v>
      </c>
      <c r="DL13" s="4">
        <v>0.44700000000000001</v>
      </c>
      <c r="DM13" s="4">
        <v>-2.71</v>
      </c>
      <c r="DN13" s="4">
        <v>-4.0590000000000002</v>
      </c>
      <c r="DO13" s="4">
        <v>1.5089999999999999</v>
      </c>
      <c r="DP13" s="4">
        <v>-11.875999999999999</v>
      </c>
      <c r="DQ13" s="4">
        <v>-4.343</v>
      </c>
      <c r="DR13" s="4">
        <v>-0.38700000000000001</v>
      </c>
      <c r="DS13" s="4">
        <v>4.3999999999999997E-2</v>
      </c>
      <c r="DT13" s="4">
        <v>-3.5249999999999999</v>
      </c>
      <c r="DU13" s="4">
        <v>-4.5030000000000001</v>
      </c>
      <c r="DV13" s="4">
        <v>-8.0180000000000007</v>
      </c>
      <c r="DW13" s="4">
        <v>2.1309999999999998</v>
      </c>
      <c r="DX13" s="4">
        <v>-3.12</v>
      </c>
      <c r="DY13" s="4">
        <v>0.56499999999999995</v>
      </c>
      <c r="DZ13" s="4">
        <v>1.0549999999999999</v>
      </c>
      <c r="EA13" s="4">
        <v>1.2270000000000001</v>
      </c>
      <c r="EB13" s="4">
        <v>-3.4329999999999998</v>
      </c>
      <c r="EC13" s="4">
        <v>-8.2270000000000003</v>
      </c>
      <c r="ED13" s="4">
        <v>1.298</v>
      </c>
      <c r="EE13" s="4">
        <v>0.8</v>
      </c>
      <c r="EF13" s="4">
        <v>0.373</v>
      </c>
      <c r="EG13" s="4">
        <v>0.53400000000000003</v>
      </c>
      <c r="EH13" s="4">
        <v>-4.4820000000000002</v>
      </c>
      <c r="EI13" s="4">
        <v>2.4369999999999998</v>
      </c>
      <c r="EJ13" s="4">
        <v>-0.56599999999999995</v>
      </c>
      <c r="EK13" s="4">
        <v>0.998</v>
      </c>
      <c r="EL13" s="4">
        <v>1.39</v>
      </c>
      <c r="EM13" s="4">
        <v>1.377</v>
      </c>
      <c r="EN13" s="4">
        <v>-3.83</v>
      </c>
      <c r="EO13" s="4">
        <v>0.38300000000000001</v>
      </c>
      <c r="EP13" s="4">
        <v>-0.52400000000000002</v>
      </c>
      <c r="EQ13" s="4">
        <v>-2.8650000000000002</v>
      </c>
      <c r="ER13" s="4">
        <v>2.3220000000000001</v>
      </c>
      <c r="ES13" s="4">
        <v>-5.12</v>
      </c>
      <c r="ET13" s="4">
        <v>-12.019</v>
      </c>
      <c r="EU13" s="4">
        <v>1.5780000000000001</v>
      </c>
      <c r="EV13" s="4">
        <v>-9.9160000000000004</v>
      </c>
      <c r="EW13" s="4">
        <v>1.7909999999999999</v>
      </c>
      <c r="EX13" s="4">
        <v>-7.048</v>
      </c>
      <c r="EY13" s="4">
        <v>-4.3959999999999999</v>
      </c>
      <c r="EZ13" s="4">
        <v>2.3380000000000001</v>
      </c>
      <c r="FA13" s="4">
        <v>-6.5540000000000003</v>
      </c>
      <c r="FB13" s="4">
        <v>-1.6819999999999999</v>
      </c>
      <c r="FC13" s="4">
        <v>2.3380000000000001</v>
      </c>
      <c r="FD13" s="4">
        <v>-3.6469999999999998</v>
      </c>
      <c r="FE13" s="4">
        <v>1.6479999999999999</v>
      </c>
      <c r="FF13" s="4">
        <v>1.3520000000000001</v>
      </c>
      <c r="FG13" s="4">
        <v>1.1160000000000001</v>
      </c>
      <c r="FH13" s="4">
        <v>0.21</v>
      </c>
      <c r="FI13" s="4">
        <v>-7.0369999999999999</v>
      </c>
      <c r="FJ13" s="4">
        <v>-1.4159999999999999</v>
      </c>
      <c r="FK13" s="4">
        <v>0.83599999999999997</v>
      </c>
      <c r="FL13" s="4">
        <v>0.879</v>
      </c>
      <c r="FM13" s="4">
        <v>-4.2530000000000001</v>
      </c>
      <c r="FN13" s="4">
        <v>-0.16600000000000001</v>
      </c>
      <c r="FO13" s="4">
        <v>-2.1989999999999998</v>
      </c>
      <c r="FP13" s="4">
        <v>-3.677</v>
      </c>
      <c r="FQ13" s="4">
        <v>-1.837</v>
      </c>
      <c r="FR13" s="4">
        <v>-4.4539999999999997</v>
      </c>
      <c r="FS13" s="4">
        <v>-5.4269999999999996</v>
      </c>
      <c r="FT13" s="4">
        <v>8.7999999999999995E-2</v>
      </c>
      <c r="FU13" s="4">
        <v>-0.72099999999999997</v>
      </c>
      <c r="FV13" s="4">
        <v>-6.9980000000000002</v>
      </c>
      <c r="FW13" s="4">
        <v>-4.2489999999999997</v>
      </c>
      <c r="FX13" s="4">
        <v>-1.2150000000000001</v>
      </c>
      <c r="FY13" s="4">
        <v>-2.2639999999999998</v>
      </c>
      <c r="FZ13" s="4">
        <v>1.478</v>
      </c>
      <c r="GA13" s="4">
        <v>-0.91500000000000004</v>
      </c>
      <c r="GB13" s="4">
        <v>2.4249999999999998</v>
      </c>
      <c r="GC13" s="4">
        <v>-1.329</v>
      </c>
      <c r="GD13" s="4">
        <v>0.41</v>
      </c>
      <c r="GE13" s="4">
        <v>0.316</v>
      </c>
      <c r="GF13" s="4">
        <v>-0.90100000000000002</v>
      </c>
      <c r="GG13" s="4">
        <v>-5.2469999999999999</v>
      </c>
      <c r="GH13" s="4">
        <v>-3.4630000000000001</v>
      </c>
      <c r="GI13" s="4">
        <v>0.56999999999999995</v>
      </c>
      <c r="GJ13" s="4">
        <v>1.2589999999999999</v>
      </c>
      <c r="GK13" s="4">
        <v>-3.0569999999999999</v>
      </c>
      <c r="GL13" s="4">
        <v>-0.23300000000000001</v>
      </c>
      <c r="GM13" s="4">
        <v>-0.23300000000000001</v>
      </c>
      <c r="GN13" s="4">
        <v>-5.298</v>
      </c>
      <c r="GO13" s="4">
        <v>-2.11</v>
      </c>
      <c r="GP13" s="4">
        <v>-6.056</v>
      </c>
      <c r="GQ13" s="4">
        <v>-9.5510000000000002</v>
      </c>
      <c r="GR13" s="4">
        <v>-9.6999999999999993</v>
      </c>
      <c r="GS13" s="4">
        <v>-0.73799999999999999</v>
      </c>
      <c r="GT13" s="4">
        <v>-14.256</v>
      </c>
      <c r="GU13" s="4">
        <v>2.8940000000000001</v>
      </c>
      <c r="GV13" s="4">
        <v>-4.3710000000000004</v>
      </c>
      <c r="GW13" s="4">
        <v>-6.69</v>
      </c>
      <c r="GX13" s="4">
        <v>-9.0719999999999992</v>
      </c>
      <c r="GY13" s="4">
        <v>-6.8490000000000002</v>
      </c>
      <c r="GZ13" s="4">
        <v>-0.622</v>
      </c>
      <c r="HA13" s="4">
        <v>-2.6139999999999999</v>
      </c>
      <c r="HB13" s="4">
        <v>-4.8470000000000004</v>
      </c>
      <c r="HC13" s="4">
        <v>1.0149999999999999</v>
      </c>
      <c r="HD13" s="4">
        <v>-8.6029999999999998</v>
      </c>
      <c r="HE13" s="4">
        <v>-0.71</v>
      </c>
      <c r="HF13" s="4">
        <v>-10.843999999999999</v>
      </c>
      <c r="HG13" s="4">
        <v>1.2450000000000001</v>
      </c>
      <c r="HH13" s="4">
        <v>-3.6339999999999999</v>
      </c>
      <c r="HI13" s="4">
        <v>-0.71299999999999997</v>
      </c>
      <c r="HJ13" s="4">
        <v>0.41499999999999998</v>
      </c>
      <c r="HK13" s="4">
        <v>0.94299999999999995</v>
      </c>
      <c r="HL13" s="4">
        <v>1.875</v>
      </c>
      <c r="HM13" s="4">
        <v>-1.1160000000000001</v>
      </c>
      <c r="HN13" s="4">
        <v>-8.0939999999999994</v>
      </c>
      <c r="HO13" s="4">
        <v>-4.6070000000000002</v>
      </c>
      <c r="HP13" s="4">
        <v>-1.4039999999999999</v>
      </c>
      <c r="HQ13" s="4">
        <v>1.927</v>
      </c>
      <c r="HR13" s="4">
        <v>-1.802</v>
      </c>
      <c r="HS13" s="4">
        <v>-5.1349999999999998</v>
      </c>
      <c r="HT13" s="4">
        <v>-0.35599999999999998</v>
      </c>
      <c r="HU13" s="4">
        <v>-1.0580000000000001</v>
      </c>
      <c r="HV13" s="4">
        <v>0.54900000000000004</v>
      </c>
      <c r="HW13" s="4">
        <v>-6.0960000000000001</v>
      </c>
      <c r="HX13" s="4">
        <v>0.89800000000000002</v>
      </c>
      <c r="HY13" s="4">
        <v>-0.224</v>
      </c>
      <c r="HZ13" s="4">
        <v>0.78100000000000003</v>
      </c>
      <c r="IA13" s="4">
        <v>-6.6269999999999998</v>
      </c>
      <c r="IB13" s="4">
        <v>1.3919999999999999</v>
      </c>
      <c r="IC13" s="4">
        <v>2.6779999999999999</v>
      </c>
      <c r="ID13" s="4">
        <v>1.6479999999999999</v>
      </c>
      <c r="IE13" s="4">
        <v>-0.192</v>
      </c>
      <c r="IF13" s="4">
        <v>-1.8580000000000001</v>
      </c>
      <c r="IG13" s="4">
        <v>-3.403</v>
      </c>
      <c r="IH13" s="4">
        <v>-6.298</v>
      </c>
      <c r="II13" s="4">
        <v>-10.952999999999999</v>
      </c>
      <c r="IJ13" s="4">
        <v>-3.0979999999999999</v>
      </c>
      <c r="IK13" s="4">
        <v>-0.2</v>
      </c>
      <c r="IL13" s="4">
        <v>-5.851</v>
      </c>
      <c r="IM13" s="4">
        <v>0.97699999999999998</v>
      </c>
      <c r="IN13" s="4">
        <v>-6.6369999999999996</v>
      </c>
      <c r="IO13" s="4">
        <v>-4.25</v>
      </c>
      <c r="IP13" s="4">
        <v>-2.3279999999999998</v>
      </c>
      <c r="IQ13" s="4">
        <v>1.7549999999999999</v>
      </c>
      <c r="IR13" s="4">
        <v>2.2370000000000001</v>
      </c>
      <c r="IS13" s="4">
        <v>-6.25</v>
      </c>
      <c r="IT13" s="4">
        <v>-0.05</v>
      </c>
      <c r="IU13" s="4">
        <v>-5.7220000000000004</v>
      </c>
      <c r="IV13" s="4">
        <v>-0.251</v>
      </c>
      <c r="IW13" s="4">
        <v>-8.0909999999999993</v>
      </c>
      <c r="IX13" s="4">
        <v>-0.42099999999999999</v>
      </c>
      <c r="IY13" s="4">
        <v>-4.444</v>
      </c>
      <c r="IZ13" s="4">
        <v>-0.83099999999999996</v>
      </c>
      <c r="JA13" s="4">
        <v>0.38500000000000001</v>
      </c>
      <c r="JB13" s="4">
        <v>-4.5250000000000004</v>
      </c>
      <c r="JC13" s="4">
        <v>-7.0119999999999996</v>
      </c>
      <c r="JD13" s="4">
        <v>-0.22600000000000001</v>
      </c>
      <c r="JE13" s="4">
        <v>1.6339999999999999</v>
      </c>
      <c r="JF13" s="4">
        <v>1.849</v>
      </c>
      <c r="JG13" s="4">
        <v>-1.7250000000000001</v>
      </c>
      <c r="JH13" s="4">
        <v>-2.3809999999999998</v>
      </c>
      <c r="JI13" s="4">
        <v>-4.38</v>
      </c>
      <c r="JJ13" s="4">
        <v>-4.2960000000000003</v>
      </c>
      <c r="JK13" s="4">
        <v>-0.79700000000000004</v>
      </c>
      <c r="JL13" s="4">
        <v>2.57</v>
      </c>
      <c r="JM13" s="4">
        <v>1.1080000000000001</v>
      </c>
      <c r="JN13" s="4">
        <v>1.1160000000000001</v>
      </c>
      <c r="JO13" s="4">
        <v>2.4E-2</v>
      </c>
      <c r="JP13" s="4">
        <v>0.873</v>
      </c>
      <c r="JQ13" s="4">
        <v>1.546</v>
      </c>
      <c r="JR13" s="4">
        <v>-0.19</v>
      </c>
      <c r="JS13" s="4">
        <v>-3.8969999999999998</v>
      </c>
      <c r="JT13" s="4">
        <v>-2.7069999999999999</v>
      </c>
      <c r="JU13" s="4">
        <v>0.66700000000000004</v>
      </c>
      <c r="JV13" s="4">
        <v>-3.6560000000000001</v>
      </c>
      <c r="JW13" s="4">
        <v>-1.61</v>
      </c>
      <c r="JX13" s="4">
        <v>0.44800000000000001</v>
      </c>
      <c r="JY13" s="4">
        <v>-3.2189999999999999</v>
      </c>
      <c r="JZ13" s="4">
        <v>0.50800000000000001</v>
      </c>
      <c r="KA13" s="4">
        <v>0.85699999999999998</v>
      </c>
      <c r="KB13" s="4">
        <v>-7.1369999999999996</v>
      </c>
      <c r="KC13" s="4">
        <v>-6.274</v>
      </c>
      <c r="KD13" s="4">
        <v>-4.5640000000000001</v>
      </c>
      <c r="KE13" s="4">
        <v>2.411</v>
      </c>
      <c r="KF13" s="4">
        <v>0.38300000000000001</v>
      </c>
      <c r="KG13" s="4">
        <v>0.20499999999999999</v>
      </c>
      <c r="KH13" s="4">
        <v>-0.25800000000000001</v>
      </c>
      <c r="KI13" s="4">
        <v>-3.899</v>
      </c>
      <c r="KJ13" s="4">
        <v>-2.3559999999999999</v>
      </c>
      <c r="KK13" s="4">
        <v>-0.14199999999999999</v>
      </c>
      <c r="KL13" s="4">
        <v>-1.0489999999999999</v>
      </c>
      <c r="KM13" s="4">
        <v>-5.4080000000000004</v>
      </c>
      <c r="KN13" s="4">
        <v>-0.75</v>
      </c>
      <c r="KO13" s="4">
        <v>-6.0919999999999996</v>
      </c>
      <c r="KP13" s="4">
        <v>0.36599999999999999</v>
      </c>
      <c r="KQ13" s="4">
        <v>7.3999999999999996E-2</v>
      </c>
      <c r="KR13" s="4">
        <v>0.88200000000000001</v>
      </c>
      <c r="KS13" s="4">
        <v>2.6920000000000002</v>
      </c>
    </row>
    <row r="14" spans="1:305" x14ac:dyDescent="0.2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row>
    <row r="15" spans="1:305" x14ac:dyDescent="0.25">
      <c r="A15" s="5"/>
      <c r="B15" s="5"/>
      <c r="C15" s="7" t="s">
        <v>31</v>
      </c>
      <c r="D15" s="7" t="s">
        <v>32</v>
      </c>
      <c r="E15" s="7" t="s">
        <v>33</v>
      </c>
      <c r="F15" s="7" t="s">
        <v>34</v>
      </c>
      <c r="G15" s="7" t="s">
        <v>35</v>
      </c>
      <c r="H15" s="7" t="s">
        <v>36</v>
      </c>
      <c r="I15" s="7" t="s">
        <v>37</v>
      </c>
      <c r="J15" s="7" t="s">
        <v>38</v>
      </c>
      <c r="K15" s="7" t="s">
        <v>425</v>
      </c>
      <c r="L15" s="7" t="s">
        <v>40</v>
      </c>
      <c r="M15" s="7" t="s">
        <v>41</v>
      </c>
      <c r="N15" s="7" t="s">
        <v>42</v>
      </c>
      <c r="O15" s="7" t="s">
        <v>43</v>
      </c>
      <c r="P15" s="7" t="s">
        <v>426</v>
      </c>
      <c r="Q15" s="7" t="s">
        <v>45</v>
      </c>
      <c r="R15" s="7" t="s">
        <v>46</v>
      </c>
      <c r="S15" s="7" t="s">
        <v>47</v>
      </c>
      <c r="T15" s="7" t="s">
        <v>48</v>
      </c>
      <c r="U15" s="7" t="s">
        <v>49</v>
      </c>
      <c r="V15" s="7" t="s">
        <v>50</v>
      </c>
      <c r="W15" s="7" t="s">
        <v>51</v>
      </c>
      <c r="X15" s="7" t="s">
        <v>52</v>
      </c>
      <c r="Y15" s="7" t="s">
        <v>53</v>
      </c>
      <c r="Z15" s="7" t="s">
        <v>54</v>
      </c>
      <c r="AA15" s="7" t="s">
        <v>55</v>
      </c>
      <c r="AB15" s="7" t="s">
        <v>56</v>
      </c>
      <c r="AC15" s="7" t="s">
        <v>57</v>
      </c>
      <c r="AD15" s="7" t="s">
        <v>58</v>
      </c>
      <c r="AE15" s="7" t="s">
        <v>59</v>
      </c>
      <c r="AF15" s="7" t="s">
        <v>60</v>
      </c>
      <c r="AG15" s="7" t="s">
        <v>61</v>
      </c>
      <c r="AH15" s="7" t="s">
        <v>62</v>
      </c>
      <c r="AI15" s="7" t="s">
        <v>63</v>
      </c>
      <c r="AJ15" s="7" t="s">
        <v>64</v>
      </c>
      <c r="AK15" s="7" t="s">
        <v>65</v>
      </c>
      <c r="AL15" s="7" t="s">
        <v>66</v>
      </c>
      <c r="AM15" s="7" t="s">
        <v>67</v>
      </c>
      <c r="AN15" s="7" t="s">
        <v>68</v>
      </c>
      <c r="AO15" s="7" t="s">
        <v>69</v>
      </c>
      <c r="AP15" s="7" t="s">
        <v>70</v>
      </c>
      <c r="AQ15" s="7" t="s">
        <v>71</v>
      </c>
      <c r="AR15" s="7" t="s">
        <v>72</v>
      </c>
      <c r="AS15" s="7" t="s">
        <v>73</v>
      </c>
      <c r="AT15" s="7" t="s">
        <v>74</v>
      </c>
      <c r="AU15" s="7" t="s">
        <v>75</v>
      </c>
      <c r="AV15" s="7" t="s">
        <v>76</v>
      </c>
      <c r="AW15" s="7" t="s">
        <v>77</v>
      </c>
      <c r="AX15" s="7" t="s">
        <v>78</v>
      </c>
      <c r="AY15" s="7" t="s">
        <v>79</v>
      </c>
      <c r="AZ15" s="7" t="s">
        <v>80</v>
      </c>
      <c r="BA15" s="7" t="s">
        <v>81</v>
      </c>
      <c r="BB15" s="7" t="s">
        <v>82</v>
      </c>
      <c r="BC15" s="7" t="s">
        <v>83</v>
      </c>
      <c r="BD15" s="7" t="s">
        <v>84</v>
      </c>
      <c r="BE15" s="7" t="s">
        <v>85</v>
      </c>
      <c r="BF15" s="7" t="s">
        <v>86</v>
      </c>
      <c r="BG15" s="7" t="s">
        <v>87</v>
      </c>
      <c r="BH15" s="7" t="s">
        <v>88</v>
      </c>
      <c r="BI15" s="7" t="s">
        <v>89</v>
      </c>
      <c r="BJ15" s="7" t="s">
        <v>90</v>
      </c>
      <c r="BK15" s="7" t="s">
        <v>91</v>
      </c>
      <c r="BL15" s="7" t="s">
        <v>92</v>
      </c>
      <c r="BM15" s="7" t="s">
        <v>93</v>
      </c>
      <c r="BN15" s="7" t="s">
        <v>94</v>
      </c>
      <c r="BO15" s="7" t="s">
        <v>95</v>
      </c>
      <c r="BP15" s="7" t="s">
        <v>96</v>
      </c>
      <c r="BQ15" s="7" t="s">
        <v>97</v>
      </c>
      <c r="BR15" s="7" t="s">
        <v>98</v>
      </c>
      <c r="BS15" s="7" t="s">
        <v>99</v>
      </c>
      <c r="BT15" s="7" t="s">
        <v>100</v>
      </c>
      <c r="BU15" s="7" t="s">
        <v>101</v>
      </c>
      <c r="BV15" s="7" t="s">
        <v>102</v>
      </c>
      <c r="BW15" s="7" t="s">
        <v>103</v>
      </c>
      <c r="BX15" s="7" t="s">
        <v>104</v>
      </c>
      <c r="BY15" s="7" t="s">
        <v>105</v>
      </c>
      <c r="BZ15" s="7" t="s">
        <v>106</v>
      </c>
      <c r="CA15" s="7" t="s">
        <v>107</v>
      </c>
      <c r="CB15" s="7" t="s">
        <v>108</v>
      </c>
      <c r="CC15" s="7" t="s">
        <v>109</v>
      </c>
      <c r="CD15" s="7" t="s">
        <v>110</v>
      </c>
      <c r="CE15" s="7" t="s">
        <v>111</v>
      </c>
      <c r="CF15" s="7" t="s">
        <v>112</v>
      </c>
      <c r="CG15" s="7" t="s">
        <v>113</v>
      </c>
      <c r="CH15" s="7" t="s">
        <v>114</v>
      </c>
      <c r="CI15" s="7" t="s">
        <v>115</v>
      </c>
      <c r="CJ15" s="7" t="s">
        <v>116</v>
      </c>
      <c r="CK15" s="7" t="s">
        <v>117</v>
      </c>
      <c r="CL15" s="7" t="s">
        <v>118</v>
      </c>
      <c r="CM15" s="7" t="s">
        <v>119</v>
      </c>
      <c r="CN15" s="7" t="s">
        <v>120</v>
      </c>
      <c r="CO15" s="7" t="s">
        <v>121</v>
      </c>
      <c r="CP15" s="7" t="s">
        <v>122</v>
      </c>
      <c r="CQ15" s="7" t="s">
        <v>123</v>
      </c>
      <c r="CR15" s="7" t="s">
        <v>124</v>
      </c>
      <c r="CS15" s="7" t="s">
        <v>125</v>
      </c>
      <c r="CT15" s="7" t="s">
        <v>126</v>
      </c>
      <c r="CU15" s="7" t="s">
        <v>127</v>
      </c>
      <c r="CV15" s="7" t="s">
        <v>128</v>
      </c>
      <c r="CW15" s="7" t="s">
        <v>129</v>
      </c>
      <c r="CX15" s="7" t="s">
        <v>130</v>
      </c>
      <c r="CY15" s="7" t="s">
        <v>131</v>
      </c>
      <c r="CZ15" s="7" t="s">
        <v>132</v>
      </c>
      <c r="DA15" s="7" t="s">
        <v>133</v>
      </c>
      <c r="DB15" s="7" t="s">
        <v>134</v>
      </c>
      <c r="DC15" s="7" t="s">
        <v>135</v>
      </c>
      <c r="DD15" s="7" t="s">
        <v>136</v>
      </c>
      <c r="DE15" s="7" t="s">
        <v>137</v>
      </c>
      <c r="DF15" s="7" t="s">
        <v>138</v>
      </c>
      <c r="DG15" s="7" t="s">
        <v>139</v>
      </c>
      <c r="DH15" s="7" t="s">
        <v>140</v>
      </c>
      <c r="DI15" s="7" t="s">
        <v>141</v>
      </c>
      <c r="DJ15" s="7" t="s">
        <v>142</v>
      </c>
      <c r="DK15" s="7" t="s">
        <v>143</v>
      </c>
      <c r="DL15" s="7" t="s">
        <v>144</v>
      </c>
      <c r="DM15" s="7" t="s">
        <v>145</v>
      </c>
      <c r="DN15" s="7" t="s">
        <v>146</v>
      </c>
      <c r="DO15" s="7" t="s">
        <v>147</v>
      </c>
      <c r="DP15" s="7" t="s">
        <v>148</v>
      </c>
      <c r="DQ15" s="7" t="s">
        <v>149</v>
      </c>
      <c r="DR15" s="7" t="s">
        <v>150</v>
      </c>
      <c r="DS15" s="7" t="s">
        <v>151</v>
      </c>
      <c r="DT15" s="7" t="s">
        <v>152</v>
      </c>
      <c r="DU15" s="7" t="s">
        <v>153</v>
      </c>
      <c r="DV15" s="7" t="s">
        <v>154</v>
      </c>
      <c r="DW15" s="7" t="s">
        <v>155</v>
      </c>
      <c r="DX15" s="7" t="s">
        <v>156</v>
      </c>
      <c r="DY15" s="7" t="s">
        <v>157</v>
      </c>
      <c r="DZ15" s="7" t="s">
        <v>158</v>
      </c>
      <c r="EA15" s="7" t="s">
        <v>159</v>
      </c>
      <c r="EB15" s="7" t="s">
        <v>160</v>
      </c>
      <c r="EC15" s="7" t="s">
        <v>161</v>
      </c>
      <c r="ED15" s="7" t="s">
        <v>162</v>
      </c>
      <c r="EE15" s="7" t="s">
        <v>163</v>
      </c>
      <c r="EF15" s="7" t="s">
        <v>164</v>
      </c>
      <c r="EG15" s="7" t="s">
        <v>165</v>
      </c>
      <c r="EH15" s="7" t="s">
        <v>166</v>
      </c>
      <c r="EI15" s="7" t="s">
        <v>167</v>
      </c>
      <c r="EJ15" s="7" t="s">
        <v>168</v>
      </c>
      <c r="EK15" s="7" t="s">
        <v>169</v>
      </c>
      <c r="EL15" s="7" t="s">
        <v>170</v>
      </c>
      <c r="EM15" s="7" t="s">
        <v>171</v>
      </c>
      <c r="EN15" s="7" t="s">
        <v>172</v>
      </c>
      <c r="EO15" s="7" t="s">
        <v>173</v>
      </c>
      <c r="EP15" s="7" t="s">
        <v>174</v>
      </c>
      <c r="EQ15" s="7" t="s">
        <v>175</v>
      </c>
      <c r="ER15" s="7" t="s">
        <v>176</v>
      </c>
      <c r="ES15" s="7" t="s">
        <v>177</v>
      </c>
      <c r="ET15" s="7" t="s">
        <v>178</v>
      </c>
      <c r="EU15" s="7" t="s">
        <v>179</v>
      </c>
      <c r="EV15" s="7" t="s">
        <v>180</v>
      </c>
      <c r="EW15" s="7" t="s">
        <v>181</v>
      </c>
      <c r="EX15" s="7" t="s">
        <v>182</v>
      </c>
      <c r="EY15" s="7" t="s">
        <v>183</v>
      </c>
      <c r="EZ15" s="7" t="s">
        <v>184</v>
      </c>
      <c r="FA15" s="7" t="s">
        <v>185</v>
      </c>
      <c r="FB15" s="7" t="s">
        <v>186</v>
      </c>
      <c r="FC15" s="7" t="s">
        <v>187</v>
      </c>
      <c r="FD15" s="7" t="s">
        <v>188</v>
      </c>
      <c r="FE15" s="7" t="s">
        <v>189</v>
      </c>
      <c r="FF15" s="7" t="s">
        <v>190</v>
      </c>
      <c r="FG15" s="7" t="s">
        <v>191</v>
      </c>
      <c r="FH15" s="7" t="s">
        <v>192</v>
      </c>
      <c r="FI15" s="7" t="s">
        <v>193</v>
      </c>
      <c r="FJ15" s="7" t="s">
        <v>194</v>
      </c>
      <c r="FK15" s="7" t="s">
        <v>195</v>
      </c>
      <c r="FL15" s="7" t="s">
        <v>196</v>
      </c>
      <c r="FM15" s="7" t="s">
        <v>197</v>
      </c>
      <c r="FN15" s="7" t="s">
        <v>198</v>
      </c>
      <c r="FO15" s="7" t="s">
        <v>199</v>
      </c>
      <c r="FP15" s="7" t="s">
        <v>200</v>
      </c>
      <c r="FQ15" s="7" t="s">
        <v>201</v>
      </c>
      <c r="FR15" s="7" t="s">
        <v>202</v>
      </c>
      <c r="FS15" s="7" t="s">
        <v>203</v>
      </c>
      <c r="FT15" s="7" t="s">
        <v>204</v>
      </c>
      <c r="FU15" s="7" t="s">
        <v>205</v>
      </c>
      <c r="FV15" s="7" t="s">
        <v>206</v>
      </c>
      <c r="FW15" s="7" t="s">
        <v>207</v>
      </c>
      <c r="FX15" s="7" t="s">
        <v>208</v>
      </c>
      <c r="FY15" s="7" t="s">
        <v>209</v>
      </c>
      <c r="FZ15" s="7" t="s">
        <v>210</v>
      </c>
      <c r="GA15" s="7" t="s">
        <v>211</v>
      </c>
      <c r="GB15" s="7" t="s">
        <v>212</v>
      </c>
      <c r="GC15" s="7" t="s">
        <v>213</v>
      </c>
      <c r="GD15" s="7" t="s">
        <v>214</v>
      </c>
      <c r="GE15" s="7" t="s">
        <v>215</v>
      </c>
      <c r="GF15" s="7" t="s">
        <v>216</v>
      </c>
      <c r="GG15" s="7" t="s">
        <v>217</v>
      </c>
      <c r="GH15" s="7" t="s">
        <v>218</v>
      </c>
      <c r="GI15" s="7" t="s">
        <v>219</v>
      </c>
      <c r="GJ15" s="7" t="s">
        <v>220</v>
      </c>
      <c r="GK15" s="7" t="s">
        <v>221</v>
      </c>
      <c r="GL15" s="7" t="s">
        <v>222</v>
      </c>
      <c r="GM15" s="7" t="s">
        <v>222</v>
      </c>
      <c r="GN15" s="7" t="s">
        <v>223</v>
      </c>
      <c r="GO15" s="7" t="s">
        <v>224</v>
      </c>
      <c r="GP15" s="7" t="s">
        <v>225</v>
      </c>
      <c r="GQ15" s="7" t="s">
        <v>226</v>
      </c>
      <c r="GR15" s="7" t="s">
        <v>227</v>
      </c>
      <c r="GS15" s="7" t="s">
        <v>228</v>
      </c>
      <c r="GT15" s="7" t="s">
        <v>229</v>
      </c>
      <c r="GU15" s="7" t="s">
        <v>230</v>
      </c>
      <c r="GV15" s="7" t="s">
        <v>231</v>
      </c>
      <c r="GW15" s="7" t="s">
        <v>232</v>
      </c>
      <c r="GX15" s="7" t="s">
        <v>233</v>
      </c>
      <c r="GY15" s="7" t="s">
        <v>234</v>
      </c>
      <c r="GZ15" s="7" t="s">
        <v>235</v>
      </c>
      <c r="HA15" s="7" t="s">
        <v>236</v>
      </c>
      <c r="HB15" s="7" t="s">
        <v>237</v>
      </c>
      <c r="HC15" s="7" t="s">
        <v>238</v>
      </c>
      <c r="HD15" s="7" t="s">
        <v>239</v>
      </c>
      <c r="HE15" s="7" t="s">
        <v>240</v>
      </c>
      <c r="HF15" s="7" t="s">
        <v>241</v>
      </c>
      <c r="HG15" s="7" t="s">
        <v>242</v>
      </c>
      <c r="HH15" s="7" t="s">
        <v>243</v>
      </c>
      <c r="HI15" s="7" t="s">
        <v>244</v>
      </c>
      <c r="HJ15" s="7" t="s">
        <v>245</v>
      </c>
      <c r="HK15" s="7" t="s">
        <v>246</v>
      </c>
      <c r="HL15" s="7" t="s">
        <v>247</v>
      </c>
      <c r="HM15" s="7" t="s">
        <v>248</v>
      </c>
      <c r="HN15" s="7" t="s">
        <v>249</v>
      </c>
      <c r="HO15" s="7" t="s">
        <v>250</v>
      </c>
      <c r="HP15" s="7" t="s">
        <v>251</v>
      </c>
      <c r="HQ15" s="7" t="s">
        <v>252</v>
      </c>
      <c r="HR15" s="7" t="s">
        <v>253</v>
      </c>
      <c r="HS15" s="7" t="s">
        <v>254</v>
      </c>
      <c r="HT15" s="7" t="s">
        <v>255</v>
      </c>
      <c r="HU15" s="7" t="s">
        <v>256</v>
      </c>
      <c r="HV15" s="7" t="s">
        <v>257</v>
      </c>
      <c r="HW15" s="7" t="s">
        <v>258</v>
      </c>
      <c r="HX15" s="7" t="s">
        <v>259</v>
      </c>
      <c r="HY15" s="7" t="s">
        <v>260</v>
      </c>
      <c r="HZ15" s="7" t="s">
        <v>261</v>
      </c>
      <c r="IA15" s="7" t="s">
        <v>262</v>
      </c>
      <c r="IB15" s="7" t="s">
        <v>263</v>
      </c>
      <c r="IC15" s="7" t="s">
        <v>264</v>
      </c>
      <c r="ID15" s="7" t="s">
        <v>265</v>
      </c>
      <c r="IE15" s="7" t="s">
        <v>266</v>
      </c>
      <c r="IF15" s="7" t="s">
        <v>267</v>
      </c>
      <c r="IG15" s="7" t="s">
        <v>268</v>
      </c>
      <c r="IH15" s="7" t="s">
        <v>269</v>
      </c>
      <c r="II15" s="7" t="s">
        <v>270</v>
      </c>
      <c r="IJ15" s="7" t="s">
        <v>271</v>
      </c>
      <c r="IK15" s="7" t="s">
        <v>272</v>
      </c>
      <c r="IL15" s="7" t="s">
        <v>273</v>
      </c>
      <c r="IM15" s="7" t="s">
        <v>274</v>
      </c>
      <c r="IN15" s="7" t="s">
        <v>275</v>
      </c>
      <c r="IO15" s="7" t="s">
        <v>276</v>
      </c>
      <c r="IP15" s="7" t="s">
        <v>277</v>
      </c>
      <c r="IQ15" s="7" t="s">
        <v>278</v>
      </c>
      <c r="IR15" s="7" t="s">
        <v>279</v>
      </c>
      <c r="IS15" s="7" t="s">
        <v>280</v>
      </c>
      <c r="IT15" s="7" t="s">
        <v>281</v>
      </c>
      <c r="IU15" s="7" t="s">
        <v>282</v>
      </c>
      <c r="IV15" s="7" t="s">
        <v>283</v>
      </c>
      <c r="IW15" s="7" t="s">
        <v>284</v>
      </c>
      <c r="IX15" s="7" t="s">
        <v>285</v>
      </c>
      <c r="IY15" s="7" t="s">
        <v>286</v>
      </c>
      <c r="IZ15" s="7" t="s">
        <v>287</v>
      </c>
      <c r="JA15" s="7" t="s">
        <v>288</v>
      </c>
      <c r="JB15" s="7" t="s">
        <v>289</v>
      </c>
      <c r="JC15" s="7" t="s">
        <v>290</v>
      </c>
      <c r="JD15" s="7" t="s">
        <v>291</v>
      </c>
      <c r="JE15" s="7" t="s">
        <v>292</v>
      </c>
      <c r="JF15" s="7" t="s">
        <v>293</v>
      </c>
      <c r="JG15" s="7" t="s">
        <v>294</v>
      </c>
      <c r="JH15" s="7" t="s">
        <v>295</v>
      </c>
      <c r="JI15" s="7" t="s">
        <v>296</v>
      </c>
      <c r="JJ15" s="7" t="s">
        <v>297</v>
      </c>
      <c r="JK15" s="7" t="s">
        <v>298</v>
      </c>
      <c r="JL15" s="7" t="s">
        <v>299</v>
      </c>
      <c r="JM15" s="7" t="s">
        <v>300</v>
      </c>
      <c r="JN15" s="7" t="s">
        <v>301</v>
      </c>
      <c r="JO15" s="7" t="s">
        <v>302</v>
      </c>
      <c r="JP15" s="7" t="s">
        <v>303</v>
      </c>
      <c r="JQ15" s="7" t="s">
        <v>304</v>
      </c>
      <c r="JR15" s="7" t="s">
        <v>305</v>
      </c>
      <c r="JS15" s="7" t="s">
        <v>306</v>
      </c>
      <c r="JT15" s="7" t="s">
        <v>307</v>
      </c>
      <c r="JU15" s="7" t="s">
        <v>308</v>
      </c>
      <c r="JV15" s="7" t="s">
        <v>309</v>
      </c>
      <c r="JW15" s="7" t="s">
        <v>310</v>
      </c>
      <c r="JX15" s="7" t="s">
        <v>311</v>
      </c>
      <c r="JY15" s="7" t="s">
        <v>312</v>
      </c>
      <c r="JZ15" s="7" t="s">
        <v>313</v>
      </c>
      <c r="KA15" s="7" t="s">
        <v>314</v>
      </c>
      <c r="KB15" s="7" t="s">
        <v>315</v>
      </c>
      <c r="KC15" s="7" t="s">
        <v>316</v>
      </c>
      <c r="KD15" s="7" t="s">
        <v>317</v>
      </c>
      <c r="KE15" s="7" t="s">
        <v>318</v>
      </c>
      <c r="KF15" s="7" t="s">
        <v>319</v>
      </c>
      <c r="KG15" s="7" t="s">
        <v>320</v>
      </c>
      <c r="KH15" s="7" t="s">
        <v>321</v>
      </c>
      <c r="KI15" s="7" t="s">
        <v>322</v>
      </c>
      <c r="KJ15" s="7" t="s">
        <v>323</v>
      </c>
      <c r="KK15" s="7" t="s">
        <v>324</v>
      </c>
      <c r="KL15" s="7" t="s">
        <v>325</v>
      </c>
      <c r="KM15" s="7" t="s">
        <v>326</v>
      </c>
      <c r="KN15" s="7" t="s">
        <v>327</v>
      </c>
      <c r="KO15" s="7" t="s">
        <v>328</v>
      </c>
      <c r="KP15" s="7" t="s">
        <v>329</v>
      </c>
      <c r="KQ15" s="7" t="s">
        <v>330</v>
      </c>
      <c r="KR15" s="7" t="s">
        <v>331</v>
      </c>
      <c r="KS15" s="7" t="s">
        <v>332</v>
      </c>
    </row>
    <row r="16" spans="1:305" x14ac:dyDescent="0.25">
      <c r="A16" s="4">
        <v>2015</v>
      </c>
      <c r="B16" s="4">
        <v>1</v>
      </c>
      <c r="C16" s="4">
        <v>-13.013</v>
      </c>
      <c r="D16" s="4">
        <v>0.42399999999999999</v>
      </c>
      <c r="E16" s="4">
        <v>1.911</v>
      </c>
      <c r="F16" s="4">
        <v>1.357</v>
      </c>
      <c r="G16" s="4">
        <v>1.214</v>
      </c>
      <c r="H16" s="4">
        <v>-4.6509999999999998</v>
      </c>
      <c r="I16" s="4">
        <v>0.754</v>
      </c>
      <c r="J16" s="4">
        <v>-9.9510000000000005</v>
      </c>
      <c r="K16" s="4">
        <v>0.97099999999999997</v>
      </c>
      <c r="L16" s="4">
        <v>2.3620000000000001</v>
      </c>
      <c r="M16" s="4">
        <v>-5.8140000000000001</v>
      </c>
      <c r="N16" s="4">
        <v>0.127</v>
      </c>
      <c r="O16" s="4">
        <v>-5.5369999999999999</v>
      </c>
      <c r="P16" s="4">
        <v>-0.11799999999999999</v>
      </c>
      <c r="Q16" s="4">
        <v>-11.957000000000001</v>
      </c>
      <c r="R16" s="4">
        <v>-10.038</v>
      </c>
      <c r="S16" s="4">
        <v>-0.439</v>
      </c>
      <c r="T16" s="4">
        <v>0.157</v>
      </c>
      <c r="U16" s="4">
        <v>0.20499999999999999</v>
      </c>
      <c r="V16" s="4">
        <v>0.33400000000000002</v>
      </c>
      <c r="W16" s="4">
        <v>-1.36</v>
      </c>
      <c r="X16" s="4">
        <v>2.2959999999999998</v>
      </c>
      <c r="Y16" s="4">
        <v>0.45300000000000001</v>
      </c>
      <c r="Z16" s="4">
        <v>-5.931</v>
      </c>
      <c r="AA16" s="4">
        <v>2.484</v>
      </c>
      <c r="AB16" s="4">
        <v>-10.375999999999999</v>
      </c>
      <c r="AC16" s="4">
        <v>1.133</v>
      </c>
      <c r="AD16" s="4">
        <v>-3.22</v>
      </c>
      <c r="AE16" s="4">
        <v>0.67700000000000005</v>
      </c>
      <c r="AF16" s="4">
        <v>1.8979999999999999</v>
      </c>
      <c r="AG16" s="4">
        <v>-1.9390000000000001</v>
      </c>
      <c r="AH16" s="4">
        <v>0.5</v>
      </c>
      <c r="AI16" s="4">
        <v>-5.9</v>
      </c>
      <c r="AJ16" s="4">
        <v>1.8380000000000001</v>
      </c>
      <c r="AK16" s="4">
        <v>2.3039999999999998</v>
      </c>
      <c r="AL16" s="4">
        <v>3.0070000000000001</v>
      </c>
      <c r="AM16" s="4">
        <v>-1.585</v>
      </c>
      <c r="AN16" s="4">
        <v>0.88300000000000001</v>
      </c>
      <c r="AO16" s="4">
        <v>-0.36799999999999999</v>
      </c>
      <c r="AP16" s="4">
        <v>-4.1050000000000004</v>
      </c>
      <c r="AQ16" s="4">
        <v>-8.0609999999999999</v>
      </c>
      <c r="AR16" s="4">
        <v>-3.3730000000000002</v>
      </c>
      <c r="AS16" s="4">
        <v>0.54200000000000004</v>
      </c>
      <c r="AT16" s="4">
        <v>0.06</v>
      </c>
      <c r="AU16" s="4">
        <v>0.995</v>
      </c>
      <c r="AV16" s="4">
        <v>-0.161</v>
      </c>
      <c r="AW16" s="4">
        <v>0.125</v>
      </c>
      <c r="AX16" s="4">
        <v>2.42</v>
      </c>
      <c r="AY16" s="4">
        <v>1.1819999999999999</v>
      </c>
      <c r="AZ16" s="4">
        <v>-1.3839999999999999</v>
      </c>
      <c r="BA16" s="4">
        <v>2.605</v>
      </c>
      <c r="BB16" s="4">
        <v>0.41299999999999998</v>
      </c>
      <c r="BC16" s="4">
        <v>3.6019999999999999</v>
      </c>
      <c r="BD16" s="4">
        <v>-2.16</v>
      </c>
      <c r="BE16" s="4">
        <v>1.1020000000000001</v>
      </c>
      <c r="BF16" s="4">
        <v>-1.274</v>
      </c>
      <c r="BG16" s="4">
        <v>-0.65300000000000002</v>
      </c>
      <c r="BH16" s="4">
        <v>0.48299999999999998</v>
      </c>
      <c r="BI16" s="4">
        <v>0.254</v>
      </c>
      <c r="BJ16" s="4">
        <v>-6.6470000000000002</v>
      </c>
      <c r="BK16" s="4">
        <v>-0.33500000000000002</v>
      </c>
      <c r="BL16" s="4">
        <v>-6.7560000000000002</v>
      </c>
      <c r="BM16" s="4">
        <v>-8.3610000000000007</v>
      </c>
      <c r="BN16" s="4">
        <v>-2.3220000000000001</v>
      </c>
      <c r="BO16" s="4">
        <v>-13.225</v>
      </c>
      <c r="BP16" s="4">
        <v>-1.0149999999999999</v>
      </c>
      <c r="BQ16" s="4">
        <v>0.66500000000000004</v>
      </c>
      <c r="BR16" s="4">
        <v>0.224</v>
      </c>
      <c r="BS16" s="4">
        <v>2.399</v>
      </c>
      <c r="BT16" s="4">
        <v>1.143</v>
      </c>
      <c r="BU16" s="4">
        <v>1.2310000000000001</v>
      </c>
      <c r="BV16" s="4">
        <v>0.20899999999999999</v>
      </c>
      <c r="BW16" s="4">
        <v>-1.901</v>
      </c>
      <c r="BX16" s="4">
        <v>-1.377</v>
      </c>
      <c r="BY16" s="4">
        <v>0.245</v>
      </c>
      <c r="BZ16" s="4">
        <v>-0.33600000000000002</v>
      </c>
      <c r="CA16" s="4">
        <v>2.4470000000000001</v>
      </c>
      <c r="CB16" s="4">
        <v>0.57599999999999996</v>
      </c>
      <c r="CC16" s="4">
        <v>-5.8609999999999998</v>
      </c>
      <c r="CD16" s="4">
        <v>0.69</v>
      </c>
      <c r="CE16" s="4">
        <v>-8.734</v>
      </c>
      <c r="CF16" s="4">
        <v>-2.9380000000000002</v>
      </c>
      <c r="CG16" s="4">
        <v>1.992</v>
      </c>
      <c r="CH16" s="4">
        <v>1.764</v>
      </c>
      <c r="CI16" s="4">
        <v>-1.645</v>
      </c>
      <c r="CJ16" s="4">
        <v>-6.6669999999999998</v>
      </c>
      <c r="CK16" s="4">
        <v>2.7189999999999999</v>
      </c>
      <c r="CL16" s="4">
        <v>-9.2360000000000007</v>
      </c>
      <c r="CM16" s="4">
        <v>1.9</v>
      </c>
      <c r="CN16" s="4">
        <v>0.86199999999999999</v>
      </c>
      <c r="CO16" s="4">
        <v>1.363</v>
      </c>
      <c r="CP16" s="4">
        <v>-2.2029999999999998</v>
      </c>
      <c r="CQ16" s="4">
        <v>2.8580000000000001</v>
      </c>
      <c r="CR16" s="4">
        <v>0.94899999999999995</v>
      </c>
      <c r="CS16" s="4">
        <v>1.9710000000000001</v>
      </c>
      <c r="CT16" s="4">
        <v>2.02</v>
      </c>
      <c r="CU16" s="4">
        <v>0.58299999999999996</v>
      </c>
      <c r="CV16" s="4">
        <v>0.57699999999999996</v>
      </c>
      <c r="CW16" s="4">
        <v>-2.7069999999999999</v>
      </c>
      <c r="CX16" s="4">
        <v>0.69499999999999995</v>
      </c>
      <c r="CY16" s="4">
        <v>1.377</v>
      </c>
      <c r="CZ16" s="4">
        <v>0.75900000000000001</v>
      </c>
      <c r="DA16" s="4">
        <v>-13.89</v>
      </c>
      <c r="DB16" s="4">
        <v>0.45900000000000002</v>
      </c>
      <c r="DC16" s="4">
        <v>-6.9349999999999996</v>
      </c>
      <c r="DD16" s="4">
        <v>-9.7739999999999991</v>
      </c>
      <c r="DE16" s="4">
        <v>1.923</v>
      </c>
      <c r="DF16" s="4">
        <v>-15.244999999999999</v>
      </c>
      <c r="DG16" s="4">
        <v>1.427</v>
      </c>
      <c r="DH16" s="4">
        <v>2.2240000000000002</v>
      </c>
      <c r="DI16" s="4">
        <v>-0.77700000000000002</v>
      </c>
      <c r="DJ16" s="4">
        <v>2.39</v>
      </c>
      <c r="DK16" s="4">
        <v>0.223</v>
      </c>
      <c r="DL16" s="4">
        <v>0.38500000000000001</v>
      </c>
      <c r="DM16" s="4">
        <v>2.8290000000000002</v>
      </c>
      <c r="DN16" s="4">
        <v>-0.318</v>
      </c>
      <c r="DO16" s="4">
        <v>1.415</v>
      </c>
      <c r="DP16" s="4">
        <v>-13.821999999999999</v>
      </c>
      <c r="DQ16" s="4">
        <v>0.35599999999999998</v>
      </c>
      <c r="DR16" s="4">
        <v>2.1709999999999998</v>
      </c>
      <c r="DS16" s="4">
        <v>0.11799999999999999</v>
      </c>
      <c r="DT16" s="4">
        <v>-0.112</v>
      </c>
      <c r="DU16" s="4">
        <v>-1.853</v>
      </c>
      <c r="DV16" s="4">
        <v>-4.609</v>
      </c>
      <c r="DW16" s="4">
        <v>2.2919999999999998</v>
      </c>
      <c r="DX16" s="4">
        <v>9.9000000000000005E-2</v>
      </c>
      <c r="DY16" s="4">
        <v>0.32</v>
      </c>
      <c r="DZ16" s="4">
        <v>2.2770000000000001</v>
      </c>
      <c r="EA16" s="4">
        <v>2.3370000000000002</v>
      </c>
      <c r="EB16" s="4">
        <v>8.5000000000000006E-2</v>
      </c>
      <c r="EC16" s="4">
        <v>-14.276999999999999</v>
      </c>
      <c r="ED16" s="4">
        <v>2.2519999999999998</v>
      </c>
      <c r="EE16" s="4">
        <v>2.911</v>
      </c>
      <c r="EF16" s="4">
        <v>0.22800000000000001</v>
      </c>
      <c r="EG16" s="4">
        <v>0.26300000000000001</v>
      </c>
      <c r="EH16" s="4">
        <v>-2.2480000000000002</v>
      </c>
      <c r="EI16" s="4">
        <v>1.4790000000000001</v>
      </c>
      <c r="EJ16" s="4">
        <v>0.63</v>
      </c>
      <c r="EK16" s="4">
        <v>0.93700000000000006</v>
      </c>
      <c r="EL16" s="4">
        <v>1.2849999999999999</v>
      </c>
      <c r="EM16" s="4">
        <v>1.3280000000000001</v>
      </c>
      <c r="EN16" s="4">
        <v>-0.77700000000000002</v>
      </c>
      <c r="EO16" s="4">
        <v>0.86499999999999999</v>
      </c>
      <c r="EP16" s="4">
        <v>1.2230000000000001</v>
      </c>
      <c r="EQ16" s="4">
        <v>-4.5839999999999996</v>
      </c>
      <c r="ER16" s="4">
        <v>3.032</v>
      </c>
      <c r="ES16" s="4">
        <v>-1.69</v>
      </c>
      <c r="ET16" s="4">
        <v>-8.7010000000000005</v>
      </c>
      <c r="EU16" s="4">
        <v>2.7949999999999999</v>
      </c>
      <c r="EV16" s="4">
        <v>-8.1579999999999995</v>
      </c>
      <c r="EW16" s="4">
        <v>2.7690000000000001</v>
      </c>
      <c r="EX16" s="4">
        <v>-9.4469999999999992</v>
      </c>
      <c r="EY16" s="4">
        <v>0.31900000000000001</v>
      </c>
      <c r="EZ16" s="4">
        <v>3.133</v>
      </c>
      <c r="FA16" s="4">
        <v>-3.6589999999999998</v>
      </c>
      <c r="FB16" s="4">
        <v>1.5</v>
      </c>
      <c r="FC16" s="4">
        <v>1.609</v>
      </c>
      <c r="FD16" s="4">
        <v>-0.104</v>
      </c>
      <c r="FE16" s="4">
        <v>1.2769999999999999</v>
      </c>
      <c r="FF16" s="4">
        <v>0.80400000000000005</v>
      </c>
      <c r="FG16" s="4">
        <v>2.2370000000000001</v>
      </c>
      <c r="FH16" s="4">
        <v>1.484</v>
      </c>
      <c r="FI16" s="4">
        <v>-2.597</v>
      </c>
      <c r="FJ16" s="4">
        <v>2.0870000000000002</v>
      </c>
      <c r="FK16" s="4">
        <v>0.79100000000000004</v>
      </c>
      <c r="FL16" s="4">
        <v>1.665</v>
      </c>
      <c r="FM16" s="4">
        <v>-1.5920000000000001</v>
      </c>
      <c r="FN16" s="4">
        <v>1.024</v>
      </c>
      <c r="FO16" s="4">
        <v>-0.30499999999999999</v>
      </c>
      <c r="FP16" s="4">
        <v>-0.96799999999999997</v>
      </c>
      <c r="FQ16" s="4">
        <v>-1.7809999999999999</v>
      </c>
      <c r="FR16" s="4">
        <v>-3.6040000000000001</v>
      </c>
      <c r="FS16" s="4">
        <v>-4.1920000000000002</v>
      </c>
      <c r="FT16" s="4">
        <v>0.57299999999999995</v>
      </c>
      <c r="FU16" s="4">
        <v>0.41</v>
      </c>
      <c r="FV16" s="4">
        <v>-8.2880000000000003</v>
      </c>
      <c r="FW16" s="4">
        <v>1.135</v>
      </c>
      <c r="FX16" s="4">
        <v>0.50900000000000001</v>
      </c>
      <c r="FY16" s="4">
        <v>0.33300000000000002</v>
      </c>
      <c r="FZ16" s="4">
        <v>1.357</v>
      </c>
      <c r="GA16" s="4">
        <v>-2.1779999999999999</v>
      </c>
      <c r="GB16" s="4">
        <v>3.3319999999999999</v>
      </c>
      <c r="GC16" s="4">
        <v>1.2490000000000001</v>
      </c>
      <c r="GD16" s="4">
        <v>1.542</v>
      </c>
      <c r="GE16" s="4">
        <v>7.6999999999999999E-2</v>
      </c>
      <c r="GF16" s="4">
        <v>1.859</v>
      </c>
      <c r="GG16" s="4">
        <v>-4.1399999999999997</v>
      </c>
      <c r="GH16" s="4">
        <v>-3.1659999999999999</v>
      </c>
      <c r="GI16" s="4">
        <v>2.1960000000000002</v>
      </c>
      <c r="GJ16" s="4">
        <v>1.417</v>
      </c>
      <c r="GK16" s="4">
        <v>1.1619999999999999</v>
      </c>
      <c r="GL16" s="4">
        <v>0.79</v>
      </c>
      <c r="GM16" s="4">
        <v>0.66700000000000004</v>
      </c>
      <c r="GN16" s="4">
        <v>-5.7839999999999998</v>
      </c>
      <c r="GO16" s="4">
        <v>-8.3000000000000004E-2</v>
      </c>
      <c r="GP16" s="4">
        <v>-3.5150000000000001</v>
      </c>
      <c r="GQ16" s="4">
        <v>-11.225</v>
      </c>
      <c r="GR16" s="4">
        <v>-11.33</v>
      </c>
      <c r="GS16" s="4">
        <v>0.81100000000000005</v>
      </c>
      <c r="GT16" s="4">
        <v>-12.855</v>
      </c>
      <c r="GU16" s="4">
        <v>1.978</v>
      </c>
      <c r="GV16" s="4">
        <v>-8.3450000000000006</v>
      </c>
      <c r="GW16" s="4">
        <v>-2.7429999999999999</v>
      </c>
      <c r="GX16" s="4">
        <v>-10.602</v>
      </c>
      <c r="GY16" s="4">
        <v>-4.6980000000000004</v>
      </c>
      <c r="GZ16" s="4">
        <v>2.379</v>
      </c>
      <c r="HA16" s="4">
        <v>0.58099999999999996</v>
      </c>
      <c r="HB16" s="4">
        <v>-0.88700000000000001</v>
      </c>
      <c r="HC16" s="4">
        <v>0.60699999999999998</v>
      </c>
      <c r="HD16" s="4">
        <v>-4.9790000000000001</v>
      </c>
      <c r="HE16" s="4">
        <v>-1.401</v>
      </c>
      <c r="HF16" s="4">
        <v>-6.6159999999999997</v>
      </c>
      <c r="HG16" s="4">
        <v>1.41</v>
      </c>
      <c r="HH16" s="4">
        <v>-1.677</v>
      </c>
      <c r="HI16" s="4">
        <v>0.13300000000000001</v>
      </c>
      <c r="HJ16" s="4">
        <v>0.17699999999999999</v>
      </c>
      <c r="HK16" s="4">
        <v>3.02</v>
      </c>
      <c r="HL16" s="4">
        <v>2.0699999999999998</v>
      </c>
      <c r="HM16" s="4">
        <v>0.85299999999999998</v>
      </c>
      <c r="HN16" s="4">
        <v>-6.5759999999999996</v>
      </c>
      <c r="HO16" s="4">
        <v>-1.33</v>
      </c>
      <c r="HP16" s="4">
        <v>0.496</v>
      </c>
      <c r="HQ16" s="4">
        <v>2.44</v>
      </c>
      <c r="HR16" s="4">
        <v>-0.69199999999999995</v>
      </c>
      <c r="HS16" s="4">
        <v>-1.5229999999999999</v>
      </c>
      <c r="HT16" s="4">
        <v>-1.7529999999999999</v>
      </c>
      <c r="HU16" s="4">
        <v>0.68400000000000005</v>
      </c>
      <c r="HV16" s="4">
        <v>0.503</v>
      </c>
      <c r="HW16" s="4">
        <v>-6.1109999999999998</v>
      </c>
      <c r="HX16" s="4">
        <v>0.64400000000000002</v>
      </c>
      <c r="HY16" s="4">
        <v>0.92</v>
      </c>
      <c r="HZ16" s="4">
        <v>2.5310000000000001</v>
      </c>
      <c r="IA16" s="4">
        <v>-10.991</v>
      </c>
      <c r="IB16" s="4">
        <v>3.2050000000000001</v>
      </c>
      <c r="IC16" s="4">
        <v>2.7559999999999998</v>
      </c>
      <c r="ID16" s="4">
        <v>2.036</v>
      </c>
      <c r="IE16" s="4">
        <v>0.89</v>
      </c>
      <c r="IF16" s="4">
        <v>0.80500000000000005</v>
      </c>
      <c r="IG16" s="4">
        <v>-0.81</v>
      </c>
      <c r="IH16" s="4">
        <v>-4.5060000000000002</v>
      </c>
      <c r="II16" s="4">
        <v>-9.9600000000000009</v>
      </c>
      <c r="IJ16" s="4">
        <v>0.113</v>
      </c>
      <c r="IK16" s="4">
        <v>1.982</v>
      </c>
      <c r="IL16" s="4">
        <v>-7.2809999999999997</v>
      </c>
      <c r="IM16" s="4">
        <v>0.86499999999999999</v>
      </c>
      <c r="IN16" s="4">
        <v>-3.339</v>
      </c>
      <c r="IO16" s="4">
        <v>-1.244</v>
      </c>
      <c r="IP16" s="4">
        <v>-0.622</v>
      </c>
      <c r="IQ16" s="4">
        <v>2.48</v>
      </c>
      <c r="IR16" s="4">
        <v>2.63</v>
      </c>
      <c r="IS16" s="4">
        <v>-5.931</v>
      </c>
      <c r="IT16" s="4">
        <v>0.70299999999999996</v>
      </c>
      <c r="IU16" s="4">
        <v>-5.8040000000000003</v>
      </c>
      <c r="IV16" s="4">
        <v>0.70599999999999996</v>
      </c>
      <c r="IW16" s="4">
        <v>-6.5090000000000003</v>
      </c>
      <c r="IX16" s="4">
        <v>1.8220000000000001</v>
      </c>
      <c r="IY16" s="4">
        <v>-0.98599999999999999</v>
      </c>
      <c r="IZ16" s="4">
        <v>1.026</v>
      </c>
      <c r="JA16" s="4">
        <v>0.39900000000000002</v>
      </c>
      <c r="JB16" s="4">
        <v>-0.93799999999999994</v>
      </c>
      <c r="JC16" s="4">
        <v>-4.5359999999999996</v>
      </c>
      <c r="JD16" s="4">
        <v>1.028</v>
      </c>
      <c r="JE16" s="4">
        <v>3.0129999999999999</v>
      </c>
      <c r="JF16" s="4">
        <v>2.2410000000000001</v>
      </c>
      <c r="JG16" s="4">
        <v>0.86599999999999999</v>
      </c>
      <c r="JH16" s="4">
        <v>1.9370000000000001</v>
      </c>
      <c r="JI16" s="4">
        <v>-2.1389999999999998</v>
      </c>
      <c r="JJ16" s="4">
        <v>0.19700000000000001</v>
      </c>
      <c r="JK16" s="4">
        <v>0.505</v>
      </c>
      <c r="JL16" s="4">
        <v>3.2669999999999999</v>
      </c>
      <c r="JM16" s="4">
        <v>1.3140000000000001</v>
      </c>
      <c r="JN16" s="4">
        <v>0.73299999999999998</v>
      </c>
      <c r="JO16" s="4">
        <v>1.0469999999999999</v>
      </c>
      <c r="JP16" s="4">
        <v>1.9670000000000001</v>
      </c>
      <c r="JQ16" s="4">
        <v>1.5249999999999999</v>
      </c>
      <c r="JR16" s="4">
        <v>0.2</v>
      </c>
      <c r="JS16" s="4">
        <v>-4.4000000000000004</v>
      </c>
      <c r="JT16" s="4">
        <v>0.42899999999999999</v>
      </c>
      <c r="JU16" s="4">
        <v>0.49299999999999999</v>
      </c>
      <c r="JV16" s="4">
        <v>-0.14199999999999999</v>
      </c>
      <c r="JW16" s="4">
        <v>1.2889999999999999</v>
      </c>
      <c r="JX16" s="4">
        <v>0.42299999999999999</v>
      </c>
      <c r="JY16" s="4">
        <v>0.63100000000000001</v>
      </c>
      <c r="JZ16" s="4">
        <v>0.34</v>
      </c>
      <c r="KA16" s="4">
        <v>1.5329999999999999</v>
      </c>
      <c r="KB16" s="4">
        <v>-5.1920000000000002</v>
      </c>
      <c r="KC16" s="4">
        <v>-2.7930000000000001</v>
      </c>
      <c r="KD16" s="4">
        <v>1.167</v>
      </c>
      <c r="KE16" s="4">
        <v>2.6389999999999998</v>
      </c>
      <c r="KF16" s="4">
        <v>0.97299999999999998</v>
      </c>
      <c r="KG16" s="4">
        <v>0.98199999999999998</v>
      </c>
      <c r="KH16" s="4">
        <v>0.72099999999999997</v>
      </c>
      <c r="KI16" s="4">
        <v>-0.21</v>
      </c>
      <c r="KJ16" s="4">
        <v>1.238</v>
      </c>
      <c r="KK16" s="4">
        <v>0.64800000000000002</v>
      </c>
      <c r="KL16" s="4">
        <v>4.4999999999999998E-2</v>
      </c>
      <c r="KM16" s="4">
        <v>-9.0779999999999994</v>
      </c>
      <c r="KN16" s="4">
        <v>0.57399999999999995</v>
      </c>
      <c r="KO16" s="4">
        <v>-6.2939999999999996</v>
      </c>
      <c r="KP16" s="4">
        <v>0.36599999999999999</v>
      </c>
      <c r="KQ16" s="4">
        <v>1.762</v>
      </c>
      <c r="KR16" s="4">
        <v>-1E-3</v>
      </c>
      <c r="KS16" s="4">
        <v>2.8610000000000002</v>
      </c>
    </row>
    <row r="17" spans="1:308" x14ac:dyDescent="0.25">
      <c r="A17" s="4">
        <v>2015</v>
      </c>
      <c r="B17" s="4">
        <v>2</v>
      </c>
      <c r="C17" s="4">
        <v>-7.742</v>
      </c>
      <c r="D17" s="4">
        <v>0.68600000000000005</v>
      </c>
      <c r="E17" s="4">
        <v>1.4179999999999999</v>
      </c>
      <c r="F17" s="4">
        <v>0.64300000000000002</v>
      </c>
      <c r="G17" s="4">
        <v>0.67500000000000004</v>
      </c>
      <c r="H17" s="4">
        <v>-3.27</v>
      </c>
      <c r="I17" s="4">
        <v>0.30499999999999999</v>
      </c>
      <c r="J17" s="4">
        <v>-3.4670000000000001</v>
      </c>
      <c r="K17" s="4">
        <v>0.90700000000000003</v>
      </c>
      <c r="L17" s="4">
        <v>1.43</v>
      </c>
      <c r="M17" s="4">
        <v>-2.2839999999999998</v>
      </c>
      <c r="N17" s="4">
        <v>0.46500000000000002</v>
      </c>
      <c r="O17" s="4">
        <v>-2.399</v>
      </c>
      <c r="P17" s="4">
        <v>-0.186</v>
      </c>
      <c r="Q17" s="4">
        <v>-5.33</v>
      </c>
      <c r="R17" s="4">
        <v>-4.6349999999999998</v>
      </c>
      <c r="S17" s="4">
        <v>-0.107</v>
      </c>
      <c r="T17" s="4">
        <v>-0.253</v>
      </c>
      <c r="U17" s="4">
        <v>0.224</v>
      </c>
      <c r="V17" s="4">
        <v>0.41599999999999998</v>
      </c>
      <c r="W17" s="4">
        <v>-0.57199999999999995</v>
      </c>
      <c r="X17" s="4">
        <v>1.355</v>
      </c>
      <c r="Y17" s="4">
        <v>0.52700000000000002</v>
      </c>
      <c r="Z17" s="4">
        <v>-2.7879999999999998</v>
      </c>
      <c r="AA17" s="4">
        <v>1.452</v>
      </c>
      <c r="AB17" s="4">
        <v>-3.8570000000000002</v>
      </c>
      <c r="AC17" s="4">
        <v>0.57399999999999995</v>
      </c>
      <c r="AD17" s="4">
        <v>-1.27</v>
      </c>
      <c r="AE17" s="4">
        <v>-0.15</v>
      </c>
      <c r="AF17" s="4">
        <v>1.601</v>
      </c>
      <c r="AG17" s="4">
        <v>-0.78400000000000003</v>
      </c>
      <c r="AH17" s="4">
        <v>0.72799999999999998</v>
      </c>
      <c r="AI17" s="4">
        <v>-2.6970000000000001</v>
      </c>
      <c r="AJ17" s="4">
        <v>1.3939999999999999</v>
      </c>
      <c r="AK17" s="4">
        <v>1.6259999999999999</v>
      </c>
      <c r="AL17" s="4">
        <v>1.9370000000000001</v>
      </c>
      <c r="AM17" s="4">
        <v>-0.63700000000000001</v>
      </c>
      <c r="AN17" s="4">
        <v>1.264</v>
      </c>
      <c r="AO17" s="4">
        <v>-0.16800000000000001</v>
      </c>
      <c r="AP17" s="4">
        <v>-1.2170000000000001</v>
      </c>
      <c r="AQ17" s="4">
        <v>-3.5289999999999999</v>
      </c>
      <c r="AR17" s="4">
        <v>-1.504</v>
      </c>
      <c r="AS17" s="4">
        <v>0.42</v>
      </c>
      <c r="AT17" s="4">
        <v>-0.22600000000000001</v>
      </c>
      <c r="AU17" s="4">
        <v>0.66400000000000003</v>
      </c>
      <c r="AV17" s="4">
        <v>0.35599999999999998</v>
      </c>
      <c r="AW17" s="4">
        <v>0.495</v>
      </c>
      <c r="AX17" s="4">
        <v>1.4590000000000001</v>
      </c>
      <c r="AY17" s="4">
        <v>0.94</v>
      </c>
      <c r="AZ17" s="4">
        <v>-0.751</v>
      </c>
      <c r="BA17" s="4">
        <v>1.4159999999999999</v>
      </c>
      <c r="BB17" s="4">
        <v>-8.0000000000000002E-3</v>
      </c>
      <c r="BC17" s="4">
        <v>2.258</v>
      </c>
      <c r="BD17" s="4">
        <v>-0.878</v>
      </c>
      <c r="BE17" s="4">
        <v>0.69499999999999995</v>
      </c>
      <c r="BF17" s="4">
        <v>-1.095</v>
      </c>
      <c r="BG17" s="4">
        <v>0.153</v>
      </c>
      <c r="BH17" s="4">
        <v>0.58599999999999997</v>
      </c>
      <c r="BI17" s="4">
        <v>0.505</v>
      </c>
      <c r="BJ17" s="4">
        <v>-3.1429999999999998</v>
      </c>
      <c r="BK17" s="4">
        <v>-8.8999999999999996E-2</v>
      </c>
      <c r="BL17" s="4">
        <v>-3.4729999999999999</v>
      </c>
      <c r="BM17" s="4">
        <v>-4.0640000000000001</v>
      </c>
      <c r="BN17" s="4">
        <v>-1.1950000000000001</v>
      </c>
      <c r="BO17" s="4">
        <v>-6.4809999999999999</v>
      </c>
      <c r="BP17" s="4">
        <v>-1E-3</v>
      </c>
      <c r="BQ17" s="4">
        <v>0.09</v>
      </c>
      <c r="BR17" s="4">
        <v>0.54300000000000004</v>
      </c>
      <c r="BS17" s="4">
        <v>1.47</v>
      </c>
      <c r="BT17" s="4">
        <v>0.86599999999999999</v>
      </c>
      <c r="BU17" s="4">
        <v>1.0940000000000001</v>
      </c>
      <c r="BV17" s="4">
        <v>0.63400000000000001</v>
      </c>
      <c r="BW17" s="4">
        <v>-1.244</v>
      </c>
      <c r="BX17" s="4">
        <v>-1.1359999999999999</v>
      </c>
      <c r="BY17" s="4">
        <v>0.51500000000000001</v>
      </c>
      <c r="BZ17" s="4">
        <v>0.11899999999999999</v>
      </c>
      <c r="CA17" s="4">
        <v>1.5169999999999999</v>
      </c>
      <c r="CB17" s="4">
        <v>0.437</v>
      </c>
      <c r="CC17" s="4">
        <v>-2.19</v>
      </c>
      <c r="CD17" s="4">
        <v>0.91300000000000003</v>
      </c>
      <c r="CE17" s="4">
        <v>-3.101</v>
      </c>
      <c r="CF17" s="4">
        <v>-0.41499999999999998</v>
      </c>
      <c r="CG17" s="4">
        <v>1.21</v>
      </c>
      <c r="CH17" s="4">
        <v>1.0569999999999999</v>
      </c>
      <c r="CI17" s="4">
        <v>-0.751</v>
      </c>
      <c r="CJ17" s="4">
        <v>-3.8540000000000001</v>
      </c>
      <c r="CK17" s="4">
        <v>1.522</v>
      </c>
      <c r="CL17" s="4">
        <v>-5.5819999999999999</v>
      </c>
      <c r="CM17" s="4">
        <v>1.522</v>
      </c>
      <c r="CN17" s="4">
        <v>0.48099999999999998</v>
      </c>
      <c r="CO17" s="4">
        <v>1.071</v>
      </c>
      <c r="CP17" s="4">
        <v>-1.06</v>
      </c>
      <c r="CQ17" s="4">
        <v>1.7210000000000001</v>
      </c>
      <c r="CR17" s="4">
        <v>0.84</v>
      </c>
      <c r="CS17" s="4">
        <v>1.0640000000000001</v>
      </c>
      <c r="CT17" s="4">
        <v>1.083</v>
      </c>
      <c r="CU17" s="4">
        <v>0.439</v>
      </c>
      <c r="CV17" s="4">
        <v>0.81</v>
      </c>
      <c r="CW17" s="4">
        <v>-0.28199999999999997</v>
      </c>
      <c r="CX17" s="4">
        <v>0.53700000000000003</v>
      </c>
      <c r="CY17" s="4">
        <v>0.59399999999999997</v>
      </c>
      <c r="CZ17" s="4">
        <v>1.1140000000000001</v>
      </c>
      <c r="DA17" s="4">
        <v>-5.1189999999999998</v>
      </c>
      <c r="DB17" s="4">
        <v>0.21199999999999999</v>
      </c>
      <c r="DC17" s="4">
        <v>-2.7850000000000001</v>
      </c>
      <c r="DD17" s="4">
        <v>-3.5880000000000001</v>
      </c>
      <c r="DE17" s="4">
        <v>1.607</v>
      </c>
      <c r="DF17" s="4">
        <v>-7.766</v>
      </c>
      <c r="DG17" s="4">
        <v>0.99299999999999999</v>
      </c>
      <c r="DH17" s="4">
        <v>1.5409999999999999</v>
      </c>
      <c r="DI17" s="4">
        <v>-0.52200000000000002</v>
      </c>
      <c r="DJ17" s="4">
        <v>1.6879999999999999</v>
      </c>
      <c r="DK17" s="4">
        <v>0.16800000000000001</v>
      </c>
      <c r="DL17" s="4">
        <v>0.54600000000000004</v>
      </c>
      <c r="DM17" s="4">
        <v>1.7669999999999999</v>
      </c>
      <c r="DN17" s="4">
        <v>1.7000000000000001E-2</v>
      </c>
      <c r="DO17" s="4">
        <v>0.72</v>
      </c>
      <c r="DP17" s="4">
        <v>-7.0919999999999996</v>
      </c>
      <c r="DQ17" s="4">
        <v>0.161</v>
      </c>
      <c r="DR17" s="4">
        <v>1.2909999999999999</v>
      </c>
      <c r="DS17" s="4">
        <v>0.6</v>
      </c>
      <c r="DT17" s="4">
        <v>0.36099999999999999</v>
      </c>
      <c r="DU17" s="4">
        <v>-1.4359999999999999</v>
      </c>
      <c r="DV17" s="4">
        <v>-1.6259999999999999</v>
      </c>
      <c r="DW17" s="4">
        <v>1.6850000000000001</v>
      </c>
      <c r="DX17" s="4">
        <v>6.0000000000000001E-3</v>
      </c>
      <c r="DY17" s="4">
        <v>0.63700000000000001</v>
      </c>
      <c r="DZ17" s="4">
        <v>1.637</v>
      </c>
      <c r="EA17" s="4">
        <v>1.5529999999999999</v>
      </c>
      <c r="EB17" s="4">
        <v>0.48599999999999999</v>
      </c>
      <c r="EC17" s="4">
        <v>-6.9530000000000003</v>
      </c>
      <c r="ED17" s="4">
        <v>1.421</v>
      </c>
      <c r="EE17" s="4">
        <v>1.6419999999999999</v>
      </c>
      <c r="EF17" s="4">
        <v>0.29199999999999998</v>
      </c>
      <c r="EG17" s="4">
        <v>0.55600000000000005</v>
      </c>
      <c r="EH17" s="4">
        <v>-1.0760000000000001</v>
      </c>
      <c r="EI17" s="4">
        <v>0.79900000000000004</v>
      </c>
      <c r="EJ17" s="4">
        <v>0.24</v>
      </c>
      <c r="EK17" s="4">
        <v>1.2849999999999999</v>
      </c>
      <c r="EL17" s="4">
        <v>1.0369999999999999</v>
      </c>
      <c r="EM17" s="4">
        <v>1.07</v>
      </c>
      <c r="EN17" s="4">
        <v>-0.32300000000000001</v>
      </c>
      <c r="EO17" s="4">
        <v>0.78</v>
      </c>
      <c r="EP17" s="4">
        <v>0.70799999999999996</v>
      </c>
      <c r="EQ17" s="4">
        <v>-1.7869999999999999</v>
      </c>
      <c r="ER17" s="4">
        <v>1.9419999999999999</v>
      </c>
      <c r="ES17" s="4">
        <v>-0.879</v>
      </c>
      <c r="ET17" s="4">
        <v>-2.8679999999999999</v>
      </c>
      <c r="EU17" s="4">
        <v>1.788</v>
      </c>
      <c r="EV17" s="4">
        <v>-3.0249999999999999</v>
      </c>
      <c r="EW17" s="4">
        <v>1.8049999999999999</v>
      </c>
      <c r="EX17" s="4">
        <v>-4.2439999999999998</v>
      </c>
      <c r="EY17" s="4">
        <v>0.13500000000000001</v>
      </c>
      <c r="EZ17" s="4">
        <v>1.9870000000000001</v>
      </c>
      <c r="FA17" s="4">
        <v>-2.4350000000000001</v>
      </c>
      <c r="FB17" s="4">
        <v>1.0780000000000001</v>
      </c>
      <c r="FC17" s="4">
        <v>0.95199999999999996</v>
      </c>
      <c r="FD17" s="4">
        <v>0.45</v>
      </c>
      <c r="FE17" s="4">
        <v>1.1519999999999999</v>
      </c>
      <c r="FF17" s="4">
        <v>0.61099999999999999</v>
      </c>
      <c r="FG17" s="4">
        <v>1.397</v>
      </c>
      <c r="FH17" s="4">
        <v>1.35</v>
      </c>
      <c r="FI17" s="4">
        <v>-1.222</v>
      </c>
      <c r="FJ17" s="4">
        <v>1.4279999999999999</v>
      </c>
      <c r="FK17" s="4">
        <v>0.59499999999999997</v>
      </c>
      <c r="FL17" s="4">
        <v>1.1180000000000001</v>
      </c>
      <c r="FM17" s="4">
        <v>-1.105</v>
      </c>
      <c r="FN17" s="4">
        <v>1.355</v>
      </c>
      <c r="FO17" s="4">
        <v>-0.61699999999999999</v>
      </c>
      <c r="FP17" s="4">
        <v>-0.54700000000000004</v>
      </c>
      <c r="FQ17" s="4">
        <v>-0.72299999999999998</v>
      </c>
      <c r="FR17" s="4">
        <v>-1.0249999999999999</v>
      </c>
      <c r="FS17" s="4">
        <v>-1.5820000000000001</v>
      </c>
      <c r="FT17" s="4">
        <v>0.67500000000000004</v>
      </c>
      <c r="FU17" s="4">
        <v>0.95799999999999996</v>
      </c>
      <c r="FV17" s="4">
        <v>-3.7749999999999999</v>
      </c>
      <c r="FW17" s="4">
        <v>0.99099999999999999</v>
      </c>
      <c r="FX17" s="4">
        <v>0.76600000000000001</v>
      </c>
      <c r="FY17" s="4">
        <v>0.66700000000000004</v>
      </c>
      <c r="FZ17" s="4">
        <v>1.2230000000000001</v>
      </c>
      <c r="GA17" s="4">
        <v>-0.85799999999999998</v>
      </c>
      <c r="GB17" s="4">
        <v>1.9810000000000001</v>
      </c>
      <c r="GC17" s="4">
        <v>0.96</v>
      </c>
      <c r="GD17" s="4">
        <v>1.0429999999999999</v>
      </c>
      <c r="GE17" s="4">
        <v>0.50900000000000001</v>
      </c>
      <c r="GF17" s="4">
        <v>1.0489999999999999</v>
      </c>
      <c r="GG17" s="4">
        <v>-1.4450000000000001</v>
      </c>
      <c r="GH17" s="4">
        <v>-1.766</v>
      </c>
      <c r="GI17" s="4">
        <v>1.468</v>
      </c>
      <c r="GJ17" s="4">
        <v>0.88300000000000001</v>
      </c>
      <c r="GK17" s="4">
        <v>1.1259999999999999</v>
      </c>
      <c r="GL17" s="4">
        <v>1.1020000000000001</v>
      </c>
      <c r="GM17" s="4">
        <v>0.96499999999999997</v>
      </c>
      <c r="GN17" s="4">
        <v>-2.73</v>
      </c>
      <c r="GO17" s="4">
        <v>0.72599999999999998</v>
      </c>
      <c r="GP17" s="4">
        <v>-2.4239999999999999</v>
      </c>
      <c r="GQ17" s="4">
        <v>-4.5069999999999997</v>
      </c>
      <c r="GR17" s="4">
        <v>-4.3390000000000004</v>
      </c>
      <c r="GS17" s="4">
        <v>1.0169999999999999</v>
      </c>
      <c r="GT17" s="4">
        <v>-5.7240000000000002</v>
      </c>
      <c r="GU17" s="4">
        <v>1.2210000000000001</v>
      </c>
      <c r="GV17" s="4">
        <v>-2.8570000000000002</v>
      </c>
      <c r="GW17" s="4">
        <v>-1.56</v>
      </c>
      <c r="GX17" s="4">
        <v>-6.1059999999999999</v>
      </c>
      <c r="GY17" s="4">
        <v>-1.355</v>
      </c>
      <c r="GZ17" s="4">
        <v>1.71</v>
      </c>
      <c r="HA17" s="4">
        <v>0.39600000000000002</v>
      </c>
      <c r="HB17" s="4">
        <v>-0.38900000000000001</v>
      </c>
      <c r="HC17" s="4">
        <v>0.90800000000000003</v>
      </c>
      <c r="HD17" s="4">
        <v>-3.907</v>
      </c>
      <c r="HE17" s="4">
        <v>-0.27500000000000002</v>
      </c>
      <c r="HF17" s="4">
        <v>-4.6840000000000002</v>
      </c>
      <c r="HG17" s="4">
        <v>1.1850000000000001</v>
      </c>
      <c r="HH17" s="4">
        <v>-0.67600000000000005</v>
      </c>
      <c r="HI17" s="4">
        <v>-0.33500000000000002</v>
      </c>
      <c r="HJ17" s="4">
        <v>0.58899999999999997</v>
      </c>
      <c r="HK17" s="4">
        <v>1.9790000000000001</v>
      </c>
      <c r="HL17" s="4">
        <v>1.1399999999999999</v>
      </c>
      <c r="HM17" s="4">
        <v>0.52800000000000002</v>
      </c>
      <c r="HN17" s="4">
        <v>-1.972</v>
      </c>
      <c r="HO17" s="4">
        <v>-0.755</v>
      </c>
      <c r="HP17" s="4">
        <v>0.20300000000000001</v>
      </c>
      <c r="HQ17" s="4">
        <v>1.401</v>
      </c>
      <c r="HR17" s="4">
        <v>0.27400000000000002</v>
      </c>
      <c r="HS17" s="4">
        <v>-0.72099999999999997</v>
      </c>
      <c r="HT17" s="4">
        <v>-8.9999999999999993E-3</v>
      </c>
      <c r="HU17" s="4">
        <v>0.89600000000000002</v>
      </c>
      <c r="HV17" s="4">
        <v>0.751</v>
      </c>
      <c r="HW17" s="4">
        <v>-2.2949999999999999</v>
      </c>
      <c r="HX17" s="4">
        <v>1.0609999999999999</v>
      </c>
      <c r="HY17" s="4">
        <v>1.28</v>
      </c>
      <c r="HZ17" s="4">
        <v>1.73</v>
      </c>
      <c r="IA17" s="4">
        <v>-4.4640000000000004</v>
      </c>
      <c r="IB17" s="4">
        <v>2.0649999999999999</v>
      </c>
      <c r="IC17" s="4">
        <v>1.7569999999999999</v>
      </c>
      <c r="ID17" s="4">
        <v>1.3759999999999999</v>
      </c>
      <c r="IE17" s="4">
        <v>1.2410000000000001</v>
      </c>
      <c r="IF17" s="4">
        <v>1.119</v>
      </c>
      <c r="IG17" s="4">
        <v>-0.71699999999999997</v>
      </c>
      <c r="IH17" s="4">
        <v>-2.274</v>
      </c>
      <c r="II17" s="4">
        <v>-4.1520000000000001</v>
      </c>
      <c r="IJ17" s="4">
        <v>0.53700000000000003</v>
      </c>
      <c r="IK17" s="4">
        <v>1.492</v>
      </c>
      <c r="IL17" s="4">
        <v>-3.137</v>
      </c>
      <c r="IM17" s="4">
        <v>1.222</v>
      </c>
      <c r="IN17" s="4">
        <v>-0.51300000000000001</v>
      </c>
      <c r="IO17" s="4">
        <v>-0.70799999999999996</v>
      </c>
      <c r="IP17" s="4">
        <v>-0.16800000000000001</v>
      </c>
      <c r="IQ17" s="4">
        <v>1.4179999999999999</v>
      </c>
      <c r="IR17" s="4">
        <v>1.5840000000000001</v>
      </c>
      <c r="IS17" s="4">
        <v>-2.6070000000000002</v>
      </c>
      <c r="IT17" s="4">
        <v>0.14399999999999999</v>
      </c>
      <c r="IU17" s="4">
        <v>-2.6120000000000001</v>
      </c>
      <c r="IV17" s="4">
        <v>1.1000000000000001</v>
      </c>
      <c r="IW17" s="4">
        <v>-3.847</v>
      </c>
      <c r="IX17" s="4">
        <v>1.3029999999999999</v>
      </c>
      <c r="IY17" s="4">
        <v>-0.33</v>
      </c>
      <c r="IZ17" s="4">
        <v>0.82199999999999995</v>
      </c>
      <c r="JA17" s="4">
        <v>0.155</v>
      </c>
      <c r="JB17" s="4">
        <v>-0.11600000000000001</v>
      </c>
      <c r="JC17" s="4">
        <v>-1.4219999999999999</v>
      </c>
      <c r="JD17" s="4">
        <v>0.54</v>
      </c>
      <c r="JE17" s="4">
        <v>1.8420000000000001</v>
      </c>
      <c r="JF17" s="4">
        <v>1.254</v>
      </c>
      <c r="JG17" s="4">
        <v>0.71399999999999997</v>
      </c>
      <c r="JH17" s="4">
        <v>1.569</v>
      </c>
      <c r="JI17" s="4">
        <v>-0.91400000000000003</v>
      </c>
      <c r="JJ17" s="4">
        <v>3.2000000000000001E-2</v>
      </c>
      <c r="JK17" s="4">
        <v>7.0000000000000007E-2</v>
      </c>
      <c r="JL17" s="4">
        <v>2.0030000000000001</v>
      </c>
      <c r="JM17" s="4">
        <v>1.2310000000000001</v>
      </c>
      <c r="JN17" s="4">
        <v>0.88200000000000001</v>
      </c>
      <c r="JO17" s="4">
        <v>1.3149999999999999</v>
      </c>
      <c r="JP17" s="4">
        <v>1.5029999999999999</v>
      </c>
      <c r="JQ17" s="4">
        <v>0.63100000000000001</v>
      </c>
      <c r="JR17" s="4">
        <v>-0.43099999999999999</v>
      </c>
      <c r="JS17" s="4">
        <v>-1.482</v>
      </c>
      <c r="JT17" s="4">
        <v>0.76500000000000001</v>
      </c>
      <c r="JU17" s="4">
        <v>0.86599999999999999</v>
      </c>
      <c r="JV17" s="4">
        <v>0.38600000000000001</v>
      </c>
      <c r="JW17" s="4">
        <v>0.84199999999999997</v>
      </c>
      <c r="JX17" s="4">
        <v>-5.6000000000000001E-2</v>
      </c>
      <c r="JY17" s="4">
        <v>0.97</v>
      </c>
      <c r="JZ17" s="4">
        <v>0.70299999999999996</v>
      </c>
      <c r="KA17" s="4">
        <v>1.3109999999999999</v>
      </c>
      <c r="KB17" s="4">
        <v>-2.0790000000000002</v>
      </c>
      <c r="KC17" s="4">
        <v>-1.6279999999999999</v>
      </c>
      <c r="KD17" s="4">
        <v>0.91800000000000004</v>
      </c>
      <c r="KE17" s="4">
        <v>1.4319999999999999</v>
      </c>
      <c r="KF17" s="4">
        <v>0.52100000000000002</v>
      </c>
      <c r="KG17" s="4">
        <v>1.2869999999999999</v>
      </c>
      <c r="KH17" s="4">
        <v>0.20799999999999999</v>
      </c>
      <c r="KI17" s="4">
        <v>0.24299999999999999</v>
      </c>
      <c r="KJ17" s="4">
        <v>1.506</v>
      </c>
      <c r="KK17" s="4">
        <v>0.22</v>
      </c>
      <c r="KL17" s="4">
        <v>-0.21299999999999999</v>
      </c>
      <c r="KM17" s="4">
        <v>-3.7730000000000001</v>
      </c>
      <c r="KN17" s="4">
        <v>0.35</v>
      </c>
      <c r="KO17" s="4">
        <v>-2.7559999999999998</v>
      </c>
      <c r="KP17" s="4">
        <v>0.53</v>
      </c>
      <c r="KQ17" s="4">
        <v>1.577</v>
      </c>
      <c r="KR17" s="4">
        <v>-0.218</v>
      </c>
      <c r="KS17" s="4">
        <v>1.7250000000000001</v>
      </c>
    </row>
    <row r="18" spans="1:308" x14ac:dyDescent="0.25">
      <c r="A18" s="4">
        <v>2015</v>
      </c>
      <c r="B18" s="4">
        <v>3</v>
      </c>
      <c r="C18" s="4">
        <v>-3.4449999999999998</v>
      </c>
      <c r="D18" s="4">
        <v>2.6440000000000001</v>
      </c>
      <c r="E18" s="4">
        <v>3.9380000000000002</v>
      </c>
      <c r="F18" s="4">
        <v>3.2639999999999998</v>
      </c>
      <c r="G18" s="4">
        <v>3.2360000000000002</v>
      </c>
      <c r="H18" s="4">
        <v>0.36499999999999999</v>
      </c>
      <c r="I18" s="4">
        <v>3.1970000000000001</v>
      </c>
      <c r="J18" s="4">
        <v>-0.47</v>
      </c>
      <c r="K18" s="4">
        <v>3.1509999999999998</v>
      </c>
      <c r="L18" s="4">
        <v>4.2969999999999997</v>
      </c>
      <c r="M18" s="4">
        <v>0.56899999999999995</v>
      </c>
      <c r="N18" s="4">
        <v>2.9430000000000001</v>
      </c>
      <c r="O18" s="4">
        <v>-0.33400000000000002</v>
      </c>
      <c r="P18" s="4">
        <v>2.298</v>
      </c>
      <c r="Q18" s="4">
        <v>-3.8450000000000002</v>
      </c>
      <c r="R18" s="4">
        <v>-2.5339999999999998</v>
      </c>
      <c r="S18" s="4">
        <v>2.7080000000000002</v>
      </c>
      <c r="T18" s="4">
        <v>2.5720000000000001</v>
      </c>
      <c r="U18" s="4">
        <v>2.57</v>
      </c>
      <c r="V18" s="4">
        <v>2.7650000000000001</v>
      </c>
      <c r="W18" s="4">
        <v>1.9259999999999999</v>
      </c>
      <c r="X18" s="4">
        <v>4.2249999999999996</v>
      </c>
      <c r="Y18" s="4">
        <v>2.694</v>
      </c>
      <c r="Z18" s="4">
        <v>-0.40100000000000002</v>
      </c>
      <c r="AA18" s="4">
        <v>4.4530000000000003</v>
      </c>
      <c r="AB18" s="4">
        <v>-0.88500000000000001</v>
      </c>
      <c r="AC18" s="4">
        <v>3.42</v>
      </c>
      <c r="AD18" s="4">
        <v>1.284</v>
      </c>
      <c r="AE18" s="4">
        <v>3.0470000000000002</v>
      </c>
      <c r="AF18" s="4">
        <v>4.117</v>
      </c>
      <c r="AG18" s="4">
        <v>1.7490000000000001</v>
      </c>
      <c r="AH18" s="4">
        <v>2.7570000000000001</v>
      </c>
      <c r="AI18" s="4">
        <v>-4.1000000000000002E-2</v>
      </c>
      <c r="AJ18" s="4">
        <v>4.0119999999999996</v>
      </c>
      <c r="AK18" s="4">
        <v>4.2560000000000002</v>
      </c>
      <c r="AL18" s="4">
        <v>4.8410000000000002</v>
      </c>
      <c r="AM18" s="4">
        <v>2.31</v>
      </c>
      <c r="AN18" s="4">
        <v>3.3559999999999999</v>
      </c>
      <c r="AO18" s="4">
        <v>2.21</v>
      </c>
      <c r="AP18" s="4">
        <v>1.095</v>
      </c>
      <c r="AQ18" s="4">
        <v>-1.3740000000000001</v>
      </c>
      <c r="AR18" s="4">
        <v>1.042</v>
      </c>
      <c r="AS18" s="4">
        <v>2.5619999999999998</v>
      </c>
      <c r="AT18" s="4">
        <v>2.621</v>
      </c>
      <c r="AU18" s="4">
        <v>3.2440000000000002</v>
      </c>
      <c r="AV18" s="4">
        <v>2.7679999999999998</v>
      </c>
      <c r="AW18" s="4">
        <v>2.8580000000000001</v>
      </c>
      <c r="AX18" s="4">
        <v>4.415</v>
      </c>
      <c r="AY18" s="4">
        <v>3.4580000000000002</v>
      </c>
      <c r="AZ18" s="4">
        <v>1.8720000000000001</v>
      </c>
      <c r="BA18" s="4">
        <v>4.13</v>
      </c>
      <c r="BB18" s="4">
        <v>3.0190000000000001</v>
      </c>
      <c r="BC18" s="4">
        <v>4.5860000000000003</v>
      </c>
      <c r="BD18" s="4">
        <v>1.802</v>
      </c>
      <c r="BE18" s="4">
        <v>2.9550000000000001</v>
      </c>
      <c r="BF18" s="4">
        <v>1.633</v>
      </c>
      <c r="BG18" s="4">
        <v>2.3719999999999999</v>
      </c>
      <c r="BH18" s="4">
        <v>3.1280000000000001</v>
      </c>
      <c r="BI18" s="4">
        <v>2.7759999999999998</v>
      </c>
      <c r="BJ18" s="4">
        <v>-0.251</v>
      </c>
      <c r="BK18" s="4">
        <v>2.944</v>
      </c>
      <c r="BL18" s="4">
        <v>-1.2210000000000001</v>
      </c>
      <c r="BM18" s="4">
        <v>-2.0089999999999999</v>
      </c>
      <c r="BN18" s="4">
        <v>1.4039999999999999</v>
      </c>
      <c r="BO18" s="4">
        <v>-3.266</v>
      </c>
      <c r="BP18" s="4">
        <v>2.282</v>
      </c>
      <c r="BQ18" s="4">
        <v>3.0750000000000002</v>
      </c>
      <c r="BR18" s="4">
        <v>2.5720000000000001</v>
      </c>
      <c r="BS18" s="4">
        <v>4.298</v>
      </c>
      <c r="BT18" s="4">
        <v>3.5840000000000001</v>
      </c>
      <c r="BU18" s="4">
        <v>3.609</v>
      </c>
      <c r="BV18" s="4">
        <v>3.0070000000000001</v>
      </c>
      <c r="BW18" s="4">
        <v>1.746</v>
      </c>
      <c r="BX18" s="4">
        <v>1.4410000000000001</v>
      </c>
      <c r="BY18" s="4">
        <v>2.8450000000000002</v>
      </c>
      <c r="BZ18" s="4">
        <v>2.722</v>
      </c>
      <c r="CA18" s="4">
        <v>4.3109999999999999</v>
      </c>
      <c r="CB18" s="4">
        <v>3.14</v>
      </c>
      <c r="CC18" s="4">
        <v>0.42099999999999999</v>
      </c>
      <c r="CD18" s="4">
        <v>2.74</v>
      </c>
      <c r="CE18" s="4">
        <v>-1.2470000000000001</v>
      </c>
      <c r="CF18" s="4">
        <v>1.159</v>
      </c>
      <c r="CG18" s="4">
        <v>4.1219999999999999</v>
      </c>
      <c r="CH18" s="4">
        <v>3.714</v>
      </c>
      <c r="CI18" s="4">
        <v>1.8220000000000001</v>
      </c>
      <c r="CJ18" s="4">
        <v>-1.6120000000000001</v>
      </c>
      <c r="CK18" s="4">
        <v>4.5220000000000002</v>
      </c>
      <c r="CL18" s="4">
        <v>-4.2640000000000002</v>
      </c>
      <c r="CM18" s="4">
        <v>3.3679999999999999</v>
      </c>
      <c r="CN18" s="4">
        <v>3.1589999999999998</v>
      </c>
      <c r="CO18" s="4">
        <v>3.5870000000000002</v>
      </c>
      <c r="CP18" s="4">
        <v>1.554</v>
      </c>
      <c r="CQ18" s="4">
        <v>4.4459999999999997</v>
      </c>
      <c r="CR18" s="4">
        <v>3.4390000000000001</v>
      </c>
      <c r="CS18" s="4">
        <v>3.9489999999999998</v>
      </c>
      <c r="CT18" s="4">
        <v>3.9689999999999999</v>
      </c>
      <c r="CU18" s="4">
        <v>3.0219999999999998</v>
      </c>
      <c r="CV18" s="4">
        <v>2.794</v>
      </c>
      <c r="CW18" s="4">
        <v>1.5940000000000001</v>
      </c>
      <c r="CX18" s="4">
        <v>3.109</v>
      </c>
      <c r="CY18" s="4">
        <v>3.35</v>
      </c>
      <c r="CZ18" s="4">
        <v>3.4569999999999999</v>
      </c>
      <c r="DA18" s="4">
        <v>-2.3330000000000002</v>
      </c>
      <c r="DB18" s="4">
        <v>3.2490000000000001</v>
      </c>
      <c r="DC18" s="4">
        <v>-0.27800000000000002</v>
      </c>
      <c r="DD18" s="4">
        <v>-1.429</v>
      </c>
      <c r="DE18" s="4">
        <v>4.1130000000000004</v>
      </c>
      <c r="DF18" s="4">
        <v>-3.391</v>
      </c>
      <c r="DG18" s="4">
        <v>3.399</v>
      </c>
      <c r="DH18" s="4">
        <v>3.927</v>
      </c>
      <c r="DI18" s="4">
        <v>1.9890000000000001</v>
      </c>
      <c r="DJ18" s="4">
        <v>4.0369999999999999</v>
      </c>
      <c r="DK18" s="4">
        <v>3.121</v>
      </c>
      <c r="DL18" s="4">
        <v>2.95</v>
      </c>
      <c r="DM18" s="4">
        <v>4.6900000000000004</v>
      </c>
      <c r="DN18" s="4">
        <v>2.9159999999999999</v>
      </c>
      <c r="DO18" s="4">
        <v>3.6320000000000001</v>
      </c>
      <c r="DP18" s="4">
        <v>-3.4089999999999998</v>
      </c>
      <c r="DQ18" s="4">
        <v>2.7240000000000002</v>
      </c>
      <c r="DR18" s="4">
        <v>4.0789999999999997</v>
      </c>
      <c r="DS18" s="4">
        <v>2.9529999999999998</v>
      </c>
      <c r="DT18" s="4">
        <v>2.875</v>
      </c>
      <c r="DU18" s="4">
        <v>1.2250000000000001</v>
      </c>
      <c r="DV18" s="4">
        <v>0.41899999999999998</v>
      </c>
      <c r="DW18" s="4">
        <v>4.3540000000000001</v>
      </c>
      <c r="DX18" s="4">
        <v>2.722</v>
      </c>
      <c r="DY18" s="4">
        <v>3.0009999999999999</v>
      </c>
      <c r="DZ18" s="4">
        <v>4.2009999999999996</v>
      </c>
      <c r="EA18" s="4">
        <v>4.2370000000000001</v>
      </c>
      <c r="EB18" s="4">
        <v>2.907</v>
      </c>
      <c r="EC18" s="4">
        <v>-3.931</v>
      </c>
      <c r="ED18" s="4">
        <v>4.1920000000000002</v>
      </c>
      <c r="EE18" s="4">
        <v>4.5039999999999996</v>
      </c>
      <c r="EF18" s="4">
        <v>2.6379999999999999</v>
      </c>
      <c r="EG18" s="4">
        <v>2.9420000000000002</v>
      </c>
      <c r="EH18" s="4">
        <v>1.6339999999999999</v>
      </c>
      <c r="EI18" s="4">
        <v>3.5819999999999999</v>
      </c>
      <c r="EJ18" s="4">
        <v>3.0129999999999999</v>
      </c>
      <c r="EK18" s="4">
        <v>3.343</v>
      </c>
      <c r="EL18" s="4">
        <v>3.7149999999999999</v>
      </c>
      <c r="EM18" s="4">
        <v>3.5920000000000001</v>
      </c>
      <c r="EN18" s="4">
        <v>2.1339999999999999</v>
      </c>
      <c r="EO18" s="4">
        <v>3.47</v>
      </c>
      <c r="EP18" s="4">
        <v>3.24</v>
      </c>
      <c r="EQ18" s="4">
        <v>1.0349999999999999</v>
      </c>
      <c r="ER18" s="4">
        <v>4.8410000000000002</v>
      </c>
      <c r="ES18" s="4">
        <v>1.7010000000000001</v>
      </c>
      <c r="ET18" s="4">
        <v>-0.22800000000000001</v>
      </c>
      <c r="EU18" s="4">
        <v>4.7140000000000004</v>
      </c>
      <c r="EV18" s="4">
        <v>-1.056</v>
      </c>
      <c r="EW18" s="4">
        <v>3.879</v>
      </c>
      <c r="EX18" s="4">
        <v>-2.1110000000000002</v>
      </c>
      <c r="EY18" s="4">
        <v>2.907</v>
      </c>
      <c r="EZ18" s="4">
        <v>4.7880000000000003</v>
      </c>
      <c r="FA18" s="4">
        <v>0.53800000000000003</v>
      </c>
      <c r="FB18" s="4">
        <v>4.0449999999999999</v>
      </c>
      <c r="FC18" s="4">
        <v>3.661</v>
      </c>
      <c r="FD18" s="4">
        <v>2.786</v>
      </c>
      <c r="FE18" s="4">
        <v>3.4420000000000002</v>
      </c>
      <c r="FF18" s="4">
        <v>3.3079999999999998</v>
      </c>
      <c r="FG18" s="4">
        <v>4.2960000000000003</v>
      </c>
      <c r="FH18" s="4">
        <v>3.8679999999999999</v>
      </c>
      <c r="FI18" s="4">
        <v>1.643</v>
      </c>
      <c r="FJ18" s="4">
        <v>4.07</v>
      </c>
      <c r="FK18" s="4">
        <v>3.2519999999999998</v>
      </c>
      <c r="FL18" s="4">
        <v>3.4220000000000002</v>
      </c>
      <c r="FM18" s="4">
        <v>1.956</v>
      </c>
      <c r="FN18" s="4">
        <v>3.4740000000000002</v>
      </c>
      <c r="FO18" s="4">
        <v>2.371</v>
      </c>
      <c r="FP18" s="4">
        <v>1.8240000000000001</v>
      </c>
      <c r="FQ18" s="4">
        <v>1.7310000000000001</v>
      </c>
      <c r="FR18" s="4">
        <v>0.996</v>
      </c>
      <c r="FS18" s="4">
        <v>0.192</v>
      </c>
      <c r="FT18" s="4">
        <v>3.2879999999999998</v>
      </c>
      <c r="FU18" s="4">
        <v>2.5209999999999999</v>
      </c>
      <c r="FV18" s="4">
        <v>-1.6259999999999999</v>
      </c>
      <c r="FW18" s="4">
        <v>3.4569999999999999</v>
      </c>
      <c r="FX18" s="4">
        <v>3.0219999999999998</v>
      </c>
      <c r="FY18" s="4">
        <v>2.8029999999999999</v>
      </c>
      <c r="FZ18" s="4">
        <v>2.702</v>
      </c>
      <c r="GA18" s="4">
        <v>1.476</v>
      </c>
      <c r="GB18" s="4">
        <v>4.4139999999999997</v>
      </c>
      <c r="GC18" s="4">
        <v>3.51</v>
      </c>
      <c r="GD18" s="4">
        <v>3.625</v>
      </c>
      <c r="GE18" s="4">
        <v>2.8889999999999998</v>
      </c>
      <c r="GF18" s="4">
        <v>3.7490000000000001</v>
      </c>
      <c r="GG18" s="4">
        <v>0.316</v>
      </c>
      <c r="GH18" s="4">
        <v>1.353</v>
      </c>
      <c r="GI18" s="4">
        <v>3.6259999999999999</v>
      </c>
      <c r="GJ18" s="4">
        <v>3.5110000000000001</v>
      </c>
      <c r="GK18" s="4">
        <v>3.472</v>
      </c>
      <c r="GL18" s="4">
        <v>3.0230000000000001</v>
      </c>
      <c r="GM18" s="4">
        <v>2.8239999999999998</v>
      </c>
      <c r="GN18" s="4">
        <v>0.13700000000000001</v>
      </c>
      <c r="GO18" s="4">
        <v>2.363</v>
      </c>
      <c r="GP18" s="4">
        <v>0.64</v>
      </c>
      <c r="GQ18" s="4">
        <v>-1.19</v>
      </c>
      <c r="GR18" s="4">
        <v>-1.359</v>
      </c>
      <c r="GS18" s="4">
        <v>3.234</v>
      </c>
      <c r="GT18" s="4">
        <v>-2.0699999999999998</v>
      </c>
      <c r="GU18" s="4">
        <v>4.0730000000000004</v>
      </c>
      <c r="GV18" s="4">
        <v>-7.1999999999999995E-2</v>
      </c>
      <c r="GW18" s="4">
        <v>1.3839999999999999</v>
      </c>
      <c r="GX18" s="4">
        <v>-3.6230000000000002</v>
      </c>
      <c r="GY18" s="4">
        <v>0.39600000000000002</v>
      </c>
      <c r="GZ18" s="4">
        <v>4.0270000000000001</v>
      </c>
      <c r="HA18" s="4">
        <v>2.9009999999999998</v>
      </c>
      <c r="HB18" s="4">
        <v>2.2240000000000002</v>
      </c>
      <c r="HC18" s="4">
        <v>3.254</v>
      </c>
      <c r="HD18" s="4">
        <v>-0.86</v>
      </c>
      <c r="HE18" s="4">
        <v>2.0990000000000002</v>
      </c>
      <c r="HF18" s="4">
        <v>-1.548</v>
      </c>
      <c r="HG18" s="4">
        <v>3.4849999999999999</v>
      </c>
      <c r="HH18" s="4">
        <v>1.7649999999999999</v>
      </c>
      <c r="HI18" s="4">
        <v>2.589</v>
      </c>
      <c r="HJ18" s="4">
        <v>2.9670000000000001</v>
      </c>
      <c r="HK18" s="4">
        <v>4.3739999999999997</v>
      </c>
      <c r="HL18" s="4">
        <v>4.1070000000000002</v>
      </c>
      <c r="HM18" s="4">
        <v>3.3849999999999998</v>
      </c>
      <c r="HN18" s="4">
        <v>0.43099999999999999</v>
      </c>
      <c r="HO18" s="4">
        <v>1.7969999999999999</v>
      </c>
      <c r="HP18" s="4">
        <v>2.9710000000000001</v>
      </c>
      <c r="HQ18" s="4">
        <v>4.218</v>
      </c>
      <c r="HR18" s="4">
        <v>2.4470000000000001</v>
      </c>
      <c r="HS18" s="4">
        <v>1.8089999999999999</v>
      </c>
      <c r="HT18" s="4">
        <v>1.887</v>
      </c>
      <c r="HU18" s="4">
        <v>3.2469999999999999</v>
      </c>
      <c r="HV18" s="4">
        <v>3.0030000000000001</v>
      </c>
      <c r="HW18" s="4">
        <v>-0.218</v>
      </c>
      <c r="HX18" s="4">
        <v>3.2719999999999998</v>
      </c>
      <c r="HY18" s="4">
        <v>3.5619999999999998</v>
      </c>
      <c r="HZ18" s="4">
        <v>4.2119999999999997</v>
      </c>
      <c r="IA18" s="4">
        <v>-2.77</v>
      </c>
      <c r="IB18" s="4">
        <v>4.01</v>
      </c>
      <c r="IC18" s="4">
        <v>4.6749999999999998</v>
      </c>
      <c r="ID18" s="4">
        <v>3.827</v>
      </c>
      <c r="IE18" s="4">
        <v>3.5680000000000001</v>
      </c>
      <c r="IF18" s="4">
        <v>3.28</v>
      </c>
      <c r="IG18" s="4">
        <v>1.9950000000000001</v>
      </c>
      <c r="IH18" s="4">
        <v>-0.95699999999999996</v>
      </c>
      <c r="II18" s="4">
        <v>-2.4620000000000002</v>
      </c>
      <c r="IJ18" s="4">
        <v>2.774</v>
      </c>
      <c r="IK18" s="4">
        <v>3.59</v>
      </c>
      <c r="IL18" s="4">
        <v>-0.55800000000000005</v>
      </c>
      <c r="IM18" s="4">
        <v>3.5289999999999999</v>
      </c>
      <c r="IN18" s="4">
        <v>1.444</v>
      </c>
      <c r="IO18" s="4">
        <v>2.1669999999999998</v>
      </c>
      <c r="IP18" s="4">
        <v>2.4569999999999999</v>
      </c>
      <c r="IQ18" s="4">
        <v>4.3940000000000001</v>
      </c>
      <c r="IR18" s="4">
        <v>4.3780000000000001</v>
      </c>
      <c r="IS18" s="4">
        <v>-0.11600000000000001</v>
      </c>
      <c r="IT18" s="4">
        <v>2.9449999999999998</v>
      </c>
      <c r="IU18" s="4">
        <v>2.1000000000000001E-2</v>
      </c>
      <c r="IV18" s="4">
        <v>3.1419999999999999</v>
      </c>
      <c r="IW18" s="4">
        <v>-2.1040000000000001</v>
      </c>
      <c r="IX18" s="4">
        <v>3.4279999999999999</v>
      </c>
      <c r="IY18" s="4">
        <v>2.2370000000000001</v>
      </c>
      <c r="IZ18" s="4">
        <v>3.47</v>
      </c>
      <c r="JA18" s="4">
        <v>3.0550000000000002</v>
      </c>
      <c r="JB18" s="4">
        <v>2.4630000000000001</v>
      </c>
      <c r="JC18" s="4">
        <v>0.81200000000000006</v>
      </c>
      <c r="JD18" s="4">
        <v>3.3090000000000002</v>
      </c>
      <c r="JE18" s="4">
        <v>4.1280000000000001</v>
      </c>
      <c r="JF18" s="4">
        <v>4.0640000000000001</v>
      </c>
      <c r="JG18" s="4">
        <v>3.3719999999999999</v>
      </c>
      <c r="JH18" s="4">
        <v>3.863</v>
      </c>
      <c r="JI18" s="4">
        <v>1.8859999999999999</v>
      </c>
      <c r="JJ18" s="4">
        <v>2.8980000000000001</v>
      </c>
      <c r="JK18" s="4">
        <v>2.8679999999999999</v>
      </c>
      <c r="JL18" s="4">
        <v>4.4660000000000002</v>
      </c>
      <c r="JM18" s="4">
        <v>3.7749999999999999</v>
      </c>
      <c r="JN18" s="4">
        <v>2.81</v>
      </c>
      <c r="JO18" s="4">
        <v>3.1819999999999999</v>
      </c>
      <c r="JP18" s="4">
        <v>3.6520000000000001</v>
      </c>
      <c r="JQ18" s="4">
        <v>3.4409999999999998</v>
      </c>
      <c r="JR18" s="4">
        <v>2.62</v>
      </c>
      <c r="JS18" s="4">
        <v>0.28399999999999997</v>
      </c>
      <c r="JT18" s="4">
        <v>3.097</v>
      </c>
      <c r="JU18" s="4">
        <v>3.133</v>
      </c>
      <c r="JV18" s="4">
        <v>2.786</v>
      </c>
      <c r="JW18" s="4">
        <v>3.496</v>
      </c>
      <c r="JX18" s="4">
        <v>2.88</v>
      </c>
      <c r="JY18" s="4">
        <v>3.2290000000000001</v>
      </c>
      <c r="JZ18" s="4">
        <v>2.7069999999999999</v>
      </c>
      <c r="KA18" s="4">
        <v>3.6459999999999999</v>
      </c>
      <c r="KB18" s="4">
        <v>-0.13800000000000001</v>
      </c>
      <c r="KC18" s="4">
        <v>1.0089999999999999</v>
      </c>
      <c r="KD18" s="4">
        <v>3.6080000000000001</v>
      </c>
      <c r="KE18" s="4">
        <v>4.04</v>
      </c>
      <c r="KF18" s="4">
        <v>3.1709999999999998</v>
      </c>
      <c r="KG18" s="4">
        <v>3.13</v>
      </c>
      <c r="KH18" s="4">
        <v>3.1869999999999998</v>
      </c>
      <c r="KI18" s="4">
        <v>2.8380000000000001</v>
      </c>
      <c r="KJ18" s="4">
        <v>3.734</v>
      </c>
      <c r="KK18" s="4">
        <v>3.222</v>
      </c>
      <c r="KL18" s="4">
        <v>2.6739999999999999</v>
      </c>
      <c r="KM18" s="4">
        <v>-1.8560000000000001</v>
      </c>
      <c r="KN18" s="4">
        <v>3.0830000000000002</v>
      </c>
      <c r="KO18" s="4">
        <v>-0.56000000000000005</v>
      </c>
      <c r="KP18" s="4">
        <v>2.9510000000000001</v>
      </c>
      <c r="KQ18" s="4">
        <v>3.512</v>
      </c>
      <c r="KR18" s="4">
        <v>2.4910000000000001</v>
      </c>
      <c r="KS18" s="4">
        <v>4.2370000000000001</v>
      </c>
      <c r="KV18" t="s">
        <v>338</v>
      </c>
    </row>
    <row r="19" spans="1:308" x14ac:dyDescent="0.25">
      <c r="A19" s="4">
        <v>2015</v>
      </c>
      <c r="B19" s="4">
        <v>4</v>
      </c>
      <c r="C19" s="4">
        <v>-1.2050000000000001</v>
      </c>
      <c r="D19" s="4">
        <v>5.6479999999999997</v>
      </c>
      <c r="E19" s="4">
        <v>6.6070000000000002</v>
      </c>
      <c r="F19" s="4">
        <v>5.7969999999999997</v>
      </c>
      <c r="G19" s="4">
        <v>5.82</v>
      </c>
      <c r="H19" s="4">
        <v>3.3340000000000001</v>
      </c>
      <c r="I19" s="4">
        <v>6.0019999999999998</v>
      </c>
      <c r="J19" s="4">
        <v>2.7829999999999999</v>
      </c>
      <c r="K19" s="4">
        <v>6.3789999999999996</v>
      </c>
      <c r="L19" s="4">
        <v>6.6459999999999999</v>
      </c>
      <c r="M19" s="4">
        <v>3.3090000000000002</v>
      </c>
      <c r="N19" s="4">
        <v>6.9610000000000003</v>
      </c>
      <c r="O19" s="4">
        <v>1.165</v>
      </c>
      <c r="P19" s="4">
        <v>5.3330000000000002</v>
      </c>
      <c r="Q19" s="4">
        <v>0.46100000000000002</v>
      </c>
      <c r="R19" s="4">
        <v>0.88</v>
      </c>
      <c r="S19" s="4">
        <v>5.9009999999999998</v>
      </c>
      <c r="T19" s="4">
        <v>6.1360000000000001</v>
      </c>
      <c r="U19" s="4">
        <v>5.9009999999999998</v>
      </c>
      <c r="V19" s="4">
        <v>6.641</v>
      </c>
      <c r="W19" s="4">
        <v>5.8879999999999999</v>
      </c>
      <c r="X19" s="4">
        <v>6.4859999999999998</v>
      </c>
      <c r="Y19" s="4">
        <v>5.7750000000000004</v>
      </c>
      <c r="Z19" s="4">
        <v>2.8</v>
      </c>
      <c r="AA19" s="4">
        <v>6.91</v>
      </c>
      <c r="AB19" s="4">
        <v>2.153</v>
      </c>
      <c r="AC19" s="4">
        <v>5.8559999999999999</v>
      </c>
      <c r="AD19" s="4">
        <v>4.9390000000000001</v>
      </c>
      <c r="AE19" s="4">
        <v>5.7160000000000002</v>
      </c>
      <c r="AF19" s="4">
        <v>7.6239999999999997</v>
      </c>
      <c r="AG19" s="4">
        <v>5.7279999999999998</v>
      </c>
      <c r="AH19" s="4">
        <v>6.3330000000000002</v>
      </c>
      <c r="AI19" s="4">
        <v>2.4009999999999998</v>
      </c>
      <c r="AJ19" s="4">
        <v>6.7290000000000001</v>
      </c>
      <c r="AK19" s="4">
        <v>7.2590000000000003</v>
      </c>
      <c r="AL19" s="4">
        <v>7.8360000000000003</v>
      </c>
      <c r="AM19" s="4">
        <v>5.6020000000000003</v>
      </c>
      <c r="AN19" s="4">
        <v>6.92</v>
      </c>
      <c r="AO19" s="4">
        <v>5.6760000000000002</v>
      </c>
      <c r="AP19" s="4">
        <v>4.673</v>
      </c>
      <c r="AQ19" s="4">
        <v>1.7649999999999999</v>
      </c>
      <c r="AR19" s="4">
        <v>4.4290000000000003</v>
      </c>
      <c r="AS19" s="4">
        <v>5.5949999999999998</v>
      </c>
      <c r="AT19" s="4">
        <v>5.85</v>
      </c>
      <c r="AU19" s="4">
        <v>6.7750000000000004</v>
      </c>
      <c r="AV19" s="4">
        <v>6.2919999999999998</v>
      </c>
      <c r="AW19" s="4">
        <v>6.7670000000000003</v>
      </c>
      <c r="AX19" s="4">
        <v>7.2889999999999997</v>
      </c>
      <c r="AY19" s="4">
        <v>6.24</v>
      </c>
      <c r="AZ19" s="4">
        <v>5.8109999999999999</v>
      </c>
      <c r="BA19" s="4">
        <v>6.4189999999999996</v>
      </c>
      <c r="BB19" s="4">
        <v>5.734</v>
      </c>
      <c r="BC19" s="4">
        <v>7.2389999999999999</v>
      </c>
      <c r="BD19" s="4">
        <v>5.62</v>
      </c>
      <c r="BE19" s="4">
        <v>5.984</v>
      </c>
      <c r="BF19" s="4">
        <v>5.1669999999999998</v>
      </c>
      <c r="BG19" s="4">
        <v>5.6970000000000001</v>
      </c>
      <c r="BH19" s="4">
        <v>6.867</v>
      </c>
      <c r="BI19" s="4">
        <v>6.9169999999999998</v>
      </c>
      <c r="BJ19" s="4">
        <v>1.9059999999999999</v>
      </c>
      <c r="BK19" s="4">
        <v>6.2279999999999998</v>
      </c>
      <c r="BL19" s="4">
        <v>2.1280000000000001</v>
      </c>
      <c r="BM19" s="4">
        <v>1.244</v>
      </c>
      <c r="BN19" s="4">
        <v>5.01</v>
      </c>
      <c r="BO19" s="4">
        <v>0.51500000000000001</v>
      </c>
      <c r="BP19" s="4">
        <v>6.0529999999999999</v>
      </c>
      <c r="BQ19" s="4">
        <v>5.673</v>
      </c>
      <c r="BR19" s="4">
        <v>6.4169999999999998</v>
      </c>
      <c r="BS19" s="4">
        <v>6.8550000000000004</v>
      </c>
      <c r="BT19" s="4">
        <v>6.2450000000000001</v>
      </c>
      <c r="BU19" s="4">
        <v>6.6920000000000002</v>
      </c>
      <c r="BV19" s="4">
        <v>6.6159999999999997</v>
      </c>
      <c r="BW19" s="4">
        <v>4.968</v>
      </c>
      <c r="BX19" s="4">
        <v>5.3179999999999996</v>
      </c>
      <c r="BY19" s="4">
        <v>6.4989999999999997</v>
      </c>
      <c r="BZ19" s="4">
        <v>6.7530000000000001</v>
      </c>
      <c r="CA19" s="4">
        <v>6.4809999999999999</v>
      </c>
      <c r="CB19" s="4">
        <v>6.468</v>
      </c>
      <c r="CC19" s="4">
        <v>3.113</v>
      </c>
      <c r="CD19" s="4">
        <v>6.1609999999999996</v>
      </c>
      <c r="CE19" s="4">
        <v>1.8280000000000001</v>
      </c>
      <c r="CF19" s="4">
        <v>4.6719999999999997</v>
      </c>
      <c r="CG19" s="4">
        <v>6.7430000000000003</v>
      </c>
      <c r="CH19" s="4">
        <v>6.4249999999999998</v>
      </c>
      <c r="CI19" s="4">
        <v>5.6420000000000003</v>
      </c>
      <c r="CJ19" s="4">
        <v>0.81200000000000006</v>
      </c>
      <c r="CK19" s="4">
        <v>7.2130000000000001</v>
      </c>
      <c r="CL19" s="4">
        <v>-1.0589999999999999</v>
      </c>
      <c r="CM19" s="4">
        <v>6.3620000000000001</v>
      </c>
      <c r="CN19" s="4">
        <v>5.5709999999999997</v>
      </c>
      <c r="CO19" s="4">
        <v>6.5250000000000004</v>
      </c>
      <c r="CP19" s="4">
        <v>5.2750000000000004</v>
      </c>
      <c r="CQ19" s="4">
        <v>6.9930000000000003</v>
      </c>
      <c r="CR19" s="4">
        <v>7.6059999999999999</v>
      </c>
      <c r="CS19" s="4">
        <v>6.83</v>
      </c>
      <c r="CT19" s="4">
        <v>6.851</v>
      </c>
      <c r="CU19" s="4">
        <v>5.7359999999999998</v>
      </c>
      <c r="CV19" s="4">
        <v>6.4240000000000004</v>
      </c>
      <c r="CW19" s="4">
        <v>5.2480000000000002</v>
      </c>
      <c r="CX19" s="4">
        <v>6.9740000000000002</v>
      </c>
      <c r="CY19" s="4">
        <v>5.5759999999999996</v>
      </c>
      <c r="CZ19" s="4">
        <v>7.008</v>
      </c>
      <c r="DA19" s="4">
        <v>1.7030000000000001</v>
      </c>
      <c r="DB19" s="4">
        <v>6.149</v>
      </c>
      <c r="DC19" s="4">
        <v>2.7490000000000001</v>
      </c>
      <c r="DD19" s="4">
        <v>2.0840000000000001</v>
      </c>
      <c r="DE19" s="4">
        <v>7.4130000000000003</v>
      </c>
      <c r="DF19" s="4">
        <v>-0.45900000000000002</v>
      </c>
      <c r="DG19" s="4">
        <v>6.3250000000000002</v>
      </c>
      <c r="DH19" s="4">
        <v>6.7380000000000004</v>
      </c>
      <c r="DI19" s="4">
        <v>5.4340000000000002</v>
      </c>
      <c r="DJ19" s="4">
        <v>6.8650000000000002</v>
      </c>
      <c r="DK19" s="4">
        <v>6.4649999999999999</v>
      </c>
      <c r="DL19" s="4">
        <v>6.8689999999999998</v>
      </c>
      <c r="DM19" s="4">
        <v>7.5140000000000002</v>
      </c>
      <c r="DN19" s="4">
        <v>6.117</v>
      </c>
      <c r="DO19" s="4">
        <v>5.9219999999999997</v>
      </c>
      <c r="DP19" s="4">
        <v>-0.20799999999999999</v>
      </c>
      <c r="DQ19" s="4">
        <v>6.2469999999999999</v>
      </c>
      <c r="DR19" s="4">
        <v>6.5</v>
      </c>
      <c r="DS19" s="4">
        <v>6.3639999999999999</v>
      </c>
      <c r="DT19" s="4">
        <v>6.8479999999999999</v>
      </c>
      <c r="DU19" s="4">
        <v>4.8369999999999997</v>
      </c>
      <c r="DV19" s="4">
        <v>4.1539999999999999</v>
      </c>
      <c r="DW19" s="4">
        <v>7.5659999999999998</v>
      </c>
      <c r="DX19" s="4">
        <v>5.8460000000000001</v>
      </c>
      <c r="DY19" s="4">
        <v>6.6109999999999998</v>
      </c>
      <c r="DZ19" s="4">
        <v>6.6749999999999998</v>
      </c>
      <c r="EA19" s="4">
        <v>6.7</v>
      </c>
      <c r="EB19" s="4">
        <v>7.0039999999999996</v>
      </c>
      <c r="EC19" s="4">
        <v>0.95599999999999996</v>
      </c>
      <c r="ED19" s="4">
        <v>6.452</v>
      </c>
      <c r="EE19" s="4">
        <v>7.2279999999999998</v>
      </c>
      <c r="EF19" s="4">
        <v>5.867</v>
      </c>
      <c r="EG19" s="4">
        <v>6.5830000000000002</v>
      </c>
      <c r="EH19" s="4">
        <v>5.0750000000000002</v>
      </c>
      <c r="EI19" s="4">
        <v>6.0179999999999998</v>
      </c>
      <c r="EJ19" s="4">
        <v>6.1509999999999998</v>
      </c>
      <c r="EK19" s="4">
        <v>6.9530000000000003</v>
      </c>
      <c r="EL19" s="4">
        <v>6.5629999999999997</v>
      </c>
      <c r="EM19" s="4">
        <v>6.5119999999999996</v>
      </c>
      <c r="EN19" s="4">
        <v>6.1760000000000002</v>
      </c>
      <c r="EO19" s="4">
        <v>7.26</v>
      </c>
      <c r="EP19" s="4">
        <v>5.6589999999999998</v>
      </c>
      <c r="EQ19" s="4">
        <v>4.3719999999999999</v>
      </c>
      <c r="ER19" s="4">
        <v>7.8170000000000002</v>
      </c>
      <c r="ES19" s="4">
        <v>5.6109999999999998</v>
      </c>
      <c r="ET19" s="4">
        <v>2.754</v>
      </c>
      <c r="EU19" s="4">
        <v>7.5830000000000002</v>
      </c>
      <c r="EV19" s="4">
        <v>2.2959999999999998</v>
      </c>
      <c r="EW19" s="4">
        <v>6.6639999999999997</v>
      </c>
      <c r="EX19" s="4">
        <v>1.288</v>
      </c>
      <c r="EY19" s="4">
        <v>6.2119999999999997</v>
      </c>
      <c r="EZ19" s="4">
        <v>7.7130000000000001</v>
      </c>
      <c r="FA19" s="4">
        <v>3.8109999999999999</v>
      </c>
      <c r="FB19" s="4">
        <v>6.7169999999999996</v>
      </c>
      <c r="FC19" s="4">
        <v>6.0410000000000004</v>
      </c>
      <c r="FD19" s="4">
        <v>6.2430000000000003</v>
      </c>
      <c r="FE19" s="4">
        <v>6.5730000000000004</v>
      </c>
      <c r="FF19" s="4">
        <v>6.5309999999999997</v>
      </c>
      <c r="FG19" s="4">
        <v>6.8869999999999996</v>
      </c>
      <c r="FH19" s="4">
        <v>7.734</v>
      </c>
      <c r="FI19" s="4">
        <v>5.2869999999999999</v>
      </c>
      <c r="FJ19" s="4">
        <v>7.41</v>
      </c>
      <c r="FK19" s="4">
        <v>6.5140000000000002</v>
      </c>
      <c r="FL19" s="4">
        <v>6.24</v>
      </c>
      <c r="FM19" s="4">
        <v>5.2110000000000003</v>
      </c>
      <c r="FN19" s="4">
        <v>7.032</v>
      </c>
      <c r="FO19" s="4">
        <v>5.5060000000000002</v>
      </c>
      <c r="FP19" s="4">
        <v>6.0359999999999996</v>
      </c>
      <c r="FQ19" s="4">
        <v>5.8209999999999997</v>
      </c>
      <c r="FR19" s="4">
        <v>4.8680000000000003</v>
      </c>
      <c r="FS19" s="4">
        <v>4.0259999999999998</v>
      </c>
      <c r="FT19" s="4">
        <v>7.069</v>
      </c>
      <c r="FU19" s="4">
        <v>5.9720000000000004</v>
      </c>
      <c r="FV19" s="4">
        <v>1.6890000000000001</v>
      </c>
      <c r="FW19" s="4">
        <v>7.157</v>
      </c>
      <c r="FX19" s="4">
        <v>6.8639999999999999</v>
      </c>
      <c r="FY19" s="4">
        <v>6.577</v>
      </c>
      <c r="FZ19" s="4">
        <v>5.92</v>
      </c>
      <c r="GA19" s="4">
        <v>5.27</v>
      </c>
      <c r="GB19" s="4">
        <v>7.1109999999999998</v>
      </c>
      <c r="GC19" s="4">
        <v>6.407</v>
      </c>
      <c r="GD19" s="4">
        <v>6.5030000000000001</v>
      </c>
      <c r="GE19" s="4">
        <v>6.8019999999999996</v>
      </c>
      <c r="GF19" s="4">
        <v>6.0650000000000004</v>
      </c>
      <c r="GG19" s="4">
        <v>4.282</v>
      </c>
      <c r="GH19" s="4">
        <v>4.9039999999999999</v>
      </c>
      <c r="GI19" s="4">
        <v>6.5650000000000004</v>
      </c>
      <c r="GJ19" s="4">
        <v>6.0839999999999996</v>
      </c>
      <c r="GK19" s="4">
        <v>7.4</v>
      </c>
      <c r="GL19" s="4">
        <v>6.6680000000000001</v>
      </c>
      <c r="GM19" s="4">
        <v>6.306</v>
      </c>
      <c r="GN19" s="4">
        <v>2.0830000000000002</v>
      </c>
      <c r="GO19" s="4">
        <v>5.6449999999999996</v>
      </c>
      <c r="GP19" s="4">
        <v>3.839</v>
      </c>
      <c r="GQ19" s="4">
        <v>2.3180000000000001</v>
      </c>
      <c r="GR19" s="4">
        <v>2.1280000000000001</v>
      </c>
      <c r="GS19" s="4">
        <v>7.008</v>
      </c>
      <c r="GT19" s="4">
        <v>1.2969999999999999</v>
      </c>
      <c r="GU19" s="4">
        <v>6.6920000000000002</v>
      </c>
      <c r="GV19" s="4">
        <v>2.8860000000000001</v>
      </c>
      <c r="GW19" s="4">
        <v>4.7610000000000001</v>
      </c>
      <c r="GX19" s="4">
        <v>-1.1619999999999999</v>
      </c>
      <c r="GY19" s="4">
        <v>3.4670000000000001</v>
      </c>
      <c r="GZ19" s="4">
        <v>6.7839999999999998</v>
      </c>
      <c r="HA19" s="4">
        <v>6.08</v>
      </c>
      <c r="HB19" s="4">
        <v>6.0090000000000003</v>
      </c>
      <c r="HC19" s="4">
        <v>6.9509999999999996</v>
      </c>
      <c r="HD19" s="4">
        <v>2.036</v>
      </c>
      <c r="HE19" s="4">
        <v>6.0940000000000003</v>
      </c>
      <c r="HF19" s="4">
        <v>1.3640000000000001</v>
      </c>
      <c r="HG19" s="4">
        <v>6.641</v>
      </c>
      <c r="HH19" s="4">
        <v>5.7329999999999997</v>
      </c>
      <c r="HI19" s="4">
        <v>5.5380000000000003</v>
      </c>
      <c r="HJ19" s="4">
        <v>6.4409999999999998</v>
      </c>
      <c r="HK19" s="4">
        <v>6.9320000000000004</v>
      </c>
      <c r="HL19" s="4">
        <v>7.093</v>
      </c>
      <c r="HM19" s="4">
        <v>6.04</v>
      </c>
      <c r="HN19" s="4">
        <v>3.24</v>
      </c>
      <c r="HO19" s="4">
        <v>5.98</v>
      </c>
      <c r="HP19" s="4">
        <v>5.7880000000000003</v>
      </c>
      <c r="HQ19" s="4">
        <v>7.0990000000000002</v>
      </c>
      <c r="HR19" s="4">
        <v>6.056</v>
      </c>
      <c r="HS19" s="4">
        <v>5.9820000000000002</v>
      </c>
      <c r="HT19" s="4">
        <v>5.6289999999999996</v>
      </c>
      <c r="HU19" s="4">
        <v>7.1779999999999999</v>
      </c>
      <c r="HV19" s="4">
        <v>6.6180000000000003</v>
      </c>
      <c r="HW19" s="4">
        <v>3.5470000000000002</v>
      </c>
      <c r="HX19" s="4">
        <v>6.7960000000000003</v>
      </c>
      <c r="HY19" s="4">
        <v>7.117</v>
      </c>
      <c r="HZ19" s="4">
        <v>7.141</v>
      </c>
      <c r="IA19" s="4">
        <v>1.113</v>
      </c>
      <c r="IB19" s="4">
        <v>6.6929999999999996</v>
      </c>
      <c r="IC19" s="4">
        <v>7.6740000000000004</v>
      </c>
      <c r="ID19" s="4">
        <v>6.5229999999999997</v>
      </c>
      <c r="IE19" s="4">
        <v>7.0709999999999997</v>
      </c>
      <c r="IF19" s="4">
        <v>6.9160000000000004</v>
      </c>
      <c r="IG19" s="4">
        <v>5.5940000000000003</v>
      </c>
      <c r="IH19" s="4">
        <v>0.495</v>
      </c>
      <c r="II19" s="4">
        <v>1.0629999999999999</v>
      </c>
      <c r="IJ19" s="4">
        <v>6.5330000000000004</v>
      </c>
      <c r="IK19" s="4">
        <v>6.5839999999999996</v>
      </c>
      <c r="IL19" s="4">
        <v>2.1040000000000001</v>
      </c>
      <c r="IM19" s="4">
        <v>7.0720000000000001</v>
      </c>
      <c r="IN19" s="4">
        <v>5.0529999999999999</v>
      </c>
      <c r="IO19" s="4">
        <v>5.4390000000000001</v>
      </c>
      <c r="IP19" s="4">
        <v>6.3769999999999998</v>
      </c>
      <c r="IQ19" s="4">
        <v>7.1120000000000001</v>
      </c>
      <c r="IR19" s="4">
        <v>7.1219999999999999</v>
      </c>
      <c r="IS19" s="4">
        <v>2.508</v>
      </c>
      <c r="IT19" s="4">
        <v>5.601</v>
      </c>
      <c r="IU19" s="4">
        <v>2.4329999999999998</v>
      </c>
      <c r="IV19" s="4">
        <v>6.6159999999999997</v>
      </c>
      <c r="IW19" s="4">
        <v>0.13500000000000001</v>
      </c>
      <c r="IX19" s="4">
        <v>6.4429999999999996</v>
      </c>
      <c r="IY19" s="4">
        <v>6.03</v>
      </c>
      <c r="IZ19" s="4">
        <v>6.5339999999999998</v>
      </c>
      <c r="JA19" s="4">
        <v>6.1189999999999998</v>
      </c>
      <c r="JB19" s="4">
        <v>5.923</v>
      </c>
      <c r="JC19" s="4">
        <v>4.7919999999999998</v>
      </c>
      <c r="JD19" s="4">
        <v>6.4029999999999996</v>
      </c>
      <c r="JE19" s="4">
        <v>6.9160000000000004</v>
      </c>
      <c r="JF19" s="4">
        <v>7.0039999999999996</v>
      </c>
      <c r="JG19" s="4">
        <v>6.2530000000000001</v>
      </c>
      <c r="JH19" s="4">
        <v>7.0540000000000003</v>
      </c>
      <c r="JI19" s="4">
        <v>5.3109999999999999</v>
      </c>
      <c r="JJ19" s="4">
        <v>6.2750000000000004</v>
      </c>
      <c r="JK19" s="4">
        <v>5.51</v>
      </c>
      <c r="JL19" s="4">
        <v>7.0380000000000003</v>
      </c>
      <c r="JM19" s="4">
        <v>6.875</v>
      </c>
      <c r="JN19" s="4">
        <v>6.2279999999999998</v>
      </c>
      <c r="JO19" s="4">
        <v>6.681</v>
      </c>
      <c r="JP19" s="4">
        <v>6.734</v>
      </c>
      <c r="JQ19" s="4">
        <v>5.5419999999999998</v>
      </c>
      <c r="JR19" s="4">
        <v>5.1719999999999997</v>
      </c>
      <c r="JS19" s="4">
        <v>3.6859999999999999</v>
      </c>
      <c r="JT19" s="4">
        <v>6.41</v>
      </c>
      <c r="JU19" s="4">
        <v>6.601</v>
      </c>
      <c r="JV19" s="4">
        <v>6.306</v>
      </c>
      <c r="JW19" s="4">
        <v>6.702</v>
      </c>
      <c r="JX19" s="4">
        <v>5.5730000000000004</v>
      </c>
      <c r="JY19" s="4">
        <v>7.2389999999999999</v>
      </c>
      <c r="JZ19" s="4">
        <v>6.0720000000000001</v>
      </c>
      <c r="KA19" s="4">
        <v>6.9</v>
      </c>
      <c r="KB19" s="4">
        <v>3.2930000000000001</v>
      </c>
      <c r="KC19" s="4">
        <v>4.4770000000000003</v>
      </c>
      <c r="KD19" s="4">
        <v>6.3769999999999998</v>
      </c>
      <c r="KE19" s="4">
        <v>6.5419999999999998</v>
      </c>
      <c r="KF19" s="4">
        <v>5.819</v>
      </c>
      <c r="KG19" s="4">
        <v>6.7069999999999999</v>
      </c>
      <c r="KH19" s="4">
        <v>5.8390000000000004</v>
      </c>
      <c r="KI19" s="4">
        <v>6.8029999999999999</v>
      </c>
      <c r="KJ19" s="4">
        <v>7.7359999999999998</v>
      </c>
      <c r="KK19" s="4">
        <v>6.2859999999999996</v>
      </c>
      <c r="KL19" s="4">
        <v>6.0259999999999998</v>
      </c>
      <c r="KM19" s="4">
        <v>1.4710000000000001</v>
      </c>
      <c r="KN19" s="4">
        <v>6.7469999999999999</v>
      </c>
      <c r="KO19" s="4">
        <v>2.915</v>
      </c>
      <c r="KP19" s="4">
        <v>6.9089999999999998</v>
      </c>
      <c r="KQ19" s="4">
        <v>6.1470000000000002</v>
      </c>
      <c r="KR19" s="4">
        <v>6.0780000000000003</v>
      </c>
      <c r="KS19" s="4">
        <v>6.8280000000000003</v>
      </c>
    </row>
    <row r="20" spans="1:308" x14ac:dyDescent="0.25">
      <c r="A20" s="4">
        <v>2015</v>
      </c>
      <c r="B20" s="4">
        <v>5</v>
      </c>
      <c r="C20" s="4">
        <v>3.069</v>
      </c>
      <c r="D20" s="4">
        <v>8.9689999999999994</v>
      </c>
      <c r="E20" s="4">
        <v>9.5760000000000005</v>
      </c>
      <c r="F20" s="4">
        <v>9.0820000000000007</v>
      </c>
      <c r="G20" s="4">
        <v>8.7260000000000009</v>
      </c>
      <c r="H20" s="4">
        <v>6.633</v>
      </c>
      <c r="I20" s="4">
        <v>8.7829999999999995</v>
      </c>
      <c r="J20" s="4">
        <v>7.024</v>
      </c>
      <c r="K20" s="4">
        <v>8.84</v>
      </c>
      <c r="L20" s="4">
        <v>9.9060000000000006</v>
      </c>
      <c r="M20" s="4">
        <v>7.0359999999999996</v>
      </c>
      <c r="N20" s="4">
        <v>9.3930000000000007</v>
      </c>
      <c r="O20" s="4">
        <v>4.6779999999999999</v>
      </c>
      <c r="P20" s="4">
        <v>7.9269999999999996</v>
      </c>
      <c r="Q20" s="4">
        <v>4.157</v>
      </c>
      <c r="R20" s="4">
        <v>4.5190000000000001</v>
      </c>
      <c r="S20" s="4">
        <v>8.3650000000000002</v>
      </c>
      <c r="T20" s="4">
        <v>8.5399999999999991</v>
      </c>
      <c r="U20" s="4">
        <v>8.4670000000000005</v>
      </c>
      <c r="V20" s="4">
        <v>9.3230000000000004</v>
      </c>
      <c r="W20" s="4">
        <v>8.4830000000000005</v>
      </c>
      <c r="X20" s="4">
        <v>9.9160000000000004</v>
      </c>
      <c r="Y20" s="4">
        <v>8.3940000000000001</v>
      </c>
      <c r="Z20" s="4">
        <v>6.4290000000000003</v>
      </c>
      <c r="AA20" s="4">
        <v>9.923</v>
      </c>
      <c r="AB20" s="4">
        <v>5.8780000000000001</v>
      </c>
      <c r="AC20" s="4">
        <v>8.8889999999999993</v>
      </c>
      <c r="AD20" s="4">
        <v>8.2360000000000007</v>
      </c>
      <c r="AE20" s="4">
        <v>8.56</v>
      </c>
      <c r="AF20" s="4">
        <v>10.593</v>
      </c>
      <c r="AG20" s="4">
        <v>8.0690000000000008</v>
      </c>
      <c r="AH20" s="4">
        <v>9.1609999999999996</v>
      </c>
      <c r="AI20" s="4">
        <v>6.2270000000000003</v>
      </c>
      <c r="AJ20" s="4">
        <v>9.48</v>
      </c>
      <c r="AK20" s="4">
        <v>10.093</v>
      </c>
      <c r="AL20" s="4">
        <v>10.855</v>
      </c>
      <c r="AM20" s="4">
        <v>8.1289999999999996</v>
      </c>
      <c r="AN20" s="4">
        <v>10.012</v>
      </c>
      <c r="AO20" s="4">
        <v>8.2989999999999995</v>
      </c>
      <c r="AP20" s="4">
        <v>8.0259999999999998</v>
      </c>
      <c r="AQ20" s="4">
        <v>5.83</v>
      </c>
      <c r="AR20" s="4">
        <v>7.6890000000000001</v>
      </c>
      <c r="AS20" s="4">
        <v>8.2550000000000008</v>
      </c>
      <c r="AT20" s="4">
        <v>8.1050000000000004</v>
      </c>
      <c r="AU20" s="4">
        <v>9.2170000000000005</v>
      </c>
      <c r="AV20" s="4">
        <v>9.2140000000000004</v>
      </c>
      <c r="AW20" s="4">
        <v>9.5030000000000001</v>
      </c>
      <c r="AX20" s="4">
        <v>10.256</v>
      </c>
      <c r="AY20" s="4">
        <v>9.2690000000000001</v>
      </c>
      <c r="AZ20" s="4">
        <v>8.2620000000000005</v>
      </c>
      <c r="BA20" s="4">
        <v>9.8450000000000006</v>
      </c>
      <c r="BB20" s="4">
        <v>8.3870000000000005</v>
      </c>
      <c r="BC20" s="4">
        <v>10.436999999999999</v>
      </c>
      <c r="BD20" s="4">
        <v>8.343</v>
      </c>
      <c r="BE20" s="4">
        <v>8.7059999999999995</v>
      </c>
      <c r="BF20" s="4">
        <v>7.8029999999999999</v>
      </c>
      <c r="BG20" s="4">
        <v>8.7479999999999993</v>
      </c>
      <c r="BH20" s="4">
        <v>9.3740000000000006</v>
      </c>
      <c r="BI20" s="4">
        <v>9.5150000000000006</v>
      </c>
      <c r="BJ20" s="4">
        <v>5.5640000000000001</v>
      </c>
      <c r="BK20" s="4">
        <v>8.5239999999999991</v>
      </c>
      <c r="BL20" s="4">
        <v>6.0789999999999997</v>
      </c>
      <c r="BM20" s="4">
        <v>5.3650000000000002</v>
      </c>
      <c r="BN20" s="4">
        <v>7.4509999999999996</v>
      </c>
      <c r="BO20" s="4">
        <v>4.42</v>
      </c>
      <c r="BP20" s="4">
        <v>8.827</v>
      </c>
      <c r="BQ20" s="4">
        <v>8.4239999999999995</v>
      </c>
      <c r="BR20" s="4">
        <v>9.4179999999999993</v>
      </c>
      <c r="BS20" s="4">
        <v>9.9359999999999999</v>
      </c>
      <c r="BT20" s="4">
        <v>9.0830000000000002</v>
      </c>
      <c r="BU20" s="4">
        <v>9.4190000000000005</v>
      </c>
      <c r="BV20" s="4">
        <v>9.6739999999999995</v>
      </c>
      <c r="BW20" s="4">
        <v>7.7309999999999999</v>
      </c>
      <c r="BX20" s="4">
        <v>7.8620000000000001</v>
      </c>
      <c r="BY20" s="4">
        <v>9.0289999999999999</v>
      </c>
      <c r="BZ20" s="4">
        <v>9.1270000000000007</v>
      </c>
      <c r="CA20" s="4">
        <v>10.019</v>
      </c>
      <c r="CB20" s="4">
        <v>9.0109999999999992</v>
      </c>
      <c r="CC20" s="4">
        <v>6.7969999999999997</v>
      </c>
      <c r="CD20" s="4">
        <v>8.9039999999999999</v>
      </c>
      <c r="CE20" s="4">
        <v>6.0579999999999998</v>
      </c>
      <c r="CF20" s="4">
        <v>7.3230000000000004</v>
      </c>
      <c r="CG20" s="4">
        <v>9.4830000000000005</v>
      </c>
      <c r="CH20" s="4">
        <v>9.2629999999999999</v>
      </c>
      <c r="CI20" s="4">
        <v>8.2620000000000005</v>
      </c>
      <c r="CJ20" s="4">
        <v>4.327</v>
      </c>
      <c r="CK20" s="4">
        <v>10.289</v>
      </c>
      <c r="CL20" s="4">
        <v>2.5550000000000002</v>
      </c>
      <c r="CM20" s="4">
        <v>9.5440000000000005</v>
      </c>
      <c r="CN20" s="4">
        <v>8.8960000000000008</v>
      </c>
      <c r="CO20" s="4">
        <v>8.9049999999999994</v>
      </c>
      <c r="CP20" s="4">
        <v>7.9790000000000001</v>
      </c>
      <c r="CQ20" s="4">
        <v>10.403</v>
      </c>
      <c r="CR20" s="4">
        <v>9.7539999999999996</v>
      </c>
      <c r="CS20" s="4">
        <v>9.6780000000000008</v>
      </c>
      <c r="CT20" s="4">
        <v>9.6359999999999992</v>
      </c>
      <c r="CU20" s="4">
        <v>8.8059999999999992</v>
      </c>
      <c r="CV20" s="4">
        <v>9.3360000000000003</v>
      </c>
      <c r="CW20" s="4">
        <v>8.282</v>
      </c>
      <c r="CX20" s="4">
        <v>9.1869999999999994</v>
      </c>
      <c r="CY20" s="4">
        <v>8.8330000000000002</v>
      </c>
      <c r="CZ20" s="4">
        <v>9.9359999999999999</v>
      </c>
      <c r="DA20" s="4">
        <v>5.6840000000000002</v>
      </c>
      <c r="DB20" s="4">
        <v>8.3040000000000003</v>
      </c>
      <c r="DC20" s="4">
        <v>6.7610000000000001</v>
      </c>
      <c r="DD20" s="4">
        <v>6.1020000000000003</v>
      </c>
      <c r="DE20" s="4">
        <v>10.144</v>
      </c>
      <c r="DF20" s="4">
        <v>4.1740000000000004</v>
      </c>
      <c r="DG20" s="4">
        <v>8.6389999999999993</v>
      </c>
      <c r="DH20" s="4">
        <v>9.7590000000000003</v>
      </c>
      <c r="DI20" s="4">
        <v>8.1020000000000003</v>
      </c>
      <c r="DJ20" s="4">
        <v>9.9819999999999993</v>
      </c>
      <c r="DK20" s="4">
        <v>8.907</v>
      </c>
      <c r="DL20" s="4">
        <v>9.5190000000000001</v>
      </c>
      <c r="DM20" s="4">
        <v>10.609</v>
      </c>
      <c r="DN20" s="4">
        <v>8.5399999999999991</v>
      </c>
      <c r="DO20" s="4">
        <v>9.1020000000000003</v>
      </c>
      <c r="DP20" s="4">
        <v>3.8380000000000001</v>
      </c>
      <c r="DQ20" s="4">
        <v>8.7789999999999999</v>
      </c>
      <c r="DR20" s="4">
        <v>9.5879999999999992</v>
      </c>
      <c r="DS20" s="4">
        <v>9.4269999999999996</v>
      </c>
      <c r="DT20" s="4">
        <v>9.2870000000000008</v>
      </c>
      <c r="DU20" s="4">
        <v>7.2960000000000003</v>
      </c>
      <c r="DV20" s="4">
        <v>7.5919999999999996</v>
      </c>
      <c r="DW20" s="4">
        <v>10.364000000000001</v>
      </c>
      <c r="DX20" s="4">
        <v>8.6780000000000008</v>
      </c>
      <c r="DY20" s="4">
        <v>9.2210000000000001</v>
      </c>
      <c r="DZ20" s="4">
        <v>9.7560000000000002</v>
      </c>
      <c r="EA20" s="4">
        <v>9.6850000000000005</v>
      </c>
      <c r="EB20" s="4">
        <v>9.4510000000000005</v>
      </c>
      <c r="EC20" s="4">
        <v>4.6130000000000004</v>
      </c>
      <c r="ED20" s="4">
        <v>9.94</v>
      </c>
      <c r="EE20" s="4">
        <v>10.467000000000001</v>
      </c>
      <c r="EF20" s="4">
        <v>8.7609999999999992</v>
      </c>
      <c r="EG20" s="4">
        <v>8.92</v>
      </c>
      <c r="EH20" s="4">
        <v>7.6890000000000001</v>
      </c>
      <c r="EI20" s="4">
        <v>9.1449999999999996</v>
      </c>
      <c r="EJ20" s="4">
        <v>8.8829999999999991</v>
      </c>
      <c r="EK20" s="4">
        <v>10.034000000000001</v>
      </c>
      <c r="EL20" s="4">
        <v>9.3919999999999995</v>
      </c>
      <c r="EM20" s="4">
        <v>9.2759999999999998</v>
      </c>
      <c r="EN20" s="4">
        <v>8.3930000000000007</v>
      </c>
      <c r="EO20" s="4">
        <v>9.6609999999999996</v>
      </c>
      <c r="EP20" s="4">
        <v>8.4960000000000004</v>
      </c>
      <c r="EQ20" s="4">
        <v>7.94</v>
      </c>
      <c r="ER20" s="4">
        <v>10.87</v>
      </c>
      <c r="ES20" s="4">
        <v>7.8310000000000004</v>
      </c>
      <c r="ET20" s="4">
        <v>6.6390000000000002</v>
      </c>
      <c r="EU20" s="4">
        <v>10.675000000000001</v>
      </c>
      <c r="EV20" s="4">
        <v>6.5170000000000003</v>
      </c>
      <c r="EW20" s="4">
        <v>9.593</v>
      </c>
      <c r="EX20" s="4">
        <v>5.2009999999999996</v>
      </c>
      <c r="EY20" s="4">
        <v>8.5980000000000008</v>
      </c>
      <c r="EZ20" s="4">
        <v>10.784000000000001</v>
      </c>
      <c r="FA20" s="4">
        <v>6.6760000000000002</v>
      </c>
      <c r="FB20" s="4">
        <v>9.3559999999999999</v>
      </c>
      <c r="FC20" s="4">
        <v>9.0990000000000002</v>
      </c>
      <c r="FD20" s="4">
        <v>9.2720000000000002</v>
      </c>
      <c r="FE20" s="4">
        <v>9.0570000000000004</v>
      </c>
      <c r="FF20" s="4">
        <v>9.1310000000000002</v>
      </c>
      <c r="FG20" s="4">
        <v>9.7370000000000001</v>
      </c>
      <c r="FH20" s="4">
        <v>10.429</v>
      </c>
      <c r="FI20" s="4">
        <v>8.0359999999999996</v>
      </c>
      <c r="FJ20" s="4">
        <v>10.468</v>
      </c>
      <c r="FK20" s="4">
        <v>9.0830000000000002</v>
      </c>
      <c r="FL20" s="4">
        <v>9.1300000000000008</v>
      </c>
      <c r="FM20" s="4">
        <v>7.7619999999999996</v>
      </c>
      <c r="FN20" s="4">
        <v>10.065</v>
      </c>
      <c r="FO20" s="4">
        <v>7.7249999999999996</v>
      </c>
      <c r="FP20" s="4">
        <v>8.1259999999999994</v>
      </c>
      <c r="FQ20" s="4">
        <v>8.0470000000000006</v>
      </c>
      <c r="FR20" s="4">
        <v>7.984</v>
      </c>
      <c r="FS20" s="4">
        <v>7.008</v>
      </c>
      <c r="FT20" s="4">
        <v>9.6839999999999993</v>
      </c>
      <c r="FU20" s="4">
        <v>9.1709999999999994</v>
      </c>
      <c r="FV20" s="4">
        <v>5.8049999999999997</v>
      </c>
      <c r="FW20" s="4">
        <v>9.6920000000000002</v>
      </c>
      <c r="FX20" s="4">
        <v>9.5690000000000008</v>
      </c>
      <c r="FY20" s="4">
        <v>9.4870000000000001</v>
      </c>
      <c r="FZ20" s="4">
        <v>8.5850000000000009</v>
      </c>
      <c r="GA20" s="4">
        <v>8.2509999999999994</v>
      </c>
      <c r="GB20" s="4">
        <v>9.9339999999999993</v>
      </c>
      <c r="GC20" s="4">
        <v>8.9420000000000002</v>
      </c>
      <c r="GD20" s="4">
        <v>9.3239999999999998</v>
      </c>
      <c r="GE20" s="4">
        <v>9.2509999999999994</v>
      </c>
      <c r="GF20" s="4">
        <v>9.2810000000000006</v>
      </c>
      <c r="GG20" s="4">
        <v>7.1879999999999997</v>
      </c>
      <c r="GH20" s="4">
        <v>7.78</v>
      </c>
      <c r="GI20" s="4">
        <v>9.3889999999999993</v>
      </c>
      <c r="GJ20" s="4">
        <v>9.1379999999999999</v>
      </c>
      <c r="GK20" s="4">
        <v>10.06</v>
      </c>
      <c r="GL20" s="4">
        <v>9.8689999999999998</v>
      </c>
      <c r="GM20" s="4">
        <v>9.6750000000000007</v>
      </c>
      <c r="GN20" s="4">
        <v>5.8090000000000002</v>
      </c>
      <c r="GO20" s="4">
        <v>8.8800000000000008</v>
      </c>
      <c r="GP20" s="4">
        <v>6.9020000000000001</v>
      </c>
      <c r="GQ20" s="4">
        <v>6.5570000000000004</v>
      </c>
      <c r="GR20" s="4">
        <v>6.64</v>
      </c>
      <c r="GS20" s="4">
        <v>9.8350000000000009</v>
      </c>
      <c r="GT20" s="4">
        <v>5.69</v>
      </c>
      <c r="GU20" s="4">
        <v>9.5399999999999991</v>
      </c>
      <c r="GV20" s="4">
        <v>6.9749999999999996</v>
      </c>
      <c r="GW20" s="4">
        <v>7.5650000000000004</v>
      </c>
      <c r="GX20" s="4">
        <v>2.96</v>
      </c>
      <c r="GY20" s="4">
        <v>7.2530000000000001</v>
      </c>
      <c r="GZ20" s="4">
        <v>9.8079999999999998</v>
      </c>
      <c r="HA20" s="4">
        <v>8.7620000000000005</v>
      </c>
      <c r="HB20" s="4">
        <v>8.77</v>
      </c>
      <c r="HC20" s="4">
        <v>9.7759999999999998</v>
      </c>
      <c r="HD20" s="4">
        <v>4.6820000000000004</v>
      </c>
      <c r="HE20" s="4">
        <v>8.7119999999999997</v>
      </c>
      <c r="HF20" s="4">
        <v>5.0250000000000004</v>
      </c>
      <c r="HG20" s="4">
        <v>9.4369999999999994</v>
      </c>
      <c r="HH20" s="4">
        <v>8.1669999999999998</v>
      </c>
      <c r="HI20" s="4">
        <v>7.9889999999999999</v>
      </c>
      <c r="HJ20" s="4">
        <v>9.6180000000000003</v>
      </c>
      <c r="HK20" s="4">
        <v>9.718</v>
      </c>
      <c r="HL20" s="4">
        <v>9.9169999999999998</v>
      </c>
      <c r="HM20" s="4">
        <v>8.8800000000000008</v>
      </c>
      <c r="HN20" s="4">
        <v>7.4080000000000004</v>
      </c>
      <c r="HO20" s="4">
        <v>8.1920000000000002</v>
      </c>
      <c r="HP20" s="4">
        <v>8.5329999999999995</v>
      </c>
      <c r="HQ20" s="4">
        <v>9.9120000000000008</v>
      </c>
      <c r="HR20" s="4">
        <v>8.7769999999999992</v>
      </c>
      <c r="HS20" s="4">
        <v>8.0939999999999994</v>
      </c>
      <c r="HT20" s="4">
        <v>8.3320000000000007</v>
      </c>
      <c r="HU20" s="4">
        <v>9.8230000000000004</v>
      </c>
      <c r="HV20" s="4">
        <v>9.5180000000000007</v>
      </c>
      <c r="HW20" s="4">
        <v>7.4939999999999998</v>
      </c>
      <c r="HX20" s="4">
        <v>9.8279999999999994</v>
      </c>
      <c r="HY20" s="4">
        <v>10.111000000000001</v>
      </c>
      <c r="HZ20" s="4">
        <v>10.065</v>
      </c>
      <c r="IA20" s="4">
        <v>4.774</v>
      </c>
      <c r="IB20" s="4">
        <v>9.52</v>
      </c>
      <c r="IC20" s="4">
        <v>10.598000000000001</v>
      </c>
      <c r="ID20" s="4">
        <v>9.4689999999999994</v>
      </c>
      <c r="IE20" s="4">
        <v>10.053000000000001</v>
      </c>
      <c r="IF20" s="4">
        <v>9.9139999999999997</v>
      </c>
      <c r="IG20" s="4">
        <v>8.1180000000000003</v>
      </c>
      <c r="IH20" s="4">
        <v>3.794</v>
      </c>
      <c r="II20" s="4">
        <v>4.8710000000000004</v>
      </c>
      <c r="IJ20" s="4">
        <v>9.6229999999999993</v>
      </c>
      <c r="IK20" s="4">
        <v>9.1720000000000006</v>
      </c>
      <c r="IL20" s="4">
        <v>5.7270000000000003</v>
      </c>
      <c r="IM20" s="4">
        <v>10.015000000000001</v>
      </c>
      <c r="IN20" s="4">
        <v>7.8570000000000002</v>
      </c>
      <c r="IO20" s="4">
        <v>7.9409999999999998</v>
      </c>
      <c r="IP20" s="4">
        <v>8.8480000000000008</v>
      </c>
      <c r="IQ20" s="4">
        <v>10.103</v>
      </c>
      <c r="IR20" s="4">
        <v>10.201000000000001</v>
      </c>
      <c r="IS20" s="4">
        <v>6.133</v>
      </c>
      <c r="IT20" s="4">
        <v>8.5030000000000001</v>
      </c>
      <c r="IU20" s="4">
        <v>6.0119999999999996</v>
      </c>
      <c r="IV20" s="4">
        <v>9.8219999999999992</v>
      </c>
      <c r="IW20" s="4">
        <v>3.508</v>
      </c>
      <c r="IX20" s="4">
        <v>8.9619999999999997</v>
      </c>
      <c r="IY20" s="4">
        <v>8.702</v>
      </c>
      <c r="IZ20" s="4">
        <v>9.0299999999999994</v>
      </c>
      <c r="JA20" s="4">
        <v>8.4949999999999992</v>
      </c>
      <c r="JB20" s="4">
        <v>8.7560000000000002</v>
      </c>
      <c r="JC20" s="4">
        <v>7.7519999999999998</v>
      </c>
      <c r="JD20" s="4">
        <v>9.0470000000000006</v>
      </c>
      <c r="JE20" s="4">
        <v>9.7810000000000006</v>
      </c>
      <c r="JF20" s="4">
        <v>9.8040000000000003</v>
      </c>
      <c r="JG20" s="4">
        <v>9.0329999999999995</v>
      </c>
      <c r="JH20" s="4">
        <v>10.064</v>
      </c>
      <c r="JI20" s="4">
        <v>7.7779999999999996</v>
      </c>
      <c r="JJ20" s="4">
        <v>8.4380000000000006</v>
      </c>
      <c r="JK20" s="4">
        <v>8.3290000000000006</v>
      </c>
      <c r="JL20" s="4">
        <v>10.272</v>
      </c>
      <c r="JM20" s="4">
        <v>9.4570000000000007</v>
      </c>
      <c r="JN20" s="4">
        <v>9.2620000000000005</v>
      </c>
      <c r="JO20" s="4">
        <v>9.6020000000000003</v>
      </c>
      <c r="JP20" s="4">
        <v>9.3680000000000003</v>
      </c>
      <c r="JQ20" s="4">
        <v>8.7629999999999999</v>
      </c>
      <c r="JR20" s="4">
        <v>8.016</v>
      </c>
      <c r="JS20" s="4">
        <v>7.1520000000000001</v>
      </c>
      <c r="JT20" s="4">
        <v>9.5579999999999998</v>
      </c>
      <c r="JU20" s="4">
        <v>9.7409999999999997</v>
      </c>
      <c r="JV20" s="4">
        <v>9.359</v>
      </c>
      <c r="JW20" s="4">
        <v>9.3089999999999993</v>
      </c>
      <c r="JX20" s="4">
        <v>7.992</v>
      </c>
      <c r="JY20" s="4">
        <v>9.91</v>
      </c>
      <c r="JZ20" s="4">
        <v>9.4019999999999992</v>
      </c>
      <c r="KA20" s="4">
        <v>9.4559999999999995</v>
      </c>
      <c r="KB20" s="4">
        <v>6.843</v>
      </c>
      <c r="KC20" s="4">
        <v>7.1820000000000004</v>
      </c>
      <c r="KD20" s="4">
        <v>9.3360000000000003</v>
      </c>
      <c r="KE20" s="4">
        <v>9.8170000000000002</v>
      </c>
      <c r="KF20" s="4">
        <v>8.9700000000000006</v>
      </c>
      <c r="KG20" s="4">
        <v>9.7140000000000004</v>
      </c>
      <c r="KH20" s="4">
        <v>8.4260000000000002</v>
      </c>
      <c r="KI20" s="4">
        <v>9.3149999999999995</v>
      </c>
      <c r="KJ20" s="4">
        <v>10.438000000000001</v>
      </c>
      <c r="KK20" s="4">
        <v>8.84</v>
      </c>
      <c r="KL20" s="4">
        <v>8.3209999999999997</v>
      </c>
      <c r="KM20" s="4">
        <v>5.569</v>
      </c>
      <c r="KN20" s="4">
        <v>9.0920000000000005</v>
      </c>
      <c r="KO20" s="4">
        <v>6.7539999999999996</v>
      </c>
      <c r="KP20" s="4">
        <v>9.5060000000000002</v>
      </c>
      <c r="KQ20" s="4">
        <v>9.5860000000000003</v>
      </c>
      <c r="KR20" s="4">
        <v>8.2430000000000003</v>
      </c>
      <c r="KS20" s="4">
        <v>9.9369999999999994</v>
      </c>
    </row>
    <row r="21" spans="1:308" x14ac:dyDescent="0.25">
      <c r="A21" s="4">
        <v>2015</v>
      </c>
      <c r="B21" s="4">
        <v>6</v>
      </c>
      <c r="C21" s="4">
        <v>6.2990000000000004</v>
      </c>
      <c r="D21" s="4">
        <v>13.577999999999999</v>
      </c>
      <c r="E21" s="4">
        <v>12.946</v>
      </c>
      <c r="F21" s="4">
        <v>12.366</v>
      </c>
      <c r="G21" s="4">
        <v>12.585000000000001</v>
      </c>
      <c r="H21" s="4">
        <v>11.244999999999999</v>
      </c>
      <c r="I21" s="4">
        <v>12.89</v>
      </c>
      <c r="J21" s="4">
        <v>11.298</v>
      </c>
      <c r="K21" s="4">
        <v>13.52</v>
      </c>
      <c r="L21" s="4">
        <v>13.337999999999999</v>
      </c>
      <c r="M21" s="4">
        <v>10.563000000000001</v>
      </c>
      <c r="N21" s="4">
        <v>13.944000000000001</v>
      </c>
      <c r="O21" s="4">
        <v>8.1929999999999996</v>
      </c>
      <c r="P21" s="4">
        <v>12.782999999999999</v>
      </c>
      <c r="Q21" s="4">
        <v>8.7319999999999993</v>
      </c>
      <c r="R21" s="4">
        <v>9.048</v>
      </c>
      <c r="S21" s="4">
        <v>12.977</v>
      </c>
      <c r="T21" s="4">
        <v>12.842000000000001</v>
      </c>
      <c r="U21" s="4">
        <v>12.837999999999999</v>
      </c>
      <c r="V21" s="4">
        <v>13.590999999999999</v>
      </c>
      <c r="W21" s="4">
        <v>13.131</v>
      </c>
      <c r="X21" s="4">
        <v>13.231999999999999</v>
      </c>
      <c r="Y21" s="4">
        <v>12.914999999999999</v>
      </c>
      <c r="Z21" s="4">
        <v>10.776999999999999</v>
      </c>
      <c r="AA21" s="4">
        <v>13.308999999999999</v>
      </c>
      <c r="AB21" s="4">
        <v>11.583</v>
      </c>
      <c r="AC21" s="4">
        <v>12.567</v>
      </c>
      <c r="AD21" s="4">
        <v>12.218</v>
      </c>
      <c r="AE21" s="4">
        <v>12.098000000000001</v>
      </c>
      <c r="AF21" s="4">
        <v>14.952999999999999</v>
      </c>
      <c r="AG21" s="4">
        <v>12.518000000000001</v>
      </c>
      <c r="AH21" s="4">
        <v>13.683</v>
      </c>
      <c r="AI21" s="4">
        <v>10.076000000000001</v>
      </c>
      <c r="AJ21" s="4">
        <v>13.138999999999999</v>
      </c>
      <c r="AK21" s="4">
        <v>13.741</v>
      </c>
      <c r="AL21" s="4">
        <v>14.082000000000001</v>
      </c>
      <c r="AM21" s="4">
        <v>13.22</v>
      </c>
      <c r="AN21" s="4">
        <v>14.478</v>
      </c>
      <c r="AO21" s="4">
        <v>12.813000000000001</v>
      </c>
      <c r="AP21" s="4">
        <v>11.992000000000001</v>
      </c>
      <c r="AQ21" s="4">
        <v>9.7789999999999999</v>
      </c>
      <c r="AR21" s="4">
        <v>11.502000000000001</v>
      </c>
      <c r="AS21" s="4">
        <v>12.904</v>
      </c>
      <c r="AT21" s="4">
        <v>12.587999999999999</v>
      </c>
      <c r="AU21" s="4">
        <v>13.262</v>
      </c>
      <c r="AV21" s="4">
        <v>13.763</v>
      </c>
      <c r="AW21" s="4">
        <v>14.016</v>
      </c>
      <c r="AX21" s="4">
        <v>13.510999999999999</v>
      </c>
      <c r="AY21" s="4">
        <v>12.786</v>
      </c>
      <c r="AZ21" s="4">
        <v>12.933999999999999</v>
      </c>
      <c r="BA21" s="4">
        <v>13.195</v>
      </c>
      <c r="BB21" s="4">
        <v>12.314</v>
      </c>
      <c r="BC21" s="4">
        <v>13.569000000000001</v>
      </c>
      <c r="BD21" s="4">
        <v>12.824999999999999</v>
      </c>
      <c r="BE21" s="4">
        <v>12.597</v>
      </c>
      <c r="BF21" s="4">
        <v>12.416</v>
      </c>
      <c r="BG21" s="4">
        <v>12.717000000000001</v>
      </c>
      <c r="BH21" s="4">
        <v>13.667999999999999</v>
      </c>
      <c r="BI21" s="4">
        <v>13.923999999999999</v>
      </c>
      <c r="BJ21" s="4">
        <v>9.1530000000000005</v>
      </c>
      <c r="BK21" s="4">
        <v>13.340999999999999</v>
      </c>
      <c r="BL21" s="4">
        <v>9.94</v>
      </c>
      <c r="BM21" s="4">
        <v>9.4990000000000006</v>
      </c>
      <c r="BN21" s="4">
        <v>11.936</v>
      </c>
      <c r="BO21" s="4">
        <v>9.1940000000000008</v>
      </c>
      <c r="BP21" s="4">
        <v>12.662000000000001</v>
      </c>
      <c r="BQ21" s="4">
        <v>12.358000000000001</v>
      </c>
      <c r="BR21" s="4">
        <v>13.893000000000001</v>
      </c>
      <c r="BS21" s="4">
        <v>13.281000000000001</v>
      </c>
      <c r="BT21" s="4">
        <v>12.878</v>
      </c>
      <c r="BU21" s="4">
        <v>13.161</v>
      </c>
      <c r="BV21" s="4">
        <v>14.353</v>
      </c>
      <c r="BW21" s="4">
        <v>12.506</v>
      </c>
      <c r="BX21" s="4">
        <v>12.423999999999999</v>
      </c>
      <c r="BY21" s="4">
        <v>13.452999999999999</v>
      </c>
      <c r="BZ21" s="4">
        <v>13.813000000000001</v>
      </c>
      <c r="CA21" s="4">
        <v>13.148</v>
      </c>
      <c r="CB21" s="4">
        <v>13.992000000000001</v>
      </c>
      <c r="CC21" s="4">
        <v>10.785</v>
      </c>
      <c r="CD21" s="4">
        <v>13.34</v>
      </c>
      <c r="CE21" s="4">
        <v>11.33</v>
      </c>
      <c r="CF21" s="4">
        <v>11.927</v>
      </c>
      <c r="CG21" s="4">
        <v>12.872</v>
      </c>
      <c r="CH21" s="4">
        <v>12.993</v>
      </c>
      <c r="CI21" s="4">
        <v>12.78</v>
      </c>
      <c r="CJ21" s="4">
        <v>8.5299999999999994</v>
      </c>
      <c r="CK21" s="4">
        <v>13.659000000000001</v>
      </c>
      <c r="CL21" s="4">
        <v>5.8</v>
      </c>
      <c r="CM21" s="4">
        <v>13.567</v>
      </c>
      <c r="CN21" s="4">
        <v>12.481</v>
      </c>
      <c r="CO21" s="4">
        <v>12.839</v>
      </c>
      <c r="CP21" s="4">
        <v>12.462999999999999</v>
      </c>
      <c r="CQ21" s="4">
        <v>13.779</v>
      </c>
      <c r="CR21" s="4">
        <v>14.144</v>
      </c>
      <c r="CS21" s="4">
        <v>13.138999999999999</v>
      </c>
      <c r="CT21" s="4">
        <v>13.093</v>
      </c>
      <c r="CU21" s="4">
        <v>12.954000000000001</v>
      </c>
      <c r="CV21" s="4">
        <v>13.848000000000001</v>
      </c>
      <c r="CW21" s="4">
        <v>12.387</v>
      </c>
      <c r="CX21" s="4">
        <v>13.688000000000001</v>
      </c>
      <c r="CY21" s="4">
        <v>12.365</v>
      </c>
      <c r="CZ21" s="4">
        <v>14.487</v>
      </c>
      <c r="DA21" s="4">
        <v>10.377000000000001</v>
      </c>
      <c r="DB21" s="4">
        <v>12.789</v>
      </c>
      <c r="DC21" s="4">
        <v>10.92</v>
      </c>
      <c r="DD21" s="4">
        <v>11.371</v>
      </c>
      <c r="DE21" s="4">
        <v>14.481999999999999</v>
      </c>
      <c r="DF21" s="4">
        <v>8.7880000000000003</v>
      </c>
      <c r="DG21" s="4">
        <v>12.829000000000001</v>
      </c>
      <c r="DH21" s="4">
        <v>13.137</v>
      </c>
      <c r="DI21" s="4">
        <v>12.747</v>
      </c>
      <c r="DJ21" s="4">
        <v>13.725</v>
      </c>
      <c r="DK21" s="4">
        <v>13.853999999999999</v>
      </c>
      <c r="DL21" s="4">
        <v>13.968999999999999</v>
      </c>
      <c r="DM21" s="4">
        <v>13.872999999999999</v>
      </c>
      <c r="DN21" s="4">
        <v>13.285</v>
      </c>
      <c r="DO21" s="4">
        <v>12.597</v>
      </c>
      <c r="DP21" s="4">
        <v>8.3320000000000007</v>
      </c>
      <c r="DQ21" s="4">
        <v>13.321</v>
      </c>
      <c r="DR21" s="4">
        <v>12.992000000000001</v>
      </c>
      <c r="DS21" s="4">
        <v>13.845000000000001</v>
      </c>
      <c r="DT21" s="4">
        <v>13.941000000000001</v>
      </c>
      <c r="DU21" s="4">
        <v>11.972</v>
      </c>
      <c r="DV21" s="4">
        <v>11.708</v>
      </c>
      <c r="DW21" s="4">
        <v>13.989000000000001</v>
      </c>
      <c r="DX21" s="4">
        <v>13.236000000000001</v>
      </c>
      <c r="DY21" s="4">
        <v>13.65</v>
      </c>
      <c r="DZ21" s="4">
        <v>13.141999999999999</v>
      </c>
      <c r="EA21" s="4">
        <v>13.032999999999999</v>
      </c>
      <c r="EB21" s="4">
        <v>14.077999999999999</v>
      </c>
      <c r="EC21" s="4">
        <v>8.4030000000000005</v>
      </c>
      <c r="ED21" s="4">
        <v>13.045</v>
      </c>
      <c r="EE21" s="4">
        <v>13.706</v>
      </c>
      <c r="EF21" s="4">
        <v>13.073</v>
      </c>
      <c r="EG21" s="4">
        <v>13.451000000000001</v>
      </c>
      <c r="EH21" s="4">
        <v>12.209</v>
      </c>
      <c r="EI21" s="4">
        <v>12.52</v>
      </c>
      <c r="EJ21" s="4">
        <v>12.962</v>
      </c>
      <c r="EK21" s="4">
        <v>14.532</v>
      </c>
      <c r="EL21" s="4">
        <v>13.34</v>
      </c>
      <c r="EM21" s="4">
        <v>12.811</v>
      </c>
      <c r="EN21" s="4">
        <v>13.11</v>
      </c>
      <c r="EO21" s="4">
        <v>13.922000000000001</v>
      </c>
      <c r="EP21" s="4">
        <v>12.474</v>
      </c>
      <c r="EQ21" s="4">
        <v>11.667</v>
      </c>
      <c r="ER21" s="4">
        <v>14.09</v>
      </c>
      <c r="ES21" s="4">
        <v>12.616</v>
      </c>
      <c r="ET21" s="4">
        <v>11.695</v>
      </c>
      <c r="EU21" s="4">
        <v>13.891</v>
      </c>
      <c r="EV21" s="4">
        <v>10.448</v>
      </c>
      <c r="EW21" s="4">
        <v>13.157</v>
      </c>
      <c r="EX21" s="4">
        <v>9.3940000000000001</v>
      </c>
      <c r="EY21" s="4">
        <v>13.209</v>
      </c>
      <c r="EZ21" s="4">
        <v>13.999000000000001</v>
      </c>
      <c r="FA21" s="4">
        <v>11.69</v>
      </c>
      <c r="FB21" s="4">
        <v>13.589</v>
      </c>
      <c r="FC21" s="4">
        <v>12.62</v>
      </c>
      <c r="FD21" s="4">
        <v>13.548999999999999</v>
      </c>
      <c r="FE21" s="4">
        <v>13.385999999999999</v>
      </c>
      <c r="FF21" s="4">
        <v>13.262</v>
      </c>
      <c r="FG21" s="4">
        <v>13.109</v>
      </c>
      <c r="FH21" s="4">
        <v>14.925000000000001</v>
      </c>
      <c r="FI21" s="4">
        <v>12.617000000000001</v>
      </c>
      <c r="FJ21" s="4">
        <v>14.522</v>
      </c>
      <c r="FK21" s="4">
        <v>13.208</v>
      </c>
      <c r="FL21" s="4">
        <v>12.949</v>
      </c>
      <c r="FM21" s="4">
        <v>12.646000000000001</v>
      </c>
      <c r="FN21" s="4">
        <v>14.536</v>
      </c>
      <c r="FO21" s="4">
        <v>12.141999999999999</v>
      </c>
      <c r="FP21" s="4">
        <v>12.837999999999999</v>
      </c>
      <c r="FQ21" s="4">
        <v>12.643000000000001</v>
      </c>
      <c r="FR21" s="4">
        <v>11.942</v>
      </c>
      <c r="FS21" s="4">
        <v>11.827999999999999</v>
      </c>
      <c r="FT21" s="4">
        <v>13.954000000000001</v>
      </c>
      <c r="FU21" s="4">
        <v>13.256</v>
      </c>
      <c r="FV21" s="4">
        <v>9.7420000000000009</v>
      </c>
      <c r="FW21" s="4">
        <v>13.862</v>
      </c>
      <c r="FX21" s="4">
        <v>13.839</v>
      </c>
      <c r="FY21" s="4">
        <v>14.01</v>
      </c>
      <c r="FZ21" s="4">
        <v>12.159000000000001</v>
      </c>
      <c r="GA21" s="4">
        <v>12.396000000000001</v>
      </c>
      <c r="GB21" s="4">
        <v>13.227</v>
      </c>
      <c r="GC21" s="4">
        <v>13.135999999999999</v>
      </c>
      <c r="GD21" s="4">
        <v>12.98</v>
      </c>
      <c r="GE21" s="4">
        <v>13.843</v>
      </c>
      <c r="GF21" s="4">
        <v>12.737</v>
      </c>
      <c r="GG21" s="4">
        <v>11.712</v>
      </c>
      <c r="GH21" s="4">
        <v>12.115</v>
      </c>
      <c r="GI21" s="4">
        <v>13.083</v>
      </c>
      <c r="GJ21" s="4">
        <v>12.785</v>
      </c>
      <c r="GK21" s="4">
        <v>14.6</v>
      </c>
      <c r="GL21" s="4">
        <v>14.438000000000001</v>
      </c>
      <c r="GM21" s="4">
        <v>14.154999999999999</v>
      </c>
      <c r="GN21" s="4">
        <v>9.4809999999999999</v>
      </c>
      <c r="GO21" s="4">
        <v>12.795</v>
      </c>
      <c r="GP21" s="4">
        <v>12.333</v>
      </c>
      <c r="GQ21" s="4">
        <v>11.358000000000001</v>
      </c>
      <c r="GR21" s="4">
        <v>11.321</v>
      </c>
      <c r="GS21" s="4">
        <v>14.278</v>
      </c>
      <c r="GT21" s="4">
        <v>10.364000000000001</v>
      </c>
      <c r="GU21" s="4">
        <v>12.956</v>
      </c>
      <c r="GV21" s="4">
        <v>11.717000000000001</v>
      </c>
      <c r="GW21" s="4">
        <v>11.884</v>
      </c>
      <c r="GX21" s="4">
        <v>6.3520000000000003</v>
      </c>
      <c r="GY21" s="4">
        <v>11.622999999999999</v>
      </c>
      <c r="GZ21" s="4">
        <v>13.446</v>
      </c>
      <c r="HA21" s="4">
        <v>13.646000000000001</v>
      </c>
      <c r="HB21" s="4">
        <v>13.368</v>
      </c>
      <c r="HC21" s="4">
        <v>14.374000000000001</v>
      </c>
      <c r="HD21" s="4">
        <v>10.53</v>
      </c>
      <c r="HE21" s="4">
        <v>12.872999999999999</v>
      </c>
      <c r="HF21" s="4">
        <v>9.9130000000000003</v>
      </c>
      <c r="HG21" s="4">
        <v>13.401</v>
      </c>
      <c r="HH21" s="4">
        <v>12.741</v>
      </c>
      <c r="HI21" s="4">
        <v>12.305</v>
      </c>
      <c r="HJ21" s="4">
        <v>14.202999999999999</v>
      </c>
      <c r="HK21" s="4">
        <v>13.291</v>
      </c>
      <c r="HL21" s="4">
        <v>13.205</v>
      </c>
      <c r="HM21" s="4">
        <v>12.565</v>
      </c>
      <c r="HN21" s="4">
        <v>11.577</v>
      </c>
      <c r="HO21" s="4">
        <v>13.000999999999999</v>
      </c>
      <c r="HP21" s="4">
        <v>12.619</v>
      </c>
      <c r="HQ21" s="4">
        <v>13.304</v>
      </c>
      <c r="HR21" s="4">
        <v>12.644</v>
      </c>
      <c r="HS21" s="4">
        <v>12.797000000000001</v>
      </c>
      <c r="HT21" s="4">
        <v>12.41</v>
      </c>
      <c r="HU21" s="4">
        <v>13.88</v>
      </c>
      <c r="HV21" s="4">
        <v>14.042</v>
      </c>
      <c r="HW21" s="4">
        <v>11.692</v>
      </c>
      <c r="HX21" s="4">
        <v>14.343999999999999</v>
      </c>
      <c r="HY21" s="4">
        <v>14.579000000000001</v>
      </c>
      <c r="HZ21" s="4">
        <v>13.608000000000001</v>
      </c>
      <c r="IA21" s="4">
        <v>9.5009999999999994</v>
      </c>
      <c r="IB21" s="4">
        <v>13.199</v>
      </c>
      <c r="IC21" s="4">
        <v>13.827</v>
      </c>
      <c r="ID21" s="4">
        <v>13.117000000000001</v>
      </c>
      <c r="IE21" s="4">
        <v>14.529</v>
      </c>
      <c r="IF21" s="4">
        <v>14.401999999999999</v>
      </c>
      <c r="IG21" s="4">
        <v>12.699</v>
      </c>
      <c r="IH21" s="4">
        <v>6.6820000000000004</v>
      </c>
      <c r="II21" s="4">
        <v>9.6159999999999997</v>
      </c>
      <c r="IJ21" s="4">
        <v>14.334</v>
      </c>
      <c r="IK21" s="4">
        <v>13.635999999999999</v>
      </c>
      <c r="IL21" s="4">
        <v>9.6760000000000002</v>
      </c>
      <c r="IM21" s="4">
        <v>14.493</v>
      </c>
      <c r="IN21" s="4">
        <v>12.173999999999999</v>
      </c>
      <c r="IO21" s="4">
        <v>12.994</v>
      </c>
      <c r="IP21" s="4">
        <v>13.645</v>
      </c>
      <c r="IQ21" s="4">
        <v>13.429</v>
      </c>
      <c r="IR21" s="4">
        <v>13.47</v>
      </c>
      <c r="IS21" s="4">
        <v>10.262</v>
      </c>
      <c r="IT21" s="4">
        <v>12.382</v>
      </c>
      <c r="IU21" s="4">
        <v>9.9779999999999998</v>
      </c>
      <c r="IV21" s="4">
        <v>14.284000000000001</v>
      </c>
      <c r="IW21" s="4">
        <v>7.2080000000000002</v>
      </c>
      <c r="IX21" s="4">
        <v>13.289</v>
      </c>
      <c r="IY21" s="4">
        <v>13.132</v>
      </c>
      <c r="IZ21" s="4">
        <v>13.077999999999999</v>
      </c>
      <c r="JA21" s="4">
        <v>12.689</v>
      </c>
      <c r="JB21" s="4">
        <v>12.663</v>
      </c>
      <c r="JC21" s="4">
        <v>11.855</v>
      </c>
      <c r="JD21" s="4">
        <v>12.948</v>
      </c>
      <c r="JE21" s="4">
        <v>13.141999999999999</v>
      </c>
      <c r="JF21" s="4">
        <v>13.225</v>
      </c>
      <c r="JG21" s="4">
        <v>13.115</v>
      </c>
      <c r="JH21" s="4">
        <v>14.121</v>
      </c>
      <c r="JI21" s="4">
        <v>13.278</v>
      </c>
      <c r="JJ21" s="4">
        <v>13.048</v>
      </c>
      <c r="JK21" s="4">
        <v>12.356</v>
      </c>
      <c r="JL21" s="4">
        <v>13.388</v>
      </c>
      <c r="JM21" s="4">
        <v>13.17</v>
      </c>
      <c r="JN21" s="4">
        <v>13.683</v>
      </c>
      <c r="JO21" s="4">
        <v>14.113</v>
      </c>
      <c r="JP21" s="4">
        <v>13.143000000000001</v>
      </c>
      <c r="JQ21" s="4">
        <v>12.121</v>
      </c>
      <c r="JR21" s="4">
        <v>11.693</v>
      </c>
      <c r="JS21" s="4">
        <v>11.689</v>
      </c>
      <c r="JT21" s="4">
        <v>14.241</v>
      </c>
      <c r="JU21" s="4">
        <v>14.266999999999999</v>
      </c>
      <c r="JV21" s="4">
        <v>13.734</v>
      </c>
      <c r="JW21" s="4">
        <v>13.44</v>
      </c>
      <c r="JX21" s="4">
        <v>12.449</v>
      </c>
      <c r="JY21" s="4">
        <v>14.16</v>
      </c>
      <c r="JZ21" s="4">
        <v>13.666</v>
      </c>
      <c r="KA21" s="4">
        <v>13.321</v>
      </c>
      <c r="KB21" s="4">
        <v>11.148999999999999</v>
      </c>
      <c r="KC21" s="4">
        <v>11.858000000000001</v>
      </c>
      <c r="KD21" s="4">
        <v>13.003</v>
      </c>
      <c r="KE21" s="4">
        <v>13.048</v>
      </c>
      <c r="KF21" s="4">
        <v>12.462</v>
      </c>
      <c r="KG21" s="4">
        <v>14.247</v>
      </c>
      <c r="KH21" s="4">
        <v>12.526</v>
      </c>
      <c r="KI21" s="4">
        <v>14.010999999999999</v>
      </c>
      <c r="KJ21" s="4">
        <v>14.295</v>
      </c>
      <c r="KK21" s="4">
        <v>13.071999999999999</v>
      </c>
      <c r="KL21" s="4">
        <v>12.791</v>
      </c>
      <c r="KM21" s="4">
        <v>9.6820000000000004</v>
      </c>
      <c r="KN21" s="4">
        <v>13.54</v>
      </c>
      <c r="KO21" s="4">
        <v>10.587</v>
      </c>
      <c r="KP21" s="4">
        <v>14.009</v>
      </c>
      <c r="KQ21" s="4">
        <v>13.629</v>
      </c>
      <c r="KR21" s="4">
        <v>12.743</v>
      </c>
      <c r="KS21" s="4">
        <v>13.364000000000001</v>
      </c>
    </row>
    <row r="22" spans="1:308" x14ac:dyDescent="0.25">
      <c r="A22" s="4">
        <v>2015</v>
      </c>
      <c r="B22" s="4">
        <v>7</v>
      </c>
      <c r="C22" s="4">
        <v>10.699</v>
      </c>
      <c r="D22" s="4">
        <v>16.292000000000002</v>
      </c>
      <c r="E22" s="4">
        <v>15.617000000000001</v>
      </c>
      <c r="F22" s="4">
        <v>15.006</v>
      </c>
      <c r="G22" s="4">
        <v>15.500999999999999</v>
      </c>
      <c r="H22" s="4">
        <v>13.945</v>
      </c>
      <c r="I22" s="4">
        <v>15.542999999999999</v>
      </c>
      <c r="J22" s="4">
        <v>14.07</v>
      </c>
      <c r="K22" s="4">
        <v>15.587999999999999</v>
      </c>
      <c r="L22" s="4">
        <v>16.486999999999998</v>
      </c>
      <c r="M22" s="4">
        <v>13.07</v>
      </c>
      <c r="N22" s="4">
        <v>16.420999999999999</v>
      </c>
      <c r="O22" s="4">
        <v>11.427</v>
      </c>
      <c r="P22" s="4">
        <v>14.872999999999999</v>
      </c>
      <c r="Q22" s="4">
        <v>12.054</v>
      </c>
      <c r="R22" s="4">
        <v>12.295</v>
      </c>
      <c r="S22" s="4">
        <v>15.307</v>
      </c>
      <c r="T22" s="4">
        <v>15.337999999999999</v>
      </c>
      <c r="U22" s="4">
        <v>15.363</v>
      </c>
      <c r="V22" s="4">
        <v>16.239999999999998</v>
      </c>
      <c r="W22" s="4">
        <v>15.717000000000001</v>
      </c>
      <c r="X22" s="4">
        <v>16.379000000000001</v>
      </c>
      <c r="Y22" s="4">
        <v>15.031000000000001</v>
      </c>
      <c r="Z22" s="4">
        <v>13.851000000000001</v>
      </c>
      <c r="AA22" s="4">
        <v>16.395</v>
      </c>
      <c r="AB22" s="4">
        <v>14.391999999999999</v>
      </c>
      <c r="AC22" s="4">
        <v>15.391</v>
      </c>
      <c r="AD22" s="4">
        <v>14.862</v>
      </c>
      <c r="AE22" s="4">
        <v>14.872</v>
      </c>
      <c r="AF22" s="4">
        <v>17.225000000000001</v>
      </c>
      <c r="AG22" s="4">
        <v>15.042999999999999</v>
      </c>
      <c r="AH22" s="4">
        <v>16.059999999999999</v>
      </c>
      <c r="AI22" s="4">
        <v>12.646000000000001</v>
      </c>
      <c r="AJ22" s="4">
        <v>15.872999999999999</v>
      </c>
      <c r="AK22" s="4">
        <v>16.382000000000001</v>
      </c>
      <c r="AL22" s="4">
        <v>17.175000000000001</v>
      </c>
      <c r="AM22" s="4">
        <v>15.456</v>
      </c>
      <c r="AN22" s="4">
        <v>16.93</v>
      </c>
      <c r="AO22" s="4">
        <v>15.286</v>
      </c>
      <c r="AP22" s="4">
        <v>14.736000000000001</v>
      </c>
      <c r="AQ22" s="4">
        <v>12.79</v>
      </c>
      <c r="AR22" s="4">
        <v>14.138999999999999</v>
      </c>
      <c r="AS22" s="4">
        <v>14.981</v>
      </c>
      <c r="AT22" s="4">
        <v>15.173</v>
      </c>
      <c r="AU22" s="4">
        <v>15.792</v>
      </c>
      <c r="AV22" s="4">
        <v>16.202000000000002</v>
      </c>
      <c r="AW22" s="4">
        <v>16.440000000000001</v>
      </c>
      <c r="AX22" s="4">
        <v>16.501999999999999</v>
      </c>
      <c r="AY22" s="4">
        <v>15.404999999999999</v>
      </c>
      <c r="AZ22" s="4">
        <v>15.443</v>
      </c>
      <c r="BA22" s="4">
        <v>16.379000000000001</v>
      </c>
      <c r="BB22" s="4">
        <v>15.022</v>
      </c>
      <c r="BC22" s="4">
        <v>16.503</v>
      </c>
      <c r="BD22" s="4">
        <v>15.462999999999999</v>
      </c>
      <c r="BE22" s="4">
        <v>14.914</v>
      </c>
      <c r="BF22" s="4">
        <v>14.894</v>
      </c>
      <c r="BG22" s="4">
        <v>15.561999999999999</v>
      </c>
      <c r="BH22" s="4">
        <v>16.265000000000001</v>
      </c>
      <c r="BI22" s="4">
        <v>16.352</v>
      </c>
      <c r="BJ22" s="4">
        <v>12.166</v>
      </c>
      <c r="BK22" s="4">
        <v>15.707000000000001</v>
      </c>
      <c r="BL22" s="4">
        <v>13.111000000000001</v>
      </c>
      <c r="BM22" s="4">
        <v>12.651999999999999</v>
      </c>
      <c r="BN22" s="4">
        <v>14.305</v>
      </c>
      <c r="BO22" s="4">
        <v>12.145</v>
      </c>
      <c r="BP22" s="4">
        <v>15.526</v>
      </c>
      <c r="BQ22" s="4">
        <v>15.272</v>
      </c>
      <c r="BR22" s="4">
        <v>16.256</v>
      </c>
      <c r="BS22" s="4">
        <v>16.268999999999998</v>
      </c>
      <c r="BT22" s="4">
        <v>15.401999999999999</v>
      </c>
      <c r="BU22" s="4">
        <v>15.628</v>
      </c>
      <c r="BV22" s="4">
        <v>16.797000000000001</v>
      </c>
      <c r="BW22" s="4">
        <v>14.922000000000001</v>
      </c>
      <c r="BX22" s="4">
        <v>14.968</v>
      </c>
      <c r="BY22" s="4">
        <v>15.877000000000001</v>
      </c>
      <c r="BZ22" s="4">
        <v>16.222000000000001</v>
      </c>
      <c r="CA22" s="4">
        <v>16.312999999999999</v>
      </c>
      <c r="CB22" s="4">
        <v>16.216000000000001</v>
      </c>
      <c r="CC22" s="4">
        <v>13.428000000000001</v>
      </c>
      <c r="CD22" s="4">
        <v>15.829000000000001</v>
      </c>
      <c r="CE22" s="4">
        <v>14.377000000000001</v>
      </c>
      <c r="CF22" s="4">
        <v>15.036</v>
      </c>
      <c r="CG22" s="4">
        <v>15.795999999999999</v>
      </c>
      <c r="CH22" s="4">
        <v>15.757</v>
      </c>
      <c r="CI22" s="4">
        <v>15.407999999999999</v>
      </c>
      <c r="CJ22" s="4">
        <v>11.265000000000001</v>
      </c>
      <c r="CK22" s="4">
        <v>16.704999999999998</v>
      </c>
      <c r="CL22" s="4">
        <v>9.59</v>
      </c>
      <c r="CM22" s="4">
        <v>16.434000000000001</v>
      </c>
      <c r="CN22" s="4">
        <v>15.196</v>
      </c>
      <c r="CO22" s="4">
        <v>15.548999999999999</v>
      </c>
      <c r="CP22" s="4">
        <v>15.2</v>
      </c>
      <c r="CQ22" s="4">
        <v>16.861000000000001</v>
      </c>
      <c r="CR22" s="4">
        <v>16.353000000000002</v>
      </c>
      <c r="CS22" s="4">
        <v>16.114000000000001</v>
      </c>
      <c r="CT22" s="4">
        <v>16.05</v>
      </c>
      <c r="CU22" s="4">
        <v>15.397</v>
      </c>
      <c r="CV22" s="4">
        <v>16.295000000000002</v>
      </c>
      <c r="CW22" s="4">
        <v>15.347</v>
      </c>
      <c r="CX22" s="4">
        <v>16.036999999999999</v>
      </c>
      <c r="CY22" s="4">
        <v>15.326000000000001</v>
      </c>
      <c r="CZ22" s="4">
        <v>16.878</v>
      </c>
      <c r="DA22" s="4">
        <v>13.372</v>
      </c>
      <c r="DB22" s="4">
        <v>15.462</v>
      </c>
      <c r="DC22" s="4">
        <v>13.631</v>
      </c>
      <c r="DD22" s="4">
        <v>14.305</v>
      </c>
      <c r="DE22" s="4">
        <v>16.832999999999998</v>
      </c>
      <c r="DF22" s="4">
        <v>11.303000000000001</v>
      </c>
      <c r="DG22" s="4">
        <v>15.590999999999999</v>
      </c>
      <c r="DH22" s="4">
        <v>15.647</v>
      </c>
      <c r="DI22" s="4">
        <v>15.231</v>
      </c>
      <c r="DJ22" s="4">
        <v>16.593</v>
      </c>
      <c r="DK22" s="4">
        <v>16.04</v>
      </c>
      <c r="DL22" s="4">
        <v>16.411000000000001</v>
      </c>
      <c r="DM22" s="4">
        <v>16.89</v>
      </c>
      <c r="DN22" s="4">
        <v>15.632999999999999</v>
      </c>
      <c r="DO22" s="4">
        <v>15.509</v>
      </c>
      <c r="DP22" s="4">
        <v>11.452</v>
      </c>
      <c r="DQ22" s="4">
        <v>15.959</v>
      </c>
      <c r="DR22" s="4">
        <v>15.993</v>
      </c>
      <c r="DS22" s="4">
        <v>16.454999999999998</v>
      </c>
      <c r="DT22" s="4">
        <v>16.361999999999998</v>
      </c>
      <c r="DU22" s="4">
        <v>14.505000000000001</v>
      </c>
      <c r="DV22" s="4">
        <v>14.701000000000001</v>
      </c>
      <c r="DW22" s="4">
        <v>16.584</v>
      </c>
      <c r="DX22" s="4">
        <v>15.728999999999999</v>
      </c>
      <c r="DY22" s="4">
        <v>16.091999999999999</v>
      </c>
      <c r="DZ22" s="4">
        <v>15.872</v>
      </c>
      <c r="EA22" s="4">
        <v>16.064</v>
      </c>
      <c r="EB22" s="4">
        <v>16.504000000000001</v>
      </c>
      <c r="EC22" s="4">
        <v>11.868</v>
      </c>
      <c r="ED22" s="4">
        <v>16.088000000000001</v>
      </c>
      <c r="EE22" s="4">
        <v>16.707999999999998</v>
      </c>
      <c r="EF22" s="4">
        <v>15.4</v>
      </c>
      <c r="EG22" s="4">
        <v>15.882</v>
      </c>
      <c r="EH22" s="4">
        <v>14.561999999999999</v>
      </c>
      <c r="EI22" s="4">
        <v>15.27</v>
      </c>
      <c r="EJ22" s="4">
        <v>15.538</v>
      </c>
      <c r="EK22" s="4">
        <v>16.917999999999999</v>
      </c>
      <c r="EL22" s="4">
        <v>15.837999999999999</v>
      </c>
      <c r="EM22" s="4">
        <v>15.398</v>
      </c>
      <c r="EN22" s="4">
        <v>15.634</v>
      </c>
      <c r="EO22" s="4">
        <v>16.609000000000002</v>
      </c>
      <c r="EP22" s="4">
        <v>15.414999999999999</v>
      </c>
      <c r="EQ22" s="4">
        <v>14.315</v>
      </c>
      <c r="ER22" s="4">
        <v>17.178000000000001</v>
      </c>
      <c r="ES22" s="4">
        <v>15.109</v>
      </c>
      <c r="ET22" s="4">
        <v>14.622</v>
      </c>
      <c r="EU22" s="4">
        <v>16.920000000000002</v>
      </c>
      <c r="EV22" s="4">
        <v>13.654999999999999</v>
      </c>
      <c r="EW22" s="4">
        <v>15.568</v>
      </c>
      <c r="EX22" s="4">
        <v>12.817</v>
      </c>
      <c r="EY22" s="4">
        <v>15.879</v>
      </c>
      <c r="EZ22" s="4">
        <v>17.082999999999998</v>
      </c>
      <c r="FA22" s="4">
        <v>13.942</v>
      </c>
      <c r="FB22" s="4">
        <v>16.178000000000001</v>
      </c>
      <c r="FC22" s="4">
        <v>15.35</v>
      </c>
      <c r="FD22" s="4">
        <v>16.151</v>
      </c>
      <c r="FE22" s="4">
        <v>15.582000000000001</v>
      </c>
      <c r="FF22" s="4">
        <v>15.948</v>
      </c>
      <c r="FG22" s="4">
        <v>16.091999999999999</v>
      </c>
      <c r="FH22" s="4">
        <v>17.004000000000001</v>
      </c>
      <c r="FI22" s="4">
        <v>14.973000000000001</v>
      </c>
      <c r="FJ22" s="4">
        <v>16.809000000000001</v>
      </c>
      <c r="FK22" s="4">
        <v>15.895</v>
      </c>
      <c r="FL22" s="4">
        <v>15.319000000000001</v>
      </c>
      <c r="FM22" s="4">
        <v>15.051</v>
      </c>
      <c r="FN22" s="4">
        <v>17.021999999999998</v>
      </c>
      <c r="FO22" s="4">
        <v>14.813000000000001</v>
      </c>
      <c r="FP22" s="4">
        <v>15.385999999999999</v>
      </c>
      <c r="FQ22" s="4">
        <v>15.172000000000001</v>
      </c>
      <c r="FR22" s="4">
        <v>14.917</v>
      </c>
      <c r="FS22" s="4">
        <v>14.797000000000001</v>
      </c>
      <c r="FT22" s="4">
        <v>16.494</v>
      </c>
      <c r="FU22" s="4">
        <v>15.917</v>
      </c>
      <c r="FV22" s="4">
        <v>13.106</v>
      </c>
      <c r="FW22" s="4">
        <v>16.196999999999999</v>
      </c>
      <c r="FX22" s="4">
        <v>16.271999999999998</v>
      </c>
      <c r="FY22" s="4">
        <v>16.36</v>
      </c>
      <c r="FZ22" s="4">
        <v>14.945</v>
      </c>
      <c r="GA22" s="4">
        <v>15.073</v>
      </c>
      <c r="GB22" s="4">
        <v>15.964</v>
      </c>
      <c r="GC22" s="4">
        <v>15.992000000000001</v>
      </c>
      <c r="GD22" s="4">
        <v>15.606</v>
      </c>
      <c r="GE22" s="4">
        <v>16.306000000000001</v>
      </c>
      <c r="GF22" s="4">
        <v>15.603999999999999</v>
      </c>
      <c r="GG22" s="4">
        <v>14.688000000000001</v>
      </c>
      <c r="GH22" s="4">
        <v>14.487</v>
      </c>
      <c r="GI22" s="4">
        <v>15.648</v>
      </c>
      <c r="GJ22" s="4">
        <v>15.492000000000001</v>
      </c>
      <c r="GK22" s="4">
        <v>16.731999999999999</v>
      </c>
      <c r="GL22" s="4">
        <v>16.741</v>
      </c>
      <c r="GM22" s="4">
        <v>16.641999999999999</v>
      </c>
      <c r="GN22" s="4">
        <v>12.331</v>
      </c>
      <c r="GO22" s="4">
        <v>15.731</v>
      </c>
      <c r="GP22" s="4">
        <v>14.657999999999999</v>
      </c>
      <c r="GQ22" s="4">
        <v>13.972</v>
      </c>
      <c r="GR22" s="4">
        <v>13.803000000000001</v>
      </c>
      <c r="GS22" s="4">
        <v>16.504999999999999</v>
      </c>
      <c r="GT22" s="4">
        <v>12.492000000000001</v>
      </c>
      <c r="GU22" s="4">
        <v>15.788</v>
      </c>
      <c r="GV22" s="4">
        <v>14.477</v>
      </c>
      <c r="GW22" s="4">
        <v>14.297000000000001</v>
      </c>
      <c r="GX22" s="4">
        <v>11.099</v>
      </c>
      <c r="GY22" s="4">
        <v>14.564</v>
      </c>
      <c r="GZ22" s="4">
        <v>16.132000000000001</v>
      </c>
      <c r="HA22" s="4">
        <v>15.874000000000001</v>
      </c>
      <c r="HB22" s="4">
        <v>15.909000000000001</v>
      </c>
      <c r="HC22" s="4">
        <v>16.596</v>
      </c>
      <c r="HD22" s="4">
        <v>13.343</v>
      </c>
      <c r="HE22" s="4">
        <v>15.664999999999999</v>
      </c>
      <c r="HF22" s="4">
        <v>13.093999999999999</v>
      </c>
      <c r="HG22" s="4">
        <v>15.872999999999999</v>
      </c>
      <c r="HH22" s="4">
        <v>15.303000000000001</v>
      </c>
      <c r="HI22" s="4">
        <v>15.038</v>
      </c>
      <c r="HJ22" s="4">
        <v>16.847999999999999</v>
      </c>
      <c r="HK22" s="4">
        <v>16.077999999999999</v>
      </c>
      <c r="HL22" s="4">
        <v>16.167999999999999</v>
      </c>
      <c r="HM22" s="4">
        <v>15.148999999999999</v>
      </c>
      <c r="HN22" s="4">
        <v>14.452999999999999</v>
      </c>
      <c r="HO22" s="4">
        <v>15.430999999999999</v>
      </c>
      <c r="HP22" s="4">
        <v>15.228999999999999</v>
      </c>
      <c r="HQ22" s="4">
        <v>16.308</v>
      </c>
      <c r="HR22" s="4">
        <v>15.648999999999999</v>
      </c>
      <c r="HS22" s="4">
        <v>15.3</v>
      </c>
      <c r="HT22" s="4">
        <v>15.353999999999999</v>
      </c>
      <c r="HU22" s="4">
        <v>16.420999999999999</v>
      </c>
      <c r="HV22" s="4">
        <v>16.391999999999999</v>
      </c>
      <c r="HW22" s="4">
        <v>14.369</v>
      </c>
      <c r="HX22" s="4">
        <v>16.91</v>
      </c>
      <c r="HY22" s="4">
        <v>17.035</v>
      </c>
      <c r="HZ22" s="4">
        <v>16.254000000000001</v>
      </c>
      <c r="IA22" s="4">
        <v>12.558</v>
      </c>
      <c r="IB22" s="4">
        <v>15.573</v>
      </c>
      <c r="IC22" s="4">
        <v>16.873000000000001</v>
      </c>
      <c r="ID22" s="4">
        <v>15.81</v>
      </c>
      <c r="IE22" s="4">
        <v>16.952000000000002</v>
      </c>
      <c r="IF22" s="4">
        <v>16.895</v>
      </c>
      <c r="IG22" s="4">
        <v>15.169</v>
      </c>
      <c r="IH22" s="4">
        <v>10.205</v>
      </c>
      <c r="II22" s="4">
        <v>12.75</v>
      </c>
      <c r="IJ22" s="4">
        <v>16.661999999999999</v>
      </c>
      <c r="IK22" s="4">
        <v>15.75</v>
      </c>
      <c r="IL22" s="4">
        <v>12.49</v>
      </c>
      <c r="IM22" s="4">
        <v>16.925999999999998</v>
      </c>
      <c r="IN22" s="4">
        <v>15.21</v>
      </c>
      <c r="IO22" s="4">
        <v>15.343999999999999</v>
      </c>
      <c r="IP22" s="4">
        <v>16.071000000000002</v>
      </c>
      <c r="IQ22" s="4">
        <v>16.416</v>
      </c>
      <c r="IR22" s="4">
        <v>16.530999999999999</v>
      </c>
      <c r="IS22" s="4">
        <v>12.919</v>
      </c>
      <c r="IT22" s="4">
        <v>15.324999999999999</v>
      </c>
      <c r="IU22" s="4">
        <v>12.585000000000001</v>
      </c>
      <c r="IV22" s="4">
        <v>16.829999999999998</v>
      </c>
      <c r="IW22" s="4">
        <v>10.379</v>
      </c>
      <c r="IX22" s="4">
        <v>15.57</v>
      </c>
      <c r="IY22" s="4">
        <v>15.794</v>
      </c>
      <c r="IZ22" s="4">
        <v>15.555</v>
      </c>
      <c r="JA22" s="4">
        <v>15.342000000000001</v>
      </c>
      <c r="JB22" s="4">
        <v>15.484</v>
      </c>
      <c r="JC22" s="4">
        <v>14.909000000000001</v>
      </c>
      <c r="JD22" s="4">
        <v>15.678000000000001</v>
      </c>
      <c r="JE22" s="4">
        <v>15.753</v>
      </c>
      <c r="JF22" s="4">
        <v>16.129000000000001</v>
      </c>
      <c r="JG22" s="4">
        <v>15.571</v>
      </c>
      <c r="JH22" s="4">
        <v>16.734000000000002</v>
      </c>
      <c r="JI22" s="4">
        <v>15.634</v>
      </c>
      <c r="JJ22" s="4">
        <v>15.756</v>
      </c>
      <c r="JK22" s="4">
        <v>15.313000000000001</v>
      </c>
      <c r="JL22" s="4">
        <v>16.396000000000001</v>
      </c>
      <c r="JM22" s="4">
        <v>15.744</v>
      </c>
      <c r="JN22" s="4">
        <v>16.050999999999998</v>
      </c>
      <c r="JO22" s="4">
        <v>16.562000000000001</v>
      </c>
      <c r="JP22" s="4">
        <v>15.766999999999999</v>
      </c>
      <c r="JQ22" s="4">
        <v>15.244</v>
      </c>
      <c r="JR22" s="4">
        <v>14.515000000000001</v>
      </c>
      <c r="JS22" s="4">
        <v>14.677</v>
      </c>
      <c r="JT22" s="4">
        <v>16.803999999999998</v>
      </c>
      <c r="JU22" s="4">
        <v>16.91</v>
      </c>
      <c r="JV22" s="4">
        <v>16.314</v>
      </c>
      <c r="JW22" s="4">
        <v>16.151</v>
      </c>
      <c r="JX22" s="4">
        <v>15.384</v>
      </c>
      <c r="JY22" s="4">
        <v>16.640999999999998</v>
      </c>
      <c r="JZ22" s="4">
        <v>16.414999999999999</v>
      </c>
      <c r="KA22" s="4">
        <v>15.853999999999999</v>
      </c>
      <c r="KB22" s="4">
        <v>14.146000000000001</v>
      </c>
      <c r="KC22" s="4">
        <v>14.007</v>
      </c>
      <c r="KD22" s="4">
        <v>15.584</v>
      </c>
      <c r="KE22" s="4">
        <v>16.25</v>
      </c>
      <c r="KF22" s="4">
        <v>15.199</v>
      </c>
      <c r="KG22" s="4">
        <v>16.605</v>
      </c>
      <c r="KH22" s="4">
        <v>15.38</v>
      </c>
      <c r="KI22" s="4">
        <v>16.434000000000001</v>
      </c>
      <c r="KJ22" s="4">
        <v>16.731999999999999</v>
      </c>
      <c r="KK22" s="4">
        <v>15.667</v>
      </c>
      <c r="KL22" s="4">
        <v>15.335000000000001</v>
      </c>
      <c r="KM22" s="4">
        <v>12.763999999999999</v>
      </c>
      <c r="KN22" s="4">
        <v>16.007999999999999</v>
      </c>
      <c r="KO22" s="4">
        <v>13.744999999999999</v>
      </c>
      <c r="KP22" s="4">
        <v>16.373999999999999</v>
      </c>
      <c r="KQ22" s="4">
        <v>16.535</v>
      </c>
      <c r="KR22" s="4">
        <v>15.406000000000001</v>
      </c>
      <c r="KS22" s="4">
        <v>16.231999999999999</v>
      </c>
    </row>
    <row r="23" spans="1:308" x14ac:dyDescent="0.25">
      <c r="A23" s="4">
        <v>2015</v>
      </c>
      <c r="B23" s="4">
        <v>8</v>
      </c>
      <c r="C23" s="4">
        <v>12.131</v>
      </c>
      <c r="D23" s="4">
        <v>17.117000000000001</v>
      </c>
      <c r="E23" s="4">
        <v>17.146999999999998</v>
      </c>
      <c r="F23" s="4">
        <v>16.449000000000002</v>
      </c>
      <c r="G23" s="4">
        <v>16.773</v>
      </c>
      <c r="H23" s="4">
        <v>13.576000000000001</v>
      </c>
      <c r="I23" s="4">
        <v>16.097000000000001</v>
      </c>
      <c r="J23" s="4">
        <v>14.628</v>
      </c>
      <c r="K23" s="4">
        <v>16.349</v>
      </c>
      <c r="L23" s="4">
        <v>17.567</v>
      </c>
      <c r="M23" s="4">
        <v>13.413</v>
      </c>
      <c r="N23" s="4">
        <v>16.445</v>
      </c>
      <c r="O23" s="4">
        <v>13.146000000000001</v>
      </c>
      <c r="P23" s="4">
        <v>15.17</v>
      </c>
      <c r="Q23" s="4">
        <v>13.021000000000001</v>
      </c>
      <c r="R23" s="4">
        <v>13.449</v>
      </c>
      <c r="S23" s="4">
        <v>15.337</v>
      </c>
      <c r="T23" s="4">
        <v>15.904</v>
      </c>
      <c r="U23" s="4">
        <v>15.677</v>
      </c>
      <c r="V23" s="4">
        <v>15.884</v>
      </c>
      <c r="W23" s="4">
        <v>15.903</v>
      </c>
      <c r="X23" s="4">
        <v>17.420000000000002</v>
      </c>
      <c r="Y23" s="4">
        <v>15.596</v>
      </c>
      <c r="Z23" s="4">
        <v>14.382999999999999</v>
      </c>
      <c r="AA23" s="4">
        <v>17.716000000000001</v>
      </c>
      <c r="AB23" s="4">
        <v>14.997999999999999</v>
      </c>
      <c r="AC23" s="4">
        <v>16.573</v>
      </c>
      <c r="AD23" s="4">
        <v>15.06</v>
      </c>
      <c r="AE23" s="4">
        <v>16.207000000000001</v>
      </c>
      <c r="AF23" s="4">
        <v>18.254999999999999</v>
      </c>
      <c r="AG23" s="4">
        <v>15.332000000000001</v>
      </c>
      <c r="AH23" s="4">
        <v>16.420999999999999</v>
      </c>
      <c r="AI23" s="4">
        <v>13.273</v>
      </c>
      <c r="AJ23" s="4">
        <v>17.062999999999999</v>
      </c>
      <c r="AK23" s="4">
        <v>17.34</v>
      </c>
      <c r="AL23" s="4">
        <v>18.315999999999999</v>
      </c>
      <c r="AM23" s="4">
        <v>15.129</v>
      </c>
      <c r="AN23" s="4">
        <v>17.742999999999999</v>
      </c>
      <c r="AO23" s="4">
        <v>15.757</v>
      </c>
      <c r="AP23" s="4">
        <v>14.930999999999999</v>
      </c>
      <c r="AQ23" s="4">
        <v>13.217000000000001</v>
      </c>
      <c r="AR23" s="4">
        <v>14.138999999999999</v>
      </c>
      <c r="AS23" s="4">
        <v>15.618</v>
      </c>
      <c r="AT23" s="4">
        <v>15.614000000000001</v>
      </c>
      <c r="AU23" s="4">
        <v>16.440999999999999</v>
      </c>
      <c r="AV23" s="4">
        <v>16.518999999999998</v>
      </c>
      <c r="AW23" s="4">
        <v>16.497</v>
      </c>
      <c r="AX23" s="4">
        <v>17.815999999999999</v>
      </c>
      <c r="AY23" s="4">
        <v>16.515999999999998</v>
      </c>
      <c r="AZ23" s="4">
        <v>15.632</v>
      </c>
      <c r="BA23" s="4">
        <v>17.652999999999999</v>
      </c>
      <c r="BB23" s="4">
        <v>15.699</v>
      </c>
      <c r="BC23" s="4">
        <v>18.059000000000001</v>
      </c>
      <c r="BD23" s="4">
        <v>15.523</v>
      </c>
      <c r="BE23" s="4">
        <v>15.864000000000001</v>
      </c>
      <c r="BF23" s="4">
        <v>14.919</v>
      </c>
      <c r="BG23" s="4">
        <v>16.038</v>
      </c>
      <c r="BH23" s="4">
        <v>16.324000000000002</v>
      </c>
      <c r="BI23" s="4">
        <v>16.533999999999999</v>
      </c>
      <c r="BJ23" s="4">
        <v>13.314</v>
      </c>
      <c r="BK23" s="4">
        <v>16.195</v>
      </c>
      <c r="BL23" s="4">
        <v>13.888999999999999</v>
      </c>
      <c r="BM23" s="4">
        <v>13.074999999999999</v>
      </c>
      <c r="BN23" s="4">
        <v>14.766999999999999</v>
      </c>
      <c r="BO23" s="4">
        <v>13.092000000000001</v>
      </c>
      <c r="BP23" s="4">
        <v>16.109000000000002</v>
      </c>
      <c r="BQ23" s="4">
        <v>16.09</v>
      </c>
      <c r="BR23" s="4">
        <v>16.734000000000002</v>
      </c>
      <c r="BS23" s="4">
        <v>17.852</v>
      </c>
      <c r="BT23" s="4">
        <v>16.108000000000001</v>
      </c>
      <c r="BU23" s="4">
        <v>16.460999999999999</v>
      </c>
      <c r="BV23" s="4">
        <v>17.202999999999999</v>
      </c>
      <c r="BW23" s="4">
        <v>14.77</v>
      </c>
      <c r="BX23" s="4">
        <v>15.063000000000001</v>
      </c>
      <c r="BY23" s="4">
        <v>16.105</v>
      </c>
      <c r="BZ23" s="4">
        <v>16.344000000000001</v>
      </c>
      <c r="CA23" s="4">
        <v>17.603999999999999</v>
      </c>
      <c r="CB23" s="4">
        <v>17.018999999999998</v>
      </c>
      <c r="CC23" s="4">
        <v>13.733000000000001</v>
      </c>
      <c r="CD23" s="4">
        <v>16.170999999999999</v>
      </c>
      <c r="CE23" s="4">
        <v>15.128</v>
      </c>
      <c r="CF23" s="4">
        <v>15.382999999999999</v>
      </c>
      <c r="CG23" s="4">
        <v>17.402999999999999</v>
      </c>
      <c r="CH23" s="4">
        <v>16.626000000000001</v>
      </c>
      <c r="CI23" s="4">
        <v>15.597</v>
      </c>
      <c r="CJ23" s="4">
        <v>11.744</v>
      </c>
      <c r="CK23" s="4">
        <v>17.873000000000001</v>
      </c>
      <c r="CL23" s="4">
        <v>11.249000000000001</v>
      </c>
      <c r="CM23" s="4">
        <v>17.323</v>
      </c>
      <c r="CN23" s="4">
        <v>16.204999999999998</v>
      </c>
      <c r="CO23" s="4">
        <v>16.606000000000002</v>
      </c>
      <c r="CP23" s="4">
        <v>15.353</v>
      </c>
      <c r="CQ23" s="4">
        <v>18.138999999999999</v>
      </c>
      <c r="CR23" s="4">
        <v>16.536000000000001</v>
      </c>
      <c r="CS23" s="4">
        <v>17.260999999999999</v>
      </c>
      <c r="CT23" s="4">
        <v>17.347000000000001</v>
      </c>
      <c r="CU23" s="4">
        <v>16.193999999999999</v>
      </c>
      <c r="CV23" s="4">
        <v>16.718</v>
      </c>
      <c r="CW23" s="4">
        <v>15.644</v>
      </c>
      <c r="CX23" s="4">
        <v>16.132000000000001</v>
      </c>
      <c r="CY23" s="4">
        <v>16.175000000000001</v>
      </c>
      <c r="CZ23" s="4">
        <v>17.474</v>
      </c>
      <c r="DA23" s="4">
        <v>14.173999999999999</v>
      </c>
      <c r="DB23" s="4">
        <v>16.297000000000001</v>
      </c>
      <c r="DC23" s="4">
        <v>14.122</v>
      </c>
      <c r="DD23" s="4">
        <v>14.36</v>
      </c>
      <c r="DE23" s="4">
        <v>17.706</v>
      </c>
      <c r="DF23" s="4">
        <v>12.609</v>
      </c>
      <c r="DG23" s="4">
        <v>16.597999999999999</v>
      </c>
      <c r="DH23" s="4">
        <v>17.256</v>
      </c>
      <c r="DI23" s="4">
        <v>15.614000000000001</v>
      </c>
      <c r="DJ23" s="4">
        <v>17.882999999999999</v>
      </c>
      <c r="DK23" s="4">
        <v>16.619</v>
      </c>
      <c r="DL23" s="4">
        <v>16.356000000000002</v>
      </c>
      <c r="DM23" s="4">
        <v>18.11</v>
      </c>
      <c r="DN23" s="4">
        <v>16.097000000000001</v>
      </c>
      <c r="DO23" s="4">
        <v>16.698</v>
      </c>
      <c r="DP23" s="4">
        <v>12.544</v>
      </c>
      <c r="DQ23" s="4">
        <v>15.762</v>
      </c>
      <c r="DR23" s="4">
        <v>17.172000000000001</v>
      </c>
      <c r="DS23" s="4">
        <v>16.876000000000001</v>
      </c>
      <c r="DT23" s="4">
        <v>16.385000000000002</v>
      </c>
      <c r="DU23" s="4">
        <v>14.884</v>
      </c>
      <c r="DV23" s="4">
        <v>14.882999999999999</v>
      </c>
      <c r="DW23" s="4">
        <v>17.266999999999999</v>
      </c>
      <c r="DX23" s="4">
        <v>16.512</v>
      </c>
      <c r="DY23" s="4">
        <v>16.315000000000001</v>
      </c>
      <c r="DZ23" s="4">
        <v>17.36</v>
      </c>
      <c r="EA23" s="4">
        <v>17.533000000000001</v>
      </c>
      <c r="EB23" s="4">
        <v>16.507000000000001</v>
      </c>
      <c r="EC23" s="4">
        <v>12.753</v>
      </c>
      <c r="ED23" s="4">
        <v>17.239000000000001</v>
      </c>
      <c r="EE23" s="4">
        <v>17.972999999999999</v>
      </c>
      <c r="EF23" s="4">
        <v>15.971</v>
      </c>
      <c r="EG23" s="4">
        <v>16.367000000000001</v>
      </c>
      <c r="EH23" s="4">
        <v>14.911</v>
      </c>
      <c r="EI23" s="4">
        <v>16.753</v>
      </c>
      <c r="EJ23" s="4">
        <v>16.341999999999999</v>
      </c>
      <c r="EK23" s="4">
        <v>17.792000000000002</v>
      </c>
      <c r="EL23" s="4">
        <v>16.491</v>
      </c>
      <c r="EM23" s="4">
        <v>16.850999999999999</v>
      </c>
      <c r="EN23" s="4">
        <v>15.627000000000001</v>
      </c>
      <c r="EO23" s="4">
        <v>16.890999999999998</v>
      </c>
      <c r="EP23" s="4">
        <v>16.219000000000001</v>
      </c>
      <c r="EQ23" s="4">
        <v>14.641999999999999</v>
      </c>
      <c r="ER23" s="4">
        <v>18.332999999999998</v>
      </c>
      <c r="ES23" s="4">
        <v>15.391</v>
      </c>
      <c r="ET23" s="4">
        <v>15.420999999999999</v>
      </c>
      <c r="EU23" s="4">
        <v>18.177</v>
      </c>
      <c r="EV23" s="4">
        <v>13.956</v>
      </c>
      <c r="EW23" s="4">
        <v>17.335000000000001</v>
      </c>
      <c r="EX23" s="4">
        <v>13.686</v>
      </c>
      <c r="EY23" s="4">
        <v>16.225999999999999</v>
      </c>
      <c r="EZ23" s="4">
        <v>18.312000000000001</v>
      </c>
      <c r="FA23" s="4">
        <v>13.69</v>
      </c>
      <c r="FB23" s="4">
        <v>17.116</v>
      </c>
      <c r="FC23" s="4">
        <v>16.350000000000001</v>
      </c>
      <c r="FD23" s="4">
        <v>16.742000000000001</v>
      </c>
      <c r="FE23" s="4">
        <v>16.373999999999999</v>
      </c>
      <c r="FF23" s="4">
        <v>16.398</v>
      </c>
      <c r="FG23" s="4">
        <v>17.713000000000001</v>
      </c>
      <c r="FH23" s="4">
        <v>17.463000000000001</v>
      </c>
      <c r="FI23" s="4">
        <v>15.119</v>
      </c>
      <c r="FJ23" s="4">
        <v>17.844000000000001</v>
      </c>
      <c r="FK23" s="4">
        <v>16.558</v>
      </c>
      <c r="FL23" s="4">
        <v>16.622</v>
      </c>
      <c r="FM23" s="4">
        <v>15.157</v>
      </c>
      <c r="FN23" s="4">
        <v>18.013000000000002</v>
      </c>
      <c r="FO23" s="4">
        <v>15.504</v>
      </c>
      <c r="FP23" s="4">
        <v>15.417999999999999</v>
      </c>
      <c r="FQ23" s="4">
        <v>15.506</v>
      </c>
      <c r="FR23" s="4">
        <v>14.920999999999999</v>
      </c>
      <c r="FS23" s="4">
        <v>15.311</v>
      </c>
      <c r="FT23" s="4">
        <v>16.459</v>
      </c>
      <c r="FU23" s="4">
        <v>16.260000000000002</v>
      </c>
      <c r="FV23" s="4">
        <v>14.02</v>
      </c>
      <c r="FW23" s="4">
        <v>16.588999999999999</v>
      </c>
      <c r="FX23" s="4">
        <v>16.506</v>
      </c>
      <c r="FY23" s="4">
        <v>16.841999999999999</v>
      </c>
      <c r="FZ23" s="4">
        <v>16.265999999999998</v>
      </c>
      <c r="GA23" s="4">
        <v>15.36</v>
      </c>
      <c r="GB23" s="4">
        <v>17.652999999999999</v>
      </c>
      <c r="GC23" s="4">
        <v>16.814</v>
      </c>
      <c r="GD23" s="4">
        <v>16.699000000000002</v>
      </c>
      <c r="GE23" s="4">
        <v>16.411000000000001</v>
      </c>
      <c r="GF23" s="4">
        <v>16.600999999999999</v>
      </c>
      <c r="GG23" s="4">
        <v>15.06</v>
      </c>
      <c r="GH23" s="4">
        <v>14.577999999999999</v>
      </c>
      <c r="GI23" s="4">
        <v>17.216000000000001</v>
      </c>
      <c r="GJ23" s="4">
        <v>16.641999999999999</v>
      </c>
      <c r="GK23" s="4">
        <v>17.251000000000001</v>
      </c>
      <c r="GL23" s="4">
        <v>17.521999999999998</v>
      </c>
      <c r="GM23" s="4">
        <v>17.347999999999999</v>
      </c>
      <c r="GN23" s="4">
        <v>13.801</v>
      </c>
      <c r="GO23" s="4">
        <v>16.37</v>
      </c>
      <c r="GP23" s="4">
        <v>14.137</v>
      </c>
      <c r="GQ23" s="4">
        <v>14.747999999999999</v>
      </c>
      <c r="GR23" s="4">
        <v>14.561</v>
      </c>
      <c r="GS23" s="4">
        <v>16.954999999999998</v>
      </c>
      <c r="GT23" s="4">
        <v>13.542</v>
      </c>
      <c r="GU23" s="4">
        <v>17.349</v>
      </c>
      <c r="GV23" s="4">
        <v>15.603999999999999</v>
      </c>
      <c r="GW23" s="4">
        <v>14.742000000000001</v>
      </c>
      <c r="GX23" s="4">
        <v>12.426</v>
      </c>
      <c r="GY23" s="4">
        <v>15.44</v>
      </c>
      <c r="GZ23" s="4">
        <v>17.678000000000001</v>
      </c>
      <c r="HA23" s="4">
        <v>16.606000000000002</v>
      </c>
      <c r="HB23" s="4">
        <v>16.059000000000001</v>
      </c>
      <c r="HC23" s="4">
        <v>17.044</v>
      </c>
      <c r="HD23" s="4">
        <v>12.765000000000001</v>
      </c>
      <c r="HE23" s="4">
        <v>16.013999999999999</v>
      </c>
      <c r="HF23" s="4">
        <v>12.451000000000001</v>
      </c>
      <c r="HG23" s="4">
        <v>16.760999999999999</v>
      </c>
      <c r="HH23" s="4">
        <v>15.551</v>
      </c>
      <c r="HI23" s="4">
        <v>15.52</v>
      </c>
      <c r="HJ23" s="4">
        <v>17.465</v>
      </c>
      <c r="HK23" s="4">
        <v>17.515000000000001</v>
      </c>
      <c r="HL23" s="4">
        <v>17.515000000000001</v>
      </c>
      <c r="HM23" s="4">
        <v>15.885999999999999</v>
      </c>
      <c r="HN23" s="4">
        <v>15.766999999999999</v>
      </c>
      <c r="HO23" s="4">
        <v>15.478999999999999</v>
      </c>
      <c r="HP23" s="4">
        <v>15.635999999999999</v>
      </c>
      <c r="HQ23" s="4">
        <v>17.699000000000002</v>
      </c>
      <c r="HR23" s="4">
        <v>16.369</v>
      </c>
      <c r="HS23" s="4">
        <v>15.553000000000001</v>
      </c>
      <c r="HT23" s="4">
        <v>16.052</v>
      </c>
      <c r="HU23" s="4">
        <v>16.334</v>
      </c>
      <c r="HV23" s="4">
        <v>16.887</v>
      </c>
      <c r="HW23" s="4">
        <v>13.701000000000001</v>
      </c>
      <c r="HX23" s="4">
        <v>17.53</v>
      </c>
      <c r="HY23" s="4">
        <v>17.872</v>
      </c>
      <c r="HZ23" s="4">
        <v>17.364000000000001</v>
      </c>
      <c r="IA23" s="4">
        <v>13.302</v>
      </c>
      <c r="IB23" s="4">
        <v>17.423999999999999</v>
      </c>
      <c r="IC23" s="4">
        <v>18.143000000000001</v>
      </c>
      <c r="ID23" s="4">
        <v>17.338000000000001</v>
      </c>
      <c r="IE23" s="4">
        <v>17.72</v>
      </c>
      <c r="IF23" s="4">
        <v>17.669</v>
      </c>
      <c r="IG23" s="4">
        <v>15.462</v>
      </c>
      <c r="IH23" s="4">
        <v>13.117000000000001</v>
      </c>
      <c r="II23" s="4">
        <v>13.345000000000001</v>
      </c>
      <c r="IJ23" s="4">
        <v>16.812999999999999</v>
      </c>
      <c r="IK23" s="4">
        <v>17.155999999999999</v>
      </c>
      <c r="IL23" s="4">
        <v>13.351000000000001</v>
      </c>
      <c r="IM23" s="4">
        <v>17.658999999999999</v>
      </c>
      <c r="IN23" s="4">
        <v>15.33</v>
      </c>
      <c r="IO23" s="4">
        <v>15.116</v>
      </c>
      <c r="IP23" s="4">
        <v>16.082999999999998</v>
      </c>
      <c r="IQ23" s="4">
        <v>17.690000000000001</v>
      </c>
      <c r="IR23" s="4">
        <v>17.838000000000001</v>
      </c>
      <c r="IS23" s="4">
        <v>12.885999999999999</v>
      </c>
      <c r="IT23" s="4">
        <v>16.265999999999998</v>
      </c>
      <c r="IU23" s="4">
        <v>13.391999999999999</v>
      </c>
      <c r="IV23" s="4">
        <v>17.52</v>
      </c>
      <c r="IW23" s="4">
        <v>11.541</v>
      </c>
      <c r="IX23" s="4">
        <v>16.96</v>
      </c>
      <c r="IY23" s="4">
        <v>16.085000000000001</v>
      </c>
      <c r="IZ23" s="4">
        <v>16.123000000000001</v>
      </c>
      <c r="JA23" s="4">
        <v>15.86</v>
      </c>
      <c r="JB23" s="4">
        <v>15.965999999999999</v>
      </c>
      <c r="JC23" s="4">
        <v>14.964</v>
      </c>
      <c r="JD23" s="4">
        <v>16.655999999999999</v>
      </c>
      <c r="JE23" s="4">
        <v>17.463000000000001</v>
      </c>
      <c r="JF23" s="4">
        <v>17.481999999999999</v>
      </c>
      <c r="JG23" s="4">
        <v>16.332000000000001</v>
      </c>
      <c r="JH23" s="4">
        <v>17.614000000000001</v>
      </c>
      <c r="JI23" s="4">
        <v>15.291</v>
      </c>
      <c r="JJ23" s="4">
        <v>16.376000000000001</v>
      </c>
      <c r="JK23" s="4">
        <v>16.11</v>
      </c>
      <c r="JL23" s="4">
        <v>17.885999999999999</v>
      </c>
      <c r="JM23" s="4">
        <v>16.885999999999999</v>
      </c>
      <c r="JN23" s="4">
        <v>16.614999999999998</v>
      </c>
      <c r="JO23" s="4">
        <v>17.47</v>
      </c>
      <c r="JP23" s="4">
        <v>17.224</v>
      </c>
      <c r="JQ23" s="4">
        <v>16.228000000000002</v>
      </c>
      <c r="JR23" s="4">
        <v>15.7</v>
      </c>
      <c r="JS23" s="4">
        <v>15.361000000000001</v>
      </c>
      <c r="JT23" s="4">
        <v>17.471</v>
      </c>
      <c r="JU23" s="4">
        <v>17.481999999999999</v>
      </c>
      <c r="JV23" s="4">
        <v>16.885999999999999</v>
      </c>
      <c r="JW23" s="4">
        <v>16.834</v>
      </c>
      <c r="JX23" s="4">
        <v>15.968</v>
      </c>
      <c r="JY23" s="4">
        <v>16.434999999999999</v>
      </c>
      <c r="JZ23" s="4">
        <v>16.913</v>
      </c>
      <c r="KA23" s="4">
        <v>16.856000000000002</v>
      </c>
      <c r="KB23" s="4">
        <v>14.645</v>
      </c>
      <c r="KC23" s="4">
        <v>14.202999999999999</v>
      </c>
      <c r="KD23" s="4">
        <v>16.367999999999999</v>
      </c>
      <c r="KE23" s="4">
        <v>17.669</v>
      </c>
      <c r="KF23" s="4">
        <v>16.306999999999999</v>
      </c>
      <c r="KG23" s="4">
        <v>17.510000000000002</v>
      </c>
      <c r="KH23" s="4">
        <v>16.175000000000001</v>
      </c>
      <c r="KI23" s="4">
        <v>16.469000000000001</v>
      </c>
      <c r="KJ23" s="4">
        <v>17.201000000000001</v>
      </c>
      <c r="KK23" s="4">
        <v>16.317</v>
      </c>
      <c r="KL23" s="4">
        <v>15.941000000000001</v>
      </c>
      <c r="KM23" s="4">
        <v>13.178000000000001</v>
      </c>
      <c r="KN23" s="4">
        <v>16.047999999999998</v>
      </c>
      <c r="KO23" s="4">
        <v>14.166</v>
      </c>
      <c r="KP23" s="4">
        <v>16.425999999999998</v>
      </c>
      <c r="KQ23" s="4">
        <v>17.428999999999998</v>
      </c>
      <c r="KR23" s="4">
        <v>15.602</v>
      </c>
      <c r="KS23" s="4">
        <v>17.811</v>
      </c>
    </row>
    <row r="24" spans="1:308" x14ac:dyDescent="0.25">
      <c r="A24" s="4">
        <v>2015</v>
      </c>
      <c r="B24" s="4">
        <v>9</v>
      </c>
      <c r="C24" s="4">
        <v>8</v>
      </c>
      <c r="D24" s="4">
        <v>13.005000000000001</v>
      </c>
      <c r="E24" s="4">
        <v>12.67</v>
      </c>
      <c r="F24" s="4">
        <v>11.911</v>
      </c>
      <c r="G24" s="4">
        <v>12.425000000000001</v>
      </c>
      <c r="H24" s="4">
        <v>9.9090000000000007</v>
      </c>
      <c r="I24" s="4">
        <v>11.558999999999999</v>
      </c>
      <c r="J24" s="4">
        <v>9.9860000000000007</v>
      </c>
      <c r="K24" s="4">
        <v>12.138999999999999</v>
      </c>
      <c r="L24" s="4">
        <v>13.173999999999999</v>
      </c>
      <c r="M24" s="4">
        <v>9.9770000000000003</v>
      </c>
      <c r="N24" s="4">
        <v>12.31</v>
      </c>
      <c r="O24" s="4">
        <v>8.7449999999999992</v>
      </c>
      <c r="P24" s="4">
        <v>11.048</v>
      </c>
      <c r="Q24" s="4">
        <v>8.6609999999999996</v>
      </c>
      <c r="R24" s="4">
        <v>8.9220000000000006</v>
      </c>
      <c r="S24" s="4">
        <v>11.417999999999999</v>
      </c>
      <c r="T24" s="4">
        <v>11.417999999999999</v>
      </c>
      <c r="U24" s="4">
        <v>11.307</v>
      </c>
      <c r="V24" s="4">
        <v>11.846</v>
      </c>
      <c r="W24" s="4">
        <v>11.436</v>
      </c>
      <c r="X24" s="4">
        <v>13.015000000000001</v>
      </c>
      <c r="Y24" s="4">
        <v>11.32</v>
      </c>
      <c r="Z24" s="4">
        <v>9.9420000000000002</v>
      </c>
      <c r="AA24" s="4">
        <v>13.356</v>
      </c>
      <c r="AB24" s="4">
        <v>10.545999999999999</v>
      </c>
      <c r="AC24" s="4">
        <v>11.677</v>
      </c>
      <c r="AD24" s="4">
        <v>11.007999999999999</v>
      </c>
      <c r="AE24" s="4">
        <v>11.605</v>
      </c>
      <c r="AF24" s="4">
        <v>14.340999999999999</v>
      </c>
      <c r="AG24" s="4">
        <v>11.042</v>
      </c>
      <c r="AH24" s="4">
        <v>12.45</v>
      </c>
      <c r="AI24" s="4">
        <v>9.7330000000000005</v>
      </c>
      <c r="AJ24" s="4">
        <v>12.561999999999999</v>
      </c>
      <c r="AK24" s="4">
        <v>13.108000000000001</v>
      </c>
      <c r="AL24" s="4">
        <v>14.090999999999999</v>
      </c>
      <c r="AM24" s="4">
        <v>11.212</v>
      </c>
      <c r="AN24" s="4">
        <v>13.218</v>
      </c>
      <c r="AO24" s="4">
        <v>11.234999999999999</v>
      </c>
      <c r="AP24" s="4">
        <v>10.867000000000001</v>
      </c>
      <c r="AQ24" s="4">
        <v>9.1560000000000006</v>
      </c>
      <c r="AR24" s="4">
        <v>10.23</v>
      </c>
      <c r="AS24" s="4">
        <v>11.176</v>
      </c>
      <c r="AT24" s="4">
        <v>11.215999999999999</v>
      </c>
      <c r="AU24" s="4">
        <v>12.079000000000001</v>
      </c>
      <c r="AV24" s="4">
        <v>12.287000000000001</v>
      </c>
      <c r="AW24" s="4">
        <v>12.289</v>
      </c>
      <c r="AX24" s="4">
        <v>13.364000000000001</v>
      </c>
      <c r="AY24" s="4">
        <v>12.135</v>
      </c>
      <c r="AZ24" s="4">
        <v>11.18</v>
      </c>
      <c r="BA24" s="4">
        <v>13.352</v>
      </c>
      <c r="BB24" s="4">
        <v>11.554</v>
      </c>
      <c r="BC24" s="4">
        <v>14.851000000000001</v>
      </c>
      <c r="BD24" s="4">
        <v>11.305</v>
      </c>
      <c r="BE24" s="4">
        <v>11.643000000000001</v>
      </c>
      <c r="BF24" s="4">
        <v>10.926</v>
      </c>
      <c r="BG24" s="4">
        <v>11.939</v>
      </c>
      <c r="BH24" s="4">
        <v>12.131</v>
      </c>
      <c r="BI24" s="4">
        <v>12.13</v>
      </c>
      <c r="BJ24" s="4">
        <v>9.4290000000000003</v>
      </c>
      <c r="BK24" s="4">
        <v>11.896000000000001</v>
      </c>
      <c r="BL24" s="4">
        <v>9.6449999999999996</v>
      </c>
      <c r="BM24" s="4">
        <v>8.7729999999999997</v>
      </c>
      <c r="BN24" s="4">
        <v>10.455</v>
      </c>
      <c r="BO24" s="4">
        <v>8.7360000000000007</v>
      </c>
      <c r="BP24" s="4">
        <v>12.055</v>
      </c>
      <c r="BQ24" s="4">
        <v>11.451000000000001</v>
      </c>
      <c r="BR24" s="4">
        <v>12.295999999999999</v>
      </c>
      <c r="BS24" s="4">
        <v>13.473000000000001</v>
      </c>
      <c r="BT24" s="4">
        <v>12.127000000000001</v>
      </c>
      <c r="BU24" s="4">
        <v>12.273999999999999</v>
      </c>
      <c r="BV24" s="4">
        <v>12.718</v>
      </c>
      <c r="BW24" s="4">
        <v>10.815</v>
      </c>
      <c r="BX24" s="4">
        <v>11.007</v>
      </c>
      <c r="BY24" s="4">
        <v>11.858000000000001</v>
      </c>
      <c r="BZ24" s="4">
        <v>12.038</v>
      </c>
      <c r="CA24" s="4">
        <v>13.124000000000001</v>
      </c>
      <c r="CB24" s="4">
        <v>12.627000000000001</v>
      </c>
      <c r="CC24" s="4">
        <v>10.061999999999999</v>
      </c>
      <c r="CD24" s="4">
        <v>12.337</v>
      </c>
      <c r="CE24" s="4">
        <v>11.308</v>
      </c>
      <c r="CF24" s="4">
        <v>11.802</v>
      </c>
      <c r="CG24" s="4">
        <v>12.82</v>
      </c>
      <c r="CH24" s="4">
        <v>12.019</v>
      </c>
      <c r="CI24" s="4">
        <v>11.205</v>
      </c>
      <c r="CJ24" s="4">
        <v>8.1720000000000006</v>
      </c>
      <c r="CK24" s="4">
        <v>13.701000000000001</v>
      </c>
      <c r="CL24" s="4">
        <v>7.3710000000000004</v>
      </c>
      <c r="CM24" s="4">
        <v>13.585000000000001</v>
      </c>
      <c r="CN24" s="4">
        <v>11.676</v>
      </c>
      <c r="CO24" s="4">
        <v>12.662000000000001</v>
      </c>
      <c r="CP24" s="4">
        <v>11.117000000000001</v>
      </c>
      <c r="CQ24" s="4">
        <v>14.021000000000001</v>
      </c>
      <c r="CR24" s="4">
        <v>12.499000000000001</v>
      </c>
      <c r="CS24" s="4">
        <v>12.638999999999999</v>
      </c>
      <c r="CT24" s="4">
        <v>12.791</v>
      </c>
      <c r="CU24" s="4">
        <v>11.836</v>
      </c>
      <c r="CV24" s="4">
        <v>12.643000000000001</v>
      </c>
      <c r="CW24" s="4">
        <v>11.864000000000001</v>
      </c>
      <c r="CX24" s="4">
        <v>11.994</v>
      </c>
      <c r="CY24" s="4">
        <v>11.500999999999999</v>
      </c>
      <c r="CZ24" s="4">
        <v>13.194000000000001</v>
      </c>
      <c r="DA24" s="4">
        <v>9.4179999999999993</v>
      </c>
      <c r="DB24" s="4">
        <v>11.614000000000001</v>
      </c>
      <c r="DC24" s="4">
        <v>10.047000000000001</v>
      </c>
      <c r="DD24" s="4">
        <v>10.395</v>
      </c>
      <c r="DE24" s="4">
        <v>13.867000000000001</v>
      </c>
      <c r="DF24" s="4">
        <v>8.8230000000000004</v>
      </c>
      <c r="DG24" s="4">
        <v>12.731999999999999</v>
      </c>
      <c r="DH24" s="4">
        <v>13.204000000000001</v>
      </c>
      <c r="DI24" s="4">
        <v>11.03</v>
      </c>
      <c r="DJ24" s="4">
        <v>13.81</v>
      </c>
      <c r="DK24" s="4">
        <v>12.253</v>
      </c>
      <c r="DL24" s="4">
        <v>12.092000000000001</v>
      </c>
      <c r="DM24" s="4">
        <v>13.763999999999999</v>
      </c>
      <c r="DN24" s="4">
        <v>11.84</v>
      </c>
      <c r="DO24" s="4">
        <v>11.923</v>
      </c>
      <c r="DP24" s="4">
        <v>8.3930000000000007</v>
      </c>
      <c r="DQ24" s="4">
        <v>11.567</v>
      </c>
      <c r="DR24" s="4">
        <v>12.635</v>
      </c>
      <c r="DS24" s="4">
        <v>12.491</v>
      </c>
      <c r="DT24" s="4">
        <v>12.125999999999999</v>
      </c>
      <c r="DU24" s="4">
        <v>10.59</v>
      </c>
      <c r="DV24" s="4">
        <v>11.191000000000001</v>
      </c>
      <c r="DW24" s="4">
        <v>13.04</v>
      </c>
      <c r="DX24" s="4">
        <v>12.061</v>
      </c>
      <c r="DY24" s="4">
        <v>12.186999999999999</v>
      </c>
      <c r="DZ24" s="4">
        <v>13.055</v>
      </c>
      <c r="EA24" s="4">
        <v>13.09</v>
      </c>
      <c r="EB24" s="4">
        <v>12.231999999999999</v>
      </c>
      <c r="EC24" s="4">
        <v>8.8239999999999998</v>
      </c>
      <c r="ED24" s="4">
        <v>12.855</v>
      </c>
      <c r="EE24" s="4">
        <v>14.003</v>
      </c>
      <c r="EF24" s="4">
        <v>11.451000000000001</v>
      </c>
      <c r="EG24" s="4">
        <v>12.048</v>
      </c>
      <c r="EH24" s="4">
        <v>10.656000000000001</v>
      </c>
      <c r="EI24" s="4">
        <v>12.156000000000001</v>
      </c>
      <c r="EJ24" s="4">
        <v>11.811</v>
      </c>
      <c r="EK24" s="4">
        <v>13.233000000000001</v>
      </c>
      <c r="EL24" s="4">
        <v>12.444000000000001</v>
      </c>
      <c r="EM24" s="4">
        <v>12.272</v>
      </c>
      <c r="EN24" s="4">
        <v>11.323</v>
      </c>
      <c r="EO24" s="4">
        <v>12.638</v>
      </c>
      <c r="EP24" s="4">
        <v>11.683</v>
      </c>
      <c r="EQ24" s="4">
        <v>10.488</v>
      </c>
      <c r="ER24" s="4">
        <v>14.13</v>
      </c>
      <c r="ES24" s="4">
        <v>11.03</v>
      </c>
      <c r="ET24" s="4">
        <v>11.204000000000001</v>
      </c>
      <c r="EU24" s="4">
        <v>13.829000000000001</v>
      </c>
      <c r="EV24" s="4">
        <v>9.6880000000000006</v>
      </c>
      <c r="EW24" s="4">
        <v>13.57</v>
      </c>
      <c r="EX24" s="4">
        <v>9.2219999999999995</v>
      </c>
      <c r="EY24" s="4">
        <v>11.683</v>
      </c>
      <c r="EZ24" s="4">
        <v>14.173999999999999</v>
      </c>
      <c r="FA24" s="4">
        <v>9.9269999999999996</v>
      </c>
      <c r="FB24" s="4">
        <v>13.004</v>
      </c>
      <c r="FC24" s="4">
        <v>11.94</v>
      </c>
      <c r="FD24" s="4">
        <v>12.496</v>
      </c>
      <c r="FE24" s="4">
        <v>12.356</v>
      </c>
      <c r="FF24" s="4">
        <v>12.032999999999999</v>
      </c>
      <c r="FG24" s="4">
        <v>13.189</v>
      </c>
      <c r="FH24" s="4">
        <v>13.343</v>
      </c>
      <c r="FI24" s="4">
        <v>11.1</v>
      </c>
      <c r="FJ24" s="4">
        <v>14.129</v>
      </c>
      <c r="FK24" s="4">
        <v>12.302</v>
      </c>
      <c r="FL24" s="4">
        <v>12.198</v>
      </c>
      <c r="FM24" s="4">
        <v>11.135</v>
      </c>
      <c r="FN24" s="4">
        <v>13.384</v>
      </c>
      <c r="FO24" s="4">
        <v>10.933999999999999</v>
      </c>
      <c r="FP24" s="4">
        <v>11.06</v>
      </c>
      <c r="FQ24" s="4">
        <v>11.07</v>
      </c>
      <c r="FR24" s="4">
        <v>11.199</v>
      </c>
      <c r="FS24" s="4">
        <v>11.237</v>
      </c>
      <c r="FT24" s="4">
        <v>12.441000000000001</v>
      </c>
      <c r="FU24" s="4">
        <v>12.468</v>
      </c>
      <c r="FV24" s="4">
        <v>9.5079999999999991</v>
      </c>
      <c r="FW24" s="4">
        <v>12.385</v>
      </c>
      <c r="FX24" s="4">
        <v>12.516999999999999</v>
      </c>
      <c r="FY24" s="4">
        <v>12.49</v>
      </c>
      <c r="FZ24" s="4">
        <v>13.19</v>
      </c>
      <c r="GA24" s="4">
        <v>11.292999999999999</v>
      </c>
      <c r="GB24" s="4">
        <v>14.157</v>
      </c>
      <c r="GC24" s="4">
        <v>12.423</v>
      </c>
      <c r="GD24" s="4">
        <v>12.207000000000001</v>
      </c>
      <c r="GE24" s="4">
        <v>12.304</v>
      </c>
      <c r="GF24" s="4">
        <v>12.044</v>
      </c>
      <c r="GG24" s="4">
        <v>11.311999999999999</v>
      </c>
      <c r="GH24" s="4">
        <v>10.842000000000001</v>
      </c>
      <c r="GI24" s="4">
        <v>12.874000000000001</v>
      </c>
      <c r="GJ24" s="4">
        <v>12.14</v>
      </c>
      <c r="GK24" s="4">
        <v>13.206</v>
      </c>
      <c r="GL24" s="4">
        <v>13.016</v>
      </c>
      <c r="GM24" s="4">
        <v>12.86</v>
      </c>
      <c r="GN24" s="4">
        <v>9.6579999999999995</v>
      </c>
      <c r="GO24" s="4">
        <v>12.286</v>
      </c>
      <c r="GP24" s="4">
        <v>10.494999999999999</v>
      </c>
      <c r="GQ24" s="4">
        <v>10.438000000000001</v>
      </c>
      <c r="GR24" s="4">
        <v>10.292999999999999</v>
      </c>
      <c r="GS24" s="4">
        <v>12.967000000000001</v>
      </c>
      <c r="GT24" s="4">
        <v>9.3469999999999995</v>
      </c>
      <c r="GU24" s="4">
        <v>12.788</v>
      </c>
      <c r="GV24" s="4">
        <v>10.835000000000001</v>
      </c>
      <c r="GW24" s="4">
        <v>10.500999999999999</v>
      </c>
      <c r="GX24" s="4">
        <v>8.4260000000000002</v>
      </c>
      <c r="GY24" s="4">
        <v>10.99</v>
      </c>
      <c r="GZ24" s="4">
        <v>13.484</v>
      </c>
      <c r="HA24" s="4">
        <v>12.234</v>
      </c>
      <c r="HB24" s="4">
        <v>11.628</v>
      </c>
      <c r="HC24" s="4">
        <v>12.907999999999999</v>
      </c>
      <c r="HD24" s="4">
        <v>8.6620000000000008</v>
      </c>
      <c r="HE24" s="4">
        <v>11.972</v>
      </c>
      <c r="HF24" s="4">
        <v>8.7530000000000001</v>
      </c>
      <c r="HG24" s="4">
        <v>12.717000000000001</v>
      </c>
      <c r="HH24" s="4">
        <v>11.061999999999999</v>
      </c>
      <c r="HI24" s="4">
        <v>11.090999999999999</v>
      </c>
      <c r="HJ24" s="4">
        <v>12.795</v>
      </c>
      <c r="HK24" s="4">
        <v>14.285</v>
      </c>
      <c r="HL24" s="4">
        <v>13.196</v>
      </c>
      <c r="HM24" s="4">
        <v>11.79</v>
      </c>
      <c r="HN24" s="4">
        <v>10.856999999999999</v>
      </c>
      <c r="HO24" s="4">
        <v>11.202999999999999</v>
      </c>
      <c r="HP24" s="4">
        <v>11.445</v>
      </c>
      <c r="HQ24" s="4">
        <v>13.478999999999999</v>
      </c>
      <c r="HR24" s="4">
        <v>12.332000000000001</v>
      </c>
      <c r="HS24" s="4">
        <v>11.14</v>
      </c>
      <c r="HT24" s="4">
        <v>12.199</v>
      </c>
      <c r="HU24" s="4">
        <v>12.473000000000001</v>
      </c>
      <c r="HV24" s="4">
        <v>12.679</v>
      </c>
      <c r="HW24" s="4">
        <v>9.9339999999999993</v>
      </c>
      <c r="HX24" s="4">
        <v>13.063000000000001</v>
      </c>
      <c r="HY24" s="4">
        <v>13.41</v>
      </c>
      <c r="HZ24" s="4">
        <v>13.417999999999999</v>
      </c>
      <c r="IA24" s="4">
        <v>8.9480000000000004</v>
      </c>
      <c r="IB24" s="4">
        <v>13.888</v>
      </c>
      <c r="IC24" s="4">
        <v>13.81</v>
      </c>
      <c r="ID24" s="4">
        <v>12.954000000000001</v>
      </c>
      <c r="IE24" s="4">
        <v>13.372</v>
      </c>
      <c r="IF24" s="4">
        <v>13.211</v>
      </c>
      <c r="IG24" s="4">
        <v>11.14</v>
      </c>
      <c r="IH24" s="4">
        <v>8.3889999999999993</v>
      </c>
      <c r="II24" s="4">
        <v>9.0850000000000009</v>
      </c>
      <c r="IJ24" s="4">
        <v>12.449</v>
      </c>
      <c r="IK24" s="4">
        <v>12.927</v>
      </c>
      <c r="IL24" s="4">
        <v>9.5489999999999995</v>
      </c>
      <c r="IM24" s="4">
        <v>13.323</v>
      </c>
      <c r="IN24" s="4">
        <v>11.497999999999999</v>
      </c>
      <c r="IO24" s="4">
        <v>11.205</v>
      </c>
      <c r="IP24" s="4">
        <v>11.691000000000001</v>
      </c>
      <c r="IQ24" s="4">
        <v>13.311</v>
      </c>
      <c r="IR24" s="4">
        <v>13.516999999999999</v>
      </c>
      <c r="IS24" s="4">
        <v>9.2319999999999993</v>
      </c>
      <c r="IT24" s="4">
        <v>11.395</v>
      </c>
      <c r="IU24" s="4">
        <v>9.7240000000000002</v>
      </c>
      <c r="IV24" s="4">
        <v>12.975</v>
      </c>
      <c r="IW24" s="4">
        <v>7.8120000000000003</v>
      </c>
      <c r="IX24" s="4">
        <v>12.589</v>
      </c>
      <c r="IY24" s="4">
        <v>11.762</v>
      </c>
      <c r="IZ24" s="4">
        <v>12.000999999999999</v>
      </c>
      <c r="JA24" s="4">
        <v>11.651999999999999</v>
      </c>
      <c r="JB24" s="4">
        <v>11.945</v>
      </c>
      <c r="JC24" s="4">
        <v>11.391</v>
      </c>
      <c r="JD24" s="4">
        <v>12.192</v>
      </c>
      <c r="JE24" s="4">
        <v>13.881</v>
      </c>
      <c r="JF24" s="4">
        <v>13.272</v>
      </c>
      <c r="JG24" s="4">
        <v>12.066000000000001</v>
      </c>
      <c r="JH24" s="4">
        <v>13.492000000000001</v>
      </c>
      <c r="JI24" s="4">
        <v>11.25</v>
      </c>
      <c r="JJ24" s="4">
        <v>11.691000000000001</v>
      </c>
      <c r="JK24" s="4">
        <v>11.315</v>
      </c>
      <c r="JL24" s="4">
        <v>14.295</v>
      </c>
      <c r="JM24" s="4">
        <v>12.43</v>
      </c>
      <c r="JN24" s="4">
        <v>12.698</v>
      </c>
      <c r="JO24" s="4">
        <v>13.132999999999999</v>
      </c>
      <c r="JP24" s="4">
        <v>12.762</v>
      </c>
      <c r="JQ24" s="4">
        <v>11.725</v>
      </c>
      <c r="JR24" s="4">
        <v>11.113</v>
      </c>
      <c r="JS24" s="4">
        <v>10.943</v>
      </c>
      <c r="JT24" s="4">
        <v>12.977</v>
      </c>
      <c r="JU24" s="4">
        <v>12.936999999999999</v>
      </c>
      <c r="JV24" s="4">
        <v>12.576000000000001</v>
      </c>
      <c r="JW24" s="4">
        <v>12.712999999999999</v>
      </c>
      <c r="JX24" s="4">
        <v>11.257</v>
      </c>
      <c r="JY24" s="4">
        <v>12.584</v>
      </c>
      <c r="JZ24" s="4">
        <v>12.417999999999999</v>
      </c>
      <c r="KA24" s="4">
        <v>12.494999999999999</v>
      </c>
      <c r="KB24" s="4">
        <v>10.391999999999999</v>
      </c>
      <c r="KC24" s="4">
        <v>10.256</v>
      </c>
      <c r="KD24" s="4">
        <v>12.340999999999999</v>
      </c>
      <c r="KE24" s="4">
        <v>13.452</v>
      </c>
      <c r="KF24" s="4">
        <v>11.763</v>
      </c>
      <c r="KG24" s="4">
        <v>13.081</v>
      </c>
      <c r="KH24" s="4">
        <v>11.548</v>
      </c>
      <c r="KI24" s="4">
        <v>12.263</v>
      </c>
      <c r="KJ24" s="4">
        <v>13.576000000000001</v>
      </c>
      <c r="KK24" s="4">
        <v>11.782</v>
      </c>
      <c r="KL24" s="4">
        <v>11.462</v>
      </c>
      <c r="KM24" s="4">
        <v>9.0869999999999997</v>
      </c>
      <c r="KN24" s="4">
        <v>11.869</v>
      </c>
      <c r="KO24" s="4">
        <v>9.7769999999999992</v>
      </c>
      <c r="KP24" s="4">
        <v>12.17</v>
      </c>
      <c r="KQ24" s="4">
        <v>13.659000000000001</v>
      </c>
      <c r="KR24" s="4">
        <v>11.332000000000001</v>
      </c>
      <c r="KS24" s="4">
        <v>14.22</v>
      </c>
    </row>
    <row r="25" spans="1:308" x14ac:dyDescent="0.25">
      <c r="A25" s="4">
        <v>2015</v>
      </c>
      <c r="B25" s="4">
        <v>10</v>
      </c>
      <c r="C25" s="4">
        <v>1.3720000000000001</v>
      </c>
      <c r="D25" s="4">
        <v>7.3849999999999998</v>
      </c>
      <c r="E25" s="4">
        <v>8.2129999999999992</v>
      </c>
      <c r="F25" s="4">
        <v>7.5540000000000003</v>
      </c>
      <c r="G25" s="4">
        <v>7.7149999999999999</v>
      </c>
      <c r="H25" s="4">
        <v>3.85</v>
      </c>
      <c r="I25" s="4">
        <v>7.3879999999999999</v>
      </c>
      <c r="J25" s="4">
        <v>2.113</v>
      </c>
      <c r="K25" s="4">
        <v>7.6</v>
      </c>
      <c r="L25" s="4">
        <v>8.9049999999999994</v>
      </c>
      <c r="M25" s="4">
        <v>3.3130000000000002</v>
      </c>
      <c r="N25" s="4">
        <v>6.6079999999999997</v>
      </c>
      <c r="O25" s="4">
        <v>3.7490000000000001</v>
      </c>
      <c r="P25" s="4">
        <v>6.5129999999999999</v>
      </c>
      <c r="Q25" s="4">
        <v>1.9219999999999999</v>
      </c>
      <c r="R25" s="4">
        <v>2.0979999999999999</v>
      </c>
      <c r="S25" s="4">
        <v>6.6319999999999997</v>
      </c>
      <c r="T25" s="4">
        <v>6.8490000000000002</v>
      </c>
      <c r="U25" s="4">
        <v>6.7679999999999998</v>
      </c>
      <c r="V25" s="4">
        <v>7.0030000000000001</v>
      </c>
      <c r="W25" s="4">
        <v>5.1630000000000003</v>
      </c>
      <c r="X25" s="4">
        <v>8.6530000000000005</v>
      </c>
      <c r="Y25" s="4">
        <v>6.9969999999999999</v>
      </c>
      <c r="Z25" s="4">
        <v>3.411</v>
      </c>
      <c r="AA25" s="4">
        <v>9.0190000000000001</v>
      </c>
      <c r="AB25" s="4">
        <v>2.6429999999999998</v>
      </c>
      <c r="AC25" s="4">
        <v>7.4720000000000004</v>
      </c>
      <c r="AD25" s="4">
        <v>4.7350000000000003</v>
      </c>
      <c r="AE25" s="4">
        <v>7.4269999999999996</v>
      </c>
      <c r="AF25" s="4">
        <v>9.5190000000000001</v>
      </c>
      <c r="AG25" s="4">
        <v>5.3940000000000001</v>
      </c>
      <c r="AH25" s="4">
        <v>6.6769999999999996</v>
      </c>
      <c r="AI25" s="4">
        <v>3.573</v>
      </c>
      <c r="AJ25" s="4">
        <v>8.577</v>
      </c>
      <c r="AK25" s="4">
        <v>9.1110000000000007</v>
      </c>
      <c r="AL25" s="4">
        <v>9.5380000000000003</v>
      </c>
      <c r="AM25" s="4">
        <v>5.8970000000000002</v>
      </c>
      <c r="AN25" s="4">
        <v>7.226</v>
      </c>
      <c r="AO25" s="4">
        <v>6.3570000000000002</v>
      </c>
      <c r="AP25" s="4">
        <v>4.7709999999999999</v>
      </c>
      <c r="AQ25" s="4">
        <v>2.544</v>
      </c>
      <c r="AR25" s="4">
        <v>4.2850000000000001</v>
      </c>
      <c r="AS25" s="4">
        <v>6.7759999999999998</v>
      </c>
      <c r="AT25" s="4">
        <v>6.8010000000000002</v>
      </c>
      <c r="AU25" s="4">
        <v>7.6230000000000002</v>
      </c>
      <c r="AV25" s="4">
        <v>5.9740000000000002</v>
      </c>
      <c r="AW25" s="4">
        <v>6.4359999999999999</v>
      </c>
      <c r="AX25" s="4">
        <v>9.1029999999999998</v>
      </c>
      <c r="AY25" s="4">
        <v>7.3570000000000002</v>
      </c>
      <c r="AZ25" s="4">
        <v>5.476</v>
      </c>
      <c r="BA25" s="4">
        <v>8.9629999999999992</v>
      </c>
      <c r="BB25" s="4">
        <v>7.1440000000000001</v>
      </c>
      <c r="BC25" s="4">
        <v>10.6</v>
      </c>
      <c r="BD25" s="4">
        <v>5.5910000000000002</v>
      </c>
      <c r="BE25" s="4">
        <v>7.2960000000000003</v>
      </c>
      <c r="BF25" s="4">
        <v>5.8380000000000001</v>
      </c>
      <c r="BG25" s="4">
        <v>4.83</v>
      </c>
      <c r="BH25" s="4">
        <v>7.1870000000000003</v>
      </c>
      <c r="BI25" s="4">
        <v>6.6180000000000003</v>
      </c>
      <c r="BJ25" s="4">
        <v>3.4079999999999999</v>
      </c>
      <c r="BK25" s="4">
        <v>6.8650000000000002</v>
      </c>
      <c r="BL25" s="4">
        <v>2.8849999999999998</v>
      </c>
      <c r="BM25" s="4">
        <v>1.972</v>
      </c>
      <c r="BN25" s="4">
        <v>4.9829999999999997</v>
      </c>
      <c r="BO25" s="4">
        <v>0.91400000000000003</v>
      </c>
      <c r="BP25" s="4">
        <v>5.7450000000000001</v>
      </c>
      <c r="BQ25" s="4">
        <v>7.2930000000000001</v>
      </c>
      <c r="BR25" s="4">
        <v>6.5949999999999998</v>
      </c>
      <c r="BS25" s="4">
        <v>8.7140000000000004</v>
      </c>
      <c r="BT25" s="4">
        <v>7.468</v>
      </c>
      <c r="BU25" s="4">
        <v>7.5549999999999997</v>
      </c>
      <c r="BV25" s="4">
        <v>6.7830000000000004</v>
      </c>
      <c r="BW25" s="4">
        <v>5.2939999999999996</v>
      </c>
      <c r="BX25" s="4">
        <v>5.7960000000000003</v>
      </c>
      <c r="BY25" s="4">
        <v>6.6829999999999998</v>
      </c>
      <c r="BZ25" s="4">
        <v>6.09</v>
      </c>
      <c r="CA25" s="4">
        <v>8.9440000000000008</v>
      </c>
      <c r="CB25" s="4">
        <v>7.4989999999999997</v>
      </c>
      <c r="CC25" s="4">
        <v>3.4020000000000001</v>
      </c>
      <c r="CD25" s="4">
        <v>6.556</v>
      </c>
      <c r="CE25" s="4">
        <v>3.351</v>
      </c>
      <c r="CF25" s="4">
        <v>5.6029999999999998</v>
      </c>
      <c r="CG25" s="4">
        <v>8.4719999999999995</v>
      </c>
      <c r="CH25" s="4">
        <v>8.2889999999999997</v>
      </c>
      <c r="CI25" s="4">
        <v>5.2670000000000003</v>
      </c>
      <c r="CJ25" s="4">
        <v>2.7069999999999999</v>
      </c>
      <c r="CK25" s="4">
        <v>9.1869999999999994</v>
      </c>
      <c r="CL25" s="4">
        <v>1.5209999999999999</v>
      </c>
      <c r="CM25" s="4">
        <v>8.0310000000000006</v>
      </c>
      <c r="CN25" s="4">
        <v>7.0049999999999999</v>
      </c>
      <c r="CO25" s="4">
        <v>8.4469999999999992</v>
      </c>
      <c r="CP25" s="4">
        <v>5.3440000000000003</v>
      </c>
      <c r="CQ25" s="4">
        <v>9.4589999999999996</v>
      </c>
      <c r="CR25" s="4">
        <v>7.8079999999999998</v>
      </c>
      <c r="CS25" s="4">
        <v>8.61</v>
      </c>
      <c r="CT25" s="4">
        <v>8.8130000000000006</v>
      </c>
      <c r="CU25" s="4">
        <v>7.1050000000000004</v>
      </c>
      <c r="CV25" s="4">
        <v>6.819</v>
      </c>
      <c r="CW25" s="4">
        <v>5.64</v>
      </c>
      <c r="CX25" s="4">
        <v>7.468</v>
      </c>
      <c r="CY25" s="4">
        <v>7.6210000000000004</v>
      </c>
      <c r="CZ25" s="4">
        <v>7.4370000000000003</v>
      </c>
      <c r="DA25" s="4">
        <v>1.9</v>
      </c>
      <c r="DB25" s="4">
        <v>7.3540000000000001</v>
      </c>
      <c r="DC25" s="4">
        <v>2.968</v>
      </c>
      <c r="DD25" s="4">
        <v>2.16</v>
      </c>
      <c r="DE25" s="4">
        <v>9.2739999999999991</v>
      </c>
      <c r="DF25" s="4">
        <v>-0.188</v>
      </c>
      <c r="DG25" s="4">
        <v>8.6180000000000003</v>
      </c>
      <c r="DH25" s="4">
        <v>8.9309999999999992</v>
      </c>
      <c r="DI25" s="4">
        <v>6.1589999999999998</v>
      </c>
      <c r="DJ25" s="4">
        <v>9.4120000000000008</v>
      </c>
      <c r="DK25" s="4">
        <v>7.0579999999999998</v>
      </c>
      <c r="DL25" s="4">
        <v>6.7489999999999997</v>
      </c>
      <c r="DM25" s="4">
        <v>9.35</v>
      </c>
      <c r="DN25" s="4">
        <v>6.8550000000000004</v>
      </c>
      <c r="DO25" s="4">
        <v>7.758</v>
      </c>
      <c r="DP25" s="4">
        <v>0.80200000000000005</v>
      </c>
      <c r="DQ25" s="4">
        <v>6.82</v>
      </c>
      <c r="DR25" s="4">
        <v>8.6219999999999999</v>
      </c>
      <c r="DS25" s="4">
        <v>6.1070000000000002</v>
      </c>
      <c r="DT25" s="4">
        <v>6.3090000000000002</v>
      </c>
      <c r="DU25" s="4">
        <v>5.2930000000000001</v>
      </c>
      <c r="DV25" s="4">
        <v>4.26</v>
      </c>
      <c r="DW25" s="4">
        <v>9.2070000000000007</v>
      </c>
      <c r="DX25" s="4">
        <v>7.2409999999999997</v>
      </c>
      <c r="DY25" s="4">
        <v>6.7750000000000004</v>
      </c>
      <c r="DZ25" s="4">
        <v>8.6549999999999994</v>
      </c>
      <c r="EA25" s="4">
        <v>8.7959999999999994</v>
      </c>
      <c r="EB25" s="4">
        <v>6.4660000000000002</v>
      </c>
      <c r="EC25" s="4">
        <v>1.966</v>
      </c>
      <c r="ED25" s="4">
        <v>8.74</v>
      </c>
      <c r="EE25" s="4">
        <v>9.4939999999999998</v>
      </c>
      <c r="EF25" s="4">
        <v>6.5720000000000001</v>
      </c>
      <c r="EG25" s="4">
        <v>6.8360000000000003</v>
      </c>
      <c r="EH25" s="4">
        <v>5.1379999999999999</v>
      </c>
      <c r="EI25" s="4">
        <v>7.835</v>
      </c>
      <c r="EJ25" s="4">
        <v>7.383</v>
      </c>
      <c r="EK25" s="4">
        <v>7.3129999999999997</v>
      </c>
      <c r="EL25" s="4">
        <v>7.7030000000000003</v>
      </c>
      <c r="EM25" s="4">
        <v>7.532</v>
      </c>
      <c r="EN25" s="4">
        <v>5.9290000000000003</v>
      </c>
      <c r="EO25" s="4">
        <v>7.7709999999999999</v>
      </c>
      <c r="EP25" s="4">
        <v>7.649</v>
      </c>
      <c r="EQ25" s="4">
        <v>4.2149999999999999</v>
      </c>
      <c r="ER25" s="4">
        <v>9.5820000000000007</v>
      </c>
      <c r="ES25" s="4">
        <v>5.6840000000000002</v>
      </c>
      <c r="ET25" s="4">
        <v>3.323</v>
      </c>
      <c r="EU25" s="4">
        <v>9.3840000000000003</v>
      </c>
      <c r="EV25" s="4">
        <v>2.734</v>
      </c>
      <c r="EW25" s="4">
        <v>8.8000000000000007</v>
      </c>
      <c r="EX25" s="4">
        <v>2.2810000000000001</v>
      </c>
      <c r="EY25" s="4">
        <v>7.0289999999999999</v>
      </c>
      <c r="EZ25" s="4">
        <v>9.6280000000000001</v>
      </c>
      <c r="FA25" s="4">
        <v>4.1879999999999997</v>
      </c>
      <c r="FB25" s="4">
        <v>8.1020000000000003</v>
      </c>
      <c r="FC25" s="4">
        <v>8.1</v>
      </c>
      <c r="FD25" s="4">
        <v>5.5830000000000002</v>
      </c>
      <c r="FE25" s="4">
        <v>8.0679999999999996</v>
      </c>
      <c r="FF25" s="4">
        <v>7.3520000000000003</v>
      </c>
      <c r="FG25" s="4">
        <v>8.657</v>
      </c>
      <c r="FH25" s="4">
        <v>8.8000000000000007</v>
      </c>
      <c r="FI25" s="4">
        <v>5.4969999999999999</v>
      </c>
      <c r="FJ25" s="4">
        <v>9.5169999999999995</v>
      </c>
      <c r="FK25" s="4">
        <v>7.5730000000000004</v>
      </c>
      <c r="FL25" s="4">
        <v>7.7519999999999998</v>
      </c>
      <c r="FM25" s="4">
        <v>5.806</v>
      </c>
      <c r="FN25" s="4">
        <v>7.5679999999999996</v>
      </c>
      <c r="FO25" s="4">
        <v>6.5869999999999997</v>
      </c>
      <c r="FP25" s="4">
        <v>5.8410000000000002</v>
      </c>
      <c r="FQ25" s="4">
        <v>5.4029999999999996</v>
      </c>
      <c r="FR25" s="4">
        <v>4.9039999999999999</v>
      </c>
      <c r="FS25" s="4">
        <v>4.609</v>
      </c>
      <c r="FT25" s="4">
        <v>7.415</v>
      </c>
      <c r="FU25" s="4">
        <v>5.5919999999999996</v>
      </c>
      <c r="FV25" s="4">
        <v>2.569</v>
      </c>
      <c r="FW25" s="4">
        <v>7.806</v>
      </c>
      <c r="FX25" s="4">
        <v>7.391</v>
      </c>
      <c r="FY25" s="4">
        <v>6.726</v>
      </c>
      <c r="FZ25" s="4">
        <v>7.9240000000000004</v>
      </c>
      <c r="GA25" s="4">
        <v>5.2489999999999997</v>
      </c>
      <c r="GB25" s="4">
        <v>9.7829999999999995</v>
      </c>
      <c r="GC25" s="4">
        <v>7.827</v>
      </c>
      <c r="GD25" s="4">
        <v>8.2149999999999999</v>
      </c>
      <c r="GE25" s="4">
        <v>6.59</v>
      </c>
      <c r="GF25" s="4">
        <v>8.2810000000000006</v>
      </c>
      <c r="GG25" s="4">
        <v>4.5780000000000003</v>
      </c>
      <c r="GH25" s="4">
        <v>5.0839999999999996</v>
      </c>
      <c r="GI25" s="4">
        <v>8.0920000000000005</v>
      </c>
      <c r="GJ25" s="4">
        <v>7.9969999999999999</v>
      </c>
      <c r="GK25" s="4">
        <v>8.7279999999999998</v>
      </c>
      <c r="GL25" s="4">
        <v>6.976</v>
      </c>
      <c r="GM25" s="4">
        <v>6.5780000000000003</v>
      </c>
      <c r="GN25" s="4">
        <v>4.2119999999999997</v>
      </c>
      <c r="GO25" s="4">
        <v>5.2629999999999999</v>
      </c>
      <c r="GP25" s="4">
        <v>4.5750000000000002</v>
      </c>
      <c r="GQ25" s="4">
        <v>1.5720000000000001</v>
      </c>
      <c r="GR25" s="4">
        <v>1.542</v>
      </c>
      <c r="GS25" s="4">
        <v>8.1379999999999999</v>
      </c>
      <c r="GT25" s="4">
        <v>0.72699999999999998</v>
      </c>
      <c r="GU25" s="4">
        <v>8.3849999999999998</v>
      </c>
      <c r="GV25" s="4">
        <v>3.339</v>
      </c>
      <c r="GW25" s="4">
        <v>4.8369999999999997</v>
      </c>
      <c r="GX25" s="4">
        <v>2.415</v>
      </c>
      <c r="GY25" s="4">
        <v>4.3230000000000004</v>
      </c>
      <c r="GZ25" s="4">
        <v>9.0220000000000002</v>
      </c>
      <c r="HA25" s="4">
        <v>7.2990000000000004</v>
      </c>
      <c r="HB25" s="4">
        <v>5.1920000000000002</v>
      </c>
      <c r="HC25" s="4">
        <v>7.2859999999999996</v>
      </c>
      <c r="HD25" s="4">
        <v>3.31</v>
      </c>
      <c r="HE25" s="4">
        <v>5.83</v>
      </c>
      <c r="HF25" s="4">
        <v>2.8679999999999999</v>
      </c>
      <c r="HG25" s="4">
        <v>8.0589999999999993</v>
      </c>
      <c r="HH25" s="4">
        <v>5.3220000000000001</v>
      </c>
      <c r="HI25" s="4">
        <v>6.8220000000000001</v>
      </c>
      <c r="HJ25" s="4">
        <v>6.6989999999999998</v>
      </c>
      <c r="HK25" s="4">
        <v>10.446</v>
      </c>
      <c r="HL25" s="4">
        <v>9.0280000000000005</v>
      </c>
      <c r="HM25" s="4">
        <v>7.359</v>
      </c>
      <c r="HN25" s="4">
        <v>4.0970000000000004</v>
      </c>
      <c r="HO25" s="4">
        <v>5.7380000000000004</v>
      </c>
      <c r="HP25" s="4">
        <v>7.0510000000000002</v>
      </c>
      <c r="HQ25" s="4">
        <v>9.2550000000000008</v>
      </c>
      <c r="HR25" s="4">
        <v>6.1639999999999997</v>
      </c>
      <c r="HS25" s="4">
        <v>5.6059999999999999</v>
      </c>
      <c r="HT25" s="4">
        <v>6.1870000000000003</v>
      </c>
      <c r="HU25" s="4">
        <v>7.5</v>
      </c>
      <c r="HV25" s="4">
        <v>6.9630000000000001</v>
      </c>
      <c r="HW25" s="4">
        <v>2.6989999999999998</v>
      </c>
      <c r="HX25" s="4">
        <v>6.9569999999999999</v>
      </c>
      <c r="HY25" s="4">
        <v>7.6269999999999998</v>
      </c>
      <c r="HZ25" s="4">
        <v>9.3840000000000003</v>
      </c>
      <c r="IA25" s="4">
        <v>2.105</v>
      </c>
      <c r="IB25" s="4">
        <v>9.2769999999999992</v>
      </c>
      <c r="IC25" s="4">
        <v>9.3819999999999997</v>
      </c>
      <c r="ID25" s="4">
        <v>8.36</v>
      </c>
      <c r="IE25" s="4">
        <v>7.6849999999999996</v>
      </c>
      <c r="IF25" s="4">
        <v>7.3529999999999998</v>
      </c>
      <c r="IG25" s="4">
        <v>6.3620000000000001</v>
      </c>
      <c r="IH25" s="4">
        <v>3.8130000000000002</v>
      </c>
      <c r="II25" s="4">
        <v>2.3340000000000001</v>
      </c>
      <c r="IJ25" s="4">
        <v>6.27</v>
      </c>
      <c r="IK25" s="4">
        <v>8.2899999999999991</v>
      </c>
      <c r="IL25" s="4">
        <v>3.181</v>
      </c>
      <c r="IM25" s="4">
        <v>7.5869999999999997</v>
      </c>
      <c r="IN25" s="4">
        <v>4.9820000000000002</v>
      </c>
      <c r="IO25" s="4">
        <v>6.0350000000000001</v>
      </c>
      <c r="IP25" s="4">
        <v>5.7359999999999998</v>
      </c>
      <c r="IQ25" s="4">
        <v>9.0419999999999998</v>
      </c>
      <c r="IR25" s="4">
        <v>9.2349999999999994</v>
      </c>
      <c r="IS25" s="4">
        <v>3.0110000000000001</v>
      </c>
      <c r="IT25" s="4">
        <v>7.0869999999999997</v>
      </c>
      <c r="IU25" s="4">
        <v>4.1760000000000002</v>
      </c>
      <c r="IV25" s="4">
        <v>6.7670000000000003</v>
      </c>
      <c r="IW25" s="4">
        <v>2.798</v>
      </c>
      <c r="IX25" s="4">
        <v>7.931</v>
      </c>
      <c r="IY25" s="4">
        <v>5.22</v>
      </c>
      <c r="IZ25" s="4">
        <v>7.6950000000000003</v>
      </c>
      <c r="JA25" s="4">
        <v>7.2990000000000004</v>
      </c>
      <c r="JB25" s="4">
        <v>5.3129999999999997</v>
      </c>
      <c r="JC25" s="4">
        <v>4.4550000000000001</v>
      </c>
      <c r="JD25" s="4">
        <v>7.6440000000000001</v>
      </c>
      <c r="JE25" s="4">
        <v>9.3840000000000003</v>
      </c>
      <c r="JF25" s="4">
        <v>9.2449999999999992</v>
      </c>
      <c r="JG25" s="4">
        <v>7.3949999999999996</v>
      </c>
      <c r="JH25" s="4">
        <v>9.0980000000000008</v>
      </c>
      <c r="JI25" s="4">
        <v>5.6</v>
      </c>
      <c r="JJ25" s="4">
        <v>7.0709999999999997</v>
      </c>
      <c r="JK25" s="4">
        <v>7.077</v>
      </c>
      <c r="JL25" s="4">
        <v>10.087</v>
      </c>
      <c r="JM25" s="4">
        <v>7.7869999999999999</v>
      </c>
      <c r="JN25" s="4">
        <v>7.2610000000000001</v>
      </c>
      <c r="JO25" s="4">
        <v>7.5330000000000004</v>
      </c>
      <c r="JP25" s="4">
        <v>8.141</v>
      </c>
      <c r="JQ25" s="4">
        <v>7.8739999999999997</v>
      </c>
      <c r="JR25" s="4">
        <v>6.8810000000000002</v>
      </c>
      <c r="JS25" s="4">
        <v>4.2830000000000004</v>
      </c>
      <c r="JT25" s="4">
        <v>7.1849999999999996</v>
      </c>
      <c r="JU25" s="4">
        <v>6.76</v>
      </c>
      <c r="JV25" s="4">
        <v>5.7370000000000001</v>
      </c>
      <c r="JW25" s="4">
        <v>8.0459999999999994</v>
      </c>
      <c r="JX25" s="4">
        <v>7.1769999999999996</v>
      </c>
      <c r="JY25" s="4">
        <v>7.8849999999999998</v>
      </c>
      <c r="JZ25" s="4">
        <v>5.7190000000000003</v>
      </c>
      <c r="KA25" s="4">
        <v>8.0299999999999994</v>
      </c>
      <c r="KB25" s="4">
        <v>3.7989999999999999</v>
      </c>
      <c r="KC25" s="4">
        <v>4.6369999999999996</v>
      </c>
      <c r="KD25" s="4">
        <v>7.5590000000000002</v>
      </c>
      <c r="KE25" s="4">
        <v>9.06</v>
      </c>
      <c r="KF25" s="4">
        <v>7.0869999999999997</v>
      </c>
      <c r="KG25" s="4">
        <v>7.2990000000000004</v>
      </c>
      <c r="KH25" s="4">
        <v>7.3639999999999999</v>
      </c>
      <c r="KI25" s="4">
        <v>6.1130000000000004</v>
      </c>
      <c r="KJ25" s="4">
        <v>8.9819999999999993</v>
      </c>
      <c r="KK25" s="4">
        <v>7.476</v>
      </c>
      <c r="KL25" s="4">
        <v>6.9740000000000002</v>
      </c>
      <c r="KM25" s="4">
        <v>2.3439999999999999</v>
      </c>
      <c r="KN25" s="4">
        <v>7.2549999999999999</v>
      </c>
      <c r="KO25" s="4">
        <v>2.7690000000000001</v>
      </c>
      <c r="KP25" s="4">
        <v>6.8979999999999997</v>
      </c>
      <c r="KQ25" s="4">
        <v>8.2409999999999997</v>
      </c>
      <c r="KR25" s="4">
        <v>6.6239999999999997</v>
      </c>
      <c r="KS25" s="4">
        <v>10.061999999999999</v>
      </c>
    </row>
    <row r="26" spans="1:308" x14ac:dyDescent="0.25">
      <c r="A26" s="4">
        <v>2015</v>
      </c>
      <c r="B26" s="4">
        <v>11</v>
      </c>
      <c r="C26" s="4">
        <v>-3.67</v>
      </c>
      <c r="D26" s="4">
        <v>4.5199999999999996</v>
      </c>
      <c r="E26" s="4">
        <v>6.2549999999999999</v>
      </c>
      <c r="F26" s="4">
        <v>5.4530000000000003</v>
      </c>
      <c r="G26" s="4">
        <v>5.093</v>
      </c>
      <c r="H26" s="4">
        <v>-0.315</v>
      </c>
      <c r="I26" s="4">
        <v>4.8239999999999998</v>
      </c>
      <c r="J26" s="4">
        <v>-1.0429999999999999</v>
      </c>
      <c r="K26" s="4">
        <v>4.5890000000000004</v>
      </c>
      <c r="L26" s="4">
        <v>6.4589999999999996</v>
      </c>
      <c r="M26" s="4">
        <v>-1.2130000000000001</v>
      </c>
      <c r="N26" s="4">
        <v>3.9039999999999999</v>
      </c>
      <c r="O26" s="4">
        <v>-0.23300000000000001</v>
      </c>
      <c r="P26" s="4">
        <v>3.4340000000000002</v>
      </c>
      <c r="Q26" s="4">
        <v>-4.125</v>
      </c>
      <c r="R26" s="4">
        <v>-2.984</v>
      </c>
      <c r="S26" s="4">
        <v>3.4289999999999998</v>
      </c>
      <c r="T26" s="4">
        <v>4.3129999999999997</v>
      </c>
      <c r="U26" s="4">
        <v>4.28</v>
      </c>
      <c r="V26" s="4">
        <v>4.5039999999999996</v>
      </c>
      <c r="W26" s="4">
        <v>2.411</v>
      </c>
      <c r="X26" s="4">
        <v>6.4960000000000004</v>
      </c>
      <c r="Y26" s="4">
        <v>4.1879999999999997</v>
      </c>
      <c r="Z26" s="4">
        <v>7.0000000000000007E-2</v>
      </c>
      <c r="AA26" s="4">
        <v>6.6239999999999997</v>
      </c>
      <c r="AB26" s="4">
        <v>-0.36399999999999999</v>
      </c>
      <c r="AC26" s="4">
        <v>5.2759999999999998</v>
      </c>
      <c r="AD26" s="4">
        <v>1.135</v>
      </c>
      <c r="AE26" s="4">
        <v>4.883</v>
      </c>
      <c r="AF26" s="4">
        <v>6.569</v>
      </c>
      <c r="AG26" s="4">
        <v>2.0990000000000002</v>
      </c>
      <c r="AH26" s="4">
        <v>4.1710000000000003</v>
      </c>
      <c r="AI26" s="4">
        <v>-0.58299999999999996</v>
      </c>
      <c r="AJ26" s="4">
        <v>5.7140000000000004</v>
      </c>
      <c r="AK26" s="4">
        <v>6.3280000000000003</v>
      </c>
      <c r="AL26" s="4">
        <v>7.508</v>
      </c>
      <c r="AM26" s="4">
        <v>2.4159999999999999</v>
      </c>
      <c r="AN26" s="4">
        <v>4.8150000000000004</v>
      </c>
      <c r="AO26" s="4">
        <v>3.7349999999999999</v>
      </c>
      <c r="AP26" s="4">
        <v>1.008</v>
      </c>
      <c r="AQ26" s="4">
        <v>-1.655</v>
      </c>
      <c r="AR26" s="4">
        <v>0.81799999999999995</v>
      </c>
      <c r="AS26" s="4">
        <v>4.2370000000000001</v>
      </c>
      <c r="AT26" s="4">
        <v>4.1900000000000004</v>
      </c>
      <c r="AU26" s="4">
        <v>5.077</v>
      </c>
      <c r="AV26" s="4">
        <v>3.7429999999999999</v>
      </c>
      <c r="AW26" s="4">
        <v>4.0419999999999998</v>
      </c>
      <c r="AX26" s="4">
        <v>6.7329999999999997</v>
      </c>
      <c r="AY26" s="4">
        <v>5.3109999999999999</v>
      </c>
      <c r="AZ26" s="4">
        <v>2.5099999999999998</v>
      </c>
      <c r="BA26" s="4">
        <v>7.0709999999999997</v>
      </c>
      <c r="BB26" s="4">
        <v>4.4619999999999997</v>
      </c>
      <c r="BC26" s="4">
        <v>8.3170000000000002</v>
      </c>
      <c r="BD26" s="4">
        <v>2.198</v>
      </c>
      <c r="BE26" s="4">
        <v>4.9740000000000002</v>
      </c>
      <c r="BF26" s="4">
        <v>2.7069999999999999</v>
      </c>
      <c r="BG26" s="4">
        <v>2.9129999999999998</v>
      </c>
      <c r="BH26" s="4">
        <v>4.5289999999999999</v>
      </c>
      <c r="BI26" s="4">
        <v>3.875</v>
      </c>
      <c r="BJ26" s="4">
        <v>-0.86099999999999999</v>
      </c>
      <c r="BK26" s="4">
        <v>3.6709999999999998</v>
      </c>
      <c r="BL26" s="4">
        <v>-0.629</v>
      </c>
      <c r="BM26" s="4">
        <v>-2.214</v>
      </c>
      <c r="BN26" s="4">
        <v>1.6459999999999999</v>
      </c>
      <c r="BO26" s="4">
        <v>-4.4530000000000003</v>
      </c>
      <c r="BP26" s="4">
        <v>2.9119999999999999</v>
      </c>
      <c r="BQ26" s="4">
        <v>4.7699999999999996</v>
      </c>
      <c r="BR26" s="4">
        <v>3.91</v>
      </c>
      <c r="BS26" s="4">
        <v>6.9029999999999996</v>
      </c>
      <c r="BT26" s="4">
        <v>5.2149999999999999</v>
      </c>
      <c r="BU26" s="4">
        <v>5.4359999999999999</v>
      </c>
      <c r="BV26" s="4">
        <v>4.2539999999999996</v>
      </c>
      <c r="BW26" s="4">
        <v>2.0289999999999999</v>
      </c>
      <c r="BX26" s="4">
        <v>2.8460000000000001</v>
      </c>
      <c r="BY26" s="4">
        <v>4.2549999999999999</v>
      </c>
      <c r="BZ26" s="4">
        <v>3.4620000000000002</v>
      </c>
      <c r="CA26" s="4">
        <v>6.7919999999999998</v>
      </c>
      <c r="CB26" s="4">
        <v>4.5140000000000002</v>
      </c>
      <c r="CC26" s="4">
        <v>-0.46300000000000002</v>
      </c>
      <c r="CD26" s="4">
        <v>4.0919999999999996</v>
      </c>
      <c r="CE26" s="4">
        <v>1.3220000000000001</v>
      </c>
      <c r="CF26" s="4">
        <v>2.069</v>
      </c>
      <c r="CG26" s="4">
        <v>6.415</v>
      </c>
      <c r="CH26" s="4">
        <v>5.5350000000000001</v>
      </c>
      <c r="CI26" s="4">
        <v>2.2869999999999999</v>
      </c>
      <c r="CJ26" s="4">
        <v>-1.98</v>
      </c>
      <c r="CK26" s="4">
        <v>6.944</v>
      </c>
      <c r="CL26" s="4">
        <v>-2.7480000000000002</v>
      </c>
      <c r="CM26" s="4">
        <v>6.5529999999999999</v>
      </c>
      <c r="CN26" s="4">
        <v>4.8579999999999997</v>
      </c>
      <c r="CO26" s="4">
        <v>5.5990000000000002</v>
      </c>
      <c r="CP26" s="4">
        <v>2.2879999999999998</v>
      </c>
      <c r="CQ26" s="4">
        <v>7.1609999999999996</v>
      </c>
      <c r="CR26" s="4">
        <v>4.968</v>
      </c>
      <c r="CS26" s="4">
        <v>6.0830000000000002</v>
      </c>
      <c r="CT26" s="4">
        <v>6.1879999999999997</v>
      </c>
      <c r="CU26" s="4">
        <v>4.4640000000000004</v>
      </c>
      <c r="CV26" s="4">
        <v>4.298</v>
      </c>
      <c r="CW26" s="4">
        <v>2.0950000000000002</v>
      </c>
      <c r="CX26" s="4">
        <v>4.5570000000000004</v>
      </c>
      <c r="CY26" s="4">
        <v>5.2489999999999997</v>
      </c>
      <c r="CZ26" s="4">
        <v>4.835</v>
      </c>
      <c r="DA26" s="4">
        <v>-4.1449999999999996</v>
      </c>
      <c r="DB26" s="4">
        <v>4.774</v>
      </c>
      <c r="DC26" s="4">
        <v>-0.497</v>
      </c>
      <c r="DD26" s="4">
        <v>0.629</v>
      </c>
      <c r="DE26" s="4">
        <v>6.367</v>
      </c>
      <c r="DF26" s="4">
        <v>-5.1520000000000001</v>
      </c>
      <c r="DG26" s="4">
        <v>5.5910000000000002</v>
      </c>
      <c r="DH26" s="4">
        <v>6.3079999999999998</v>
      </c>
      <c r="DI26" s="4">
        <v>3.3460000000000001</v>
      </c>
      <c r="DJ26" s="4">
        <v>6.7759999999999998</v>
      </c>
      <c r="DK26" s="4">
        <v>4.1719999999999997</v>
      </c>
      <c r="DL26" s="4">
        <v>4.0869999999999997</v>
      </c>
      <c r="DM26" s="4">
        <v>7.1749999999999998</v>
      </c>
      <c r="DN26" s="4">
        <v>3.7080000000000002</v>
      </c>
      <c r="DO26" s="4">
        <v>5.625</v>
      </c>
      <c r="DP26" s="4">
        <v>-4.7919999999999998</v>
      </c>
      <c r="DQ26" s="4">
        <v>4.2960000000000003</v>
      </c>
      <c r="DR26" s="4">
        <v>6.1840000000000002</v>
      </c>
      <c r="DS26" s="4">
        <v>3.9649999999999999</v>
      </c>
      <c r="DT26" s="4">
        <v>3.6680000000000001</v>
      </c>
      <c r="DU26" s="4">
        <v>2.2069999999999999</v>
      </c>
      <c r="DV26" s="4">
        <v>1.1180000000000001</v>
      </c>
      <c r="DW26" s="4">
        <v>6.3689999999999998</v>
      </c>
      <c r="DX26" s="4">
        <v>4.4390000000000001</v>
      </c>
      <c r="DY26" s="4">
        <v>4.3289999999999997</v>
      </c>
      <c r="DZ26" s="4">
        <v>6.6609999999999996</v>
      </c>
      <c r="EA26" s="4">
        <v>6.8410000000000002</v>
      </c>
      <c r="EB26" s="4">
        <v>3.899</v>
      </c>
      <c r="EC26" s="4">
        <v>-4.7080000000000002</v>
      </c>
      <c r="ED26" s="4">
        <v>6.415</v>
      </c>
      <c r="EE26" s="4">
        <v>7.2969999999999997</v>
      </c>
      <c r="EF26" s="4">
        <v>4.1959999999999997</v>
      </c>
      <c r="EG26" s="4">
        <v>4.21</v>
      </c>
      <c r="EH26" s="4">
        <v>1.85</v>
      </c>
      <c r="EI26" s="4">
        <v>5.7839999999999998</v>
      </c>
      <c r="EJ26" s="4">
        <v>4.8140000000000001</v>
      </c>
      <c r="EK26" s="4">
        <v>4.7910000000000004</v>
      </c>
      <c r="EL26" s="4">
        <v>5.492</v>
      </c>
      <c r="EM26" s="4">
        <v>5.6740000000000004</v>
      </c>
      <c r="EN26" s="4">
        <v>3.0430000000000001</v>
      </c>
      <c r="EO26" s="4">
        <v>5.1829999999999998</v>
      </c>
      <c r="EP26" s="4">
        <v>5.0620000000000003</v>
      </c>
      <c r="EQ26" s="4">
        <v>0.30499999999999999</v>
      </c>
      <c r="ER26" s="4">
        <v>7.5179999999999998</v>
      </c>
      <c r="ES26" s="4">
        <v>2.6</v>
      </c>
      <c r="ET26" s="4">
        <v>1.032</v>
      </c>
      <c r="EU26" s="4">
        <v>7.218</v>
      </c>
      <c r="EV26" s="4">
        <v>-1.284</v>
      </c>
      <c r="EW26" s="4">
        <v>6.931</v>
      </c>
      <c r="EX26" s="4">
        <v>-2.6720000000000002</v>
      </c>
      <c r="EY26" s="4">
        <v>4.4610000000000003</v>
      </c>
      <c r="EZ26" s="4">
        <v>7.6219999999999999</v>
      </c>
      <c r="FA26" s="4">
        <v>0.69399999999999995</v>
      </c>
      <c r="FB26" s="4">
        <v>5.76</v>
      </c>
      <c r="FC26" s="4">
        <v>5.4610000000000003</v>
      </c>
      <c r="FD26" s="4">
        <v>3.7149999999999999</v>
      </c>
      <c r="FE26" s="4">
        <v>5.319</v>
      </c>
      <c r="FF26" s="4">
        <v>4.8949999999999996</v>
      </c>
      <c r="FG26" s="4">
        <v>6.7149999999999999</v>
      </c>
      <c r="FH26" s="4">
        <v>5.6239999999999997</v>
      </c>
      <c r="FI26" s="4">
        <v>1.8049999999999999</v>
      </c>
      <c r="FJ26" s="4">
        <v>6.8579999999999997</v>
      </c>
      <c r="FK26" s="4">
        <v>4.9470000000000001</v>
      </c>
      <c r="FL26" s="4">
        <v>5.774</v>
      </c>
      <c r="FM26" s="4">
        <v>2.4500000000000002</v>
      </c>
      <c r="FN26" s="4">
        <v>4.8659999999999997</v>
      </c>
      <c r="FO26" s="4">
        <v>3.871</v>
      </c>
      <c r="FP26" s="4">
        <v>3.0219999999999998</v>
      </c>
      <c r="FQ26" s="4">
        <v>2.2869999999999999</v>
      </c>
      <c r="FR26" s="4">
        <v>1.23</v>
      </c>
      <c r="FS26" s="4">
        <v>1.516</v>
      </c>
      <c r="FT26" s="4">
        <v>4.8280000000000003</v>
      </c>
      <c r="FU26" s="4">
        <v>4.0330000000000004</v>
      </c>
      <c r="FV26" s="4">
        <v>-1.5069999999999999</v>
      </c>
      <c r="FW26" s="4">
        <v>5.327</v>
      </c>
      <c r="FX26" s="4">
        <v>4.4260000000000002</v>
      </c>
      <c r="FY26" s="4">
        <v>4.1269999999999998</v>
      </c>
      <c r="FZ26" s="4">
        <v>5.0919999999999996</v>
      </c>
      <c r="GA26" s="4">
        <v>1.994</v>
      </c>
      <c r="GB26" s="4">
        <v>7.665</v>
      </c>
      <c r="GC26" s="4">
        <v>5.58</v>
      </c>
      <c r="GD26" s="4">
        <v>5.484</v>
      </c>
      <c r="GE26" s="4">
        <v>3.9350000000000001</v>
      </c>
      <c r="GF26" s="4">
        <v>5.7690000000000001</v>
      </c>
      <c r="GG26" s="4">
        <v>1.75</v>
      </c>
      <c r="GH26" s="4">
        <v>1.3580000000000001</v>
      </c>
      <c r="GI26" s="4">
        <v>6.3</v>
      </c>
      <c r="GJ26" s="4">
        <v>5.2370000000000001</v>
      </c>
      <c r="GK26" s="4">
        <v>5.3680000000000003</v>
      </c>
      <c r="GL26" s="4">
        <v>4.53</v>
      </c>
      <c r="GM26" s="4">
        <v>4.4009999999999998</v>
      </c>
      <c r="GN26" s="4">
        <v>-0.21099999999999999</v>
      </c>
      <c r="GO26" s="4">
        <v>3.4910000000000001</v>
      </c>
      <c r="GP26" s="4">
        <v>1.4890000000000001</v>
      </c>
      <c r="GQ26" s="4">
        <v>-0.66200000000000003</v>
      </c>
      <c r="GR26" s="4">
        <v>-0.34200000000000003</v>
      </c>
      <c r="GS26" s="4">
        <v>4.899</v>
      </c>
      <c r="GT26" s="4">
        <v>-2.3180000000000001</v>
      </c>
      <c r="GU26" s="4">
        <v>6.4080000000000004</v>
      </c>
      <c r="GV26" s="4">
        <v>0.32600000000000001</v>
      </c>
      <c r="GW26" s="4">
        <v>1.5269999999999999</v>
      </c>
      <c r="GX26" s="4">
        <v>-2.0790000000000002</v>
      </c>
      <c r="GY26" s="4">
        <v>1.413</v>
      </c>
      <c r="GZ26" s="4">
        <v>6.5179999999999998</v>
      </c>
      <c r="HA26" s="4">
        <v>4.226</v>
      </c>
      <c r="HB26" s="4">
        <v>2.8460000000000001</v>
      </c>
      <c r="HC26" s="4">
        <v>4.51</v>
      </c>
      <c r="HD26" s="4">
        <v>-0.39</v>
      </c>
      <c r="HE26" s="4">
        <v>2.9180000000000001</v>
      </c>
      <c r="HF26" s="4">
        <v>-2.323</v>
      </c>
      <c r="HG26" s="4">
        <v>5.7560000000000002</v>
      </c>
      <c r="HH26" s="4">
        <v>2.2080000000000002</v>
      </c>
      <c r="HI26" s="4">
        <v>4.3239999999999998</v>
      </c>
      <c r="HJ26" s="4">
        <v>4.202</v>
      </c>
      <c r="HK26" s="4">
        <v>7.7060000000000004</v>
      </c>
      <c r="HL26" s="4">
        <v>6.6449999999999996</v>
      </c>
      <c r="HM26" s="4">
        <v>4.8600000000000003</v>
      </c>
      <c r="HN26" s="4">
        <v>0.71699999999999997</v>
      </c>
      <c r="HO26" s="4">
        <v>2.6110000000000002</v>
      </c>
      <c r="HP26" s="4">
        <v>4.556</v>
      </c>
      <c r="HQ26" s="4">
        <v>7.0880000000000001</v>
      </c>
      <c r="HR26" s="4">
        <v>3.2610000000000001</v>
      </c>
      <c r="HS26" s="4">
        <v>2.5499999999999998</v>
      </c>
      <c r="HT26" s="4">
        <v>2.7120000000000002</v>
      </c>
      <c r="HU26" s="4">
        <v>4.9930000000000003</v>
      </c>
      <c r="HV26" s="4">
        <v>4.3259999999999996</v>
      </c>
      <c r="HW26" s="4">
        <v>-0.32300000000000001</v>
      </c>
      <c r="HX26" s="4">
        <v>4.6360000000000001</v>
      </c>
      <c r="HY26" s="4">
        <v>4.9509999999999996</v>
      </c>
      <c r="HZ26" s="4">
        <v>6.6210000000000004</v>
      </c>
      <c r="IA26" s="4">
        <v>-4.0890000000000004</v>
      </c>
      <c r="IB26" s="4">
        <v>7.3090000000000002</v>
      </c>
      <c r="IC26" s="4">
        <v>7.2539999999999996</v>
      </c>
      <c r="ID26" s="4">
        <v>6.4630000000000001</v>
      </c>
      <c r="IE26" s="4">
        <v>4.97</v>
      </c>
      <c r="IF26" s="4">
        <v>4.6980000000000004</v>
      </c>
      <c r="IG26" s="4">
        <v>3.26</v>
      </c>
      <c r="IH26" s="4">
        <v>0.26500000000000001</v>
      </c>
      <c r="II26" s="4">
        <v>-2.9279999999999999</v>
      </c>
      <c r="IJ26" s="4">
        <v>3.9620000000000002</v>
      </c>
      <c r="IK26" s="4">
        <v>5.8769999999999998</v>
      </c>
      <c r="IL26" s="4">
        <v>-0.60699999999999998</v>
      </c>
      <c r="IM26" s="4">
        <v>4.9370000000000003</v>
      </c>
      <c r="IN26" s="4">
        <v>1.252</v>
      </c>
      <c r="IO26" s="4">
        <v>2.7869999999999999</v>
      </c>
      <c r="IP26" s="4">
        <v>3.0110000000000001</v>
      </c>
      <c r="IQ26" s="4">
        <v>6.7619999999999996</v>
      </c>
      <c r="IR26" s="4">
        <v>7.157</v>
      </c>
      <c r="IS26" s="4">
        <v>-1.79</v>
      </c>
      <c r="IT26" s="4">
        <v>4.8019999999999996</v>
      </c>
      <c r="IU26" s="4">
        <v>-0.68500000000000005</v>
      </c>
      <c r="IV26" s="4">
        <v>4.5839999999999996</v>
      </c>
      <c r="IW26" s="4">
        <v>-1.87</v>
      </c>
      <c r="IX26" s="4">
        <v>5.8250000000000002</v>
      </c>
      <c r="IY26" s="4">
        <v>2.8719999999999999</v>
      </c>
      <c r="IZ26" s="4">
        <v>5.0069999999999997</v>
      </c>
      <c r="JA26" s="4">
        <v>4.4770000000000003</v>
      </c>
      <c r="JB26" s="4">
        <v>2.851</v>
      </c>
      <c r="JC26" s="4">
        <v>0.65100000000000002</v>
      </c>
      <c r="JD26" s="4">
        <v>5.0590000000000002</v>
      </c>
      <c r="JE26" s="4">
        <v>7.2969999999999997</v>
      </c>
      <c r="JF26" s="4">
        <v>6.9390000000000001</v>
      </c>
      <c r="JG26" s="4">
        <v>4.7240000000000002</v>
      </c>
      <c r="JH26" s="4">
        <v>6.1790000000000003</v>
      </c>
      <c r="JI26" s="4">
        <v>2.3620000000000001</v>
      </c>
      <c r="JJ26" s="4">
        <v>4.4400000000000004</v>
      </c>
      <c r="JK26" s="4">
        <v>4.6680000000000001</v>
      </c>
      <c r="JL26" s="4">
        <v>7.8810000000000002</v>
      </c>
      <c r="JM26" s="4">
        <v>5.5519999999999996</v>
      </c>
      <c r="JN26" s="4">
        <v>4.3719999999999999</v>
      </c>
      <c r="JO26" s="4">
        <v>4.7279999999999998</v>
      </c>
      <c r="JP26" s="4">
        <v>6.1619999999999999</v>
      </c>
      <c r="JQ26" s="4">
        <v>5.6180000000000003</v>
      </c>
      <c r="JR26" s="4">
        <v>4.2889999999999997</v>
      </c>
      <c r="JS26" s="4">
        <v>1.413</v>
      </c>
      <c r="JT26" s="4">
        <v>4.5069999999999997</v>
      </c>
      <c r="JU26" s="4">
        <v>4.4829999999999997</v>
      </c>
      <c r="JV26" s="4">
        <v>3.76</v>
      </c>
      <c r="JW26" s="4">
        <v>5.5449999999999999</v>
      </c>
      <c r="JX26" s="4">
        <v>4.6130000000000004</v>
      </c>
      <c r="JY26" s="4">
        <v>4.8490000000000002</v>
      </c>
      <c r="JZ26" s="4">
        <v>3.9329999999999998</v>
      </c>
      <c r="KA26" s="4">
        <v>5.5819999999999999</v>
      </c>
      <c r="KB26" s="4">
        <v>0.79300000000000004</v>
      </c>
      <c r="KC26" s="4">
        <v>1.3480000000000001</v>
      </c>
      <c r="KD26" s="4">
        <v>5.3129999999999997</v>
      </c>
      <c r="KE26" s="4">
        <v>7.085</v>
      </c>
      <c r="KF26" s="4">
        <v>5.008</v>
      </c>
      <c r="KG26" s="4">
        <v>4.6790000000000003</v>
      </c>
      <c r="KH26" s="4">
        <v>4.8339999999999996</v>
      </c>
      <c r="KI26" s="4">
        <v>3.7320000000000002</v>
      </c>
      <c r="KJ26" s="4">
        <v>5.6769999999999996</v>
      </c>
      <c r="KK26" s="4">
        <v>4.8529999999999998</v>
      </c>
      <c r="KL26" s="4">
        <v>4.298</v>
      </c>
      <c r="KM26" s="4">
        <v>-2.2440000000000002</v>
      </c>
      <c r="KN26" s="4">
        <v>4.4580000000000002</v>
      </c>
      <c r="KO26" s="4">
        <v>-0.16700000000000001</v>
      </c>
      <c r="KP26" s="4">
        <v>4.1310000000000002</v>
      </c>
      <c r="KQ26" s="4">
        <v>6.8479999999999999</v>
      </c>
      <c r="KR26" s="4">
        <v>4.2300000000000004</v>
      </c>
      <c r="KS26" s="4">
        <v>7.6520000000000001</v>
      </c>
    </row>
    <row r="27" spans="1:308" x14ac:dyDescent="0.25">
      <c r="A27" s="4">
        <v>2015</v>
      </c>
      <c r="B27" s="4">
        <v>12</v>
      </c>
      <c r="C27" s="4">
        <v>-4.7329999999999997</v>
      </c>
      <c r="D27" s="4">
        <v>3.335</v>
      </c>
      <c r="E27" s="4">
        <v>4.944</v>
      </c>
      <c r="F27" s="4">
        <v>4.3529999999999998</v>
      </c>
      <c r="G27" s="4">
        <v>4.46</v>
      </c>
      <c r="H27" s="4">
        <v>-1.91</v>
      </c>
      <c r="I27" s="4">
        <v>3.9750000000000001</v>
      </c>
      <c r="J27" s="4">
        <v>-5.5069999999999997</v>
      </c>
      <c r="K27" s="4">
        <v>3.472</v>
      </c>
      <c r="L27" s="4">
        <v>5.6710000000000003</v>
      </c>
      <c r="M27" s="4">
        <v>-2.9990000000000001</v>
      </c>
      <c r="N27" s="4">
        <v>2.4420000000000002</v>
      </c>
      <c r="O27" s="4">
        <v>-1.53</v>
      </c>
      <c r="P27" s="4">
        <v>2.2450000000000001</v>
      </c>
      <c r="Q27" s="4">
        <v>-6.7850000000000001</v>
      </c>
      <c r="R27" s="4">
        <v>-5.4180000000000001</v>
      </c>
      <c r="S27" s="4">
        <v>2.032</v>
      </c>
      <c r="T27" s="4">
        <v>3.2919999999999998</v>
      </c>
      <c r="U27" s="4">
        <v>2.9409999999999998</v>
      </c>
      <c r="V27" s="4">
        <v>3.5830000000000002</v>
      </c>
      <c r="W27" s="4">
        <v>0.83299999999999996</v>
      </c>
      <c r="X27" s="4">
        <v>5.6319999999999997</v>
      </c>
      <c r="Y27" s="4">
        <v>3.0219999999999998</v>
      </c>
      <c r="Z27" s="4">
        <v>-2.9470000000000001</v>
      </c>
      <c r="AA27" s="4">
        <v>5.7329999999999997</v>
      </c>
      <c r="AB27" s="4">
        <v>-5.0720000000000001</v>
      </c>
      <c r="AC27" s="4">
        <v>4.2309999999999999</v>
      </c>
      <c r="AD27" s="4">
        <v>-0.36399999999999999</v>
      </c>
      <c r="AE27" s="4">
        <v>3.8559999999999999</v>
      </c>
      <c r="AF27" s="4">
        <v>5.1760000000000002</v>
      </c>
      <c r="AG27" s="4">
        <v>0.64500000000000002</v>
      </c>
      <c r="AH27" s="4">
        <v>3.0950000000000002</v>
      </c>
      <c r="AI27" s="4">
        <v>-2.7629999999999999</v>
      </c>
      <c r="AJ27" s="4">
        <v>5.14</v>
      </c>
      <c r="AK27" s="4">
        <v>5.5819999999999999</v>
      </c>
      <c r="AL27" s="4">
        <v>6.2480000000000002</v>
      </c>
      <c r="AM27" s="4">
        <v>0.90800000000000003</v>
      </c>
      <c r="AN27" s="4">
        <v>3.734</v>
      </c>
      <c r="AO27" s="4">
        <v>2.0550000000000002</v>
      </c>
      <c r="AP27" s="4">
        <v>-0.63900000000000001</v>
      </c>
      <c r="AQ27" s="4">
        <v>-4.8289999999999997</v>
      </c>
      <c r="AR27" s="4">
        <v>-0.51700000000000002</v>
      </c>
      <c r="AS27" s="4">
        <v>2.8879999999999999</v>
      </c>
      <c r="AT27" s="4">
        <v>3.1059999999999999</v>
      </c>
      <c r="AU27" s="4">
        <v>3.8460000000000001</v>
      </c>
      <c r="AV27" s="4">
        <v>2.319</v>
      </c>
      <c r="AW27" s="4">
        <v>2.7210000000000001</v>
      </c>
      <c r="AX27" s="4">
        <v>5.6710000000000003</v>
      </c>
      <c r="AY27" s="4">
        <v>4.0949999999999998</v>
      </c>
      <c r="AZ27" s="4">
        <v>0.96699999999999997</v>
      </c>
      <c r="BA27" s="4">
        <v>5.758</v>
      </c>
      <c r="BB27" s="4">
        <v>3.38</v>
      </c>
      <c r="BC27" s="4">
        <v>6.8310000000000004</v>
      </c>
      <c r="BD27" s="4">
        <v>0.628</v>
      </c>
      <c r="BE27" s="4">
        <v>3.601</v>
      </c>
      <c r="BF27" s="4">
        <v>0.93200000000000005</v>
      </c>
      <c r="BG27" s="4">
        <v>1.4970000000000001</v>
      </c>
      <c r="BH27" s="4">
        <v>3.28</v>
      </c>
      <c r="BI27" s="4">
        <v>2.9409999999999998</v>
      </c>
      <c r="BJ27" s="4">
        <v>-2.9430000000000001</v>
      </c>
      <c r="BK27" s="4">
        <v>2.2189999999999999</v>
      </c>
      <c r="BL27" s="4">
        <v>-3.97</v>
      </c>
      <c r="BM27" s="4">
        <v>-5.1180000000000003</v>
      </c>
      <c r="BN27" s="4">
        <v>0.19800000000000001</v>
      </c>
      <c r="BO27" s="4">
        <v>-7.3150000000000004</v>
      </c>
      <c r="BP27" s="4">
        <v>1.375</v>
      </c>
      <c r="BQ27" s="4">
        <v>3.8690000000000002</v>
      </c>
      <c r="BR27" s="4">
        <v>3.1110000000000002</v>
      </c>
      <c r="BS27" s="4">
        <v>5.4880000000000004</v>
      </c>
      <c r="BT27" s="4">
        <v>3.8730000000000002</v>
      </c>
      <c r="BU27" s="4">
        <v>4.0460000000000003</v>
      </c>
      <c r="BV27" s="4">
        <v>2.9319999999999999</v>
      </c>
      <c r="BW27" s="4">
        <v>0.214</v>
      </c>
      <c r="BX27" s="4">
        <v>1.093</v>
      </c>
      <c r="BY27" s="4">
        <v>2.8730000000000002</v>
      </c>
      <c r="BZ27" s="4">
        <v>1.87</v>
      </c>
      <c r="CA27" s="4">
        <v>5.7220000000000004</v>
      </c>
      <c r="CB27" s="4">
        <v>3.0179999999999998</v>
      </c>
      <c r="CC27" s="4">
        <v>-3.1480000000000001</v>
      </c>
      <c r="CD27" s="4">
        <v>3.0670000000000002</v>
      </c>
      <c r="CE27" s="4">
        <v>-3.077</v>
      </c>
      <c r="CF27" s="4">
        <v>-0.28199999999999997</v>
      </c>
      <c r="CG27" s="4">
        <v>5.173</v>
      </c>
      <c r="CH27" s="4">
        <v>4.9530000000000003</v>
      </c>
      <c r="CI27" s="4">
        <v>0.63800000000000001</v>
      </c>
      <c r="CJ27" s="4">
        <v>-3.1840000000000002</v>
      </c>
      <c r="CK27" s="4">
        <v>5.9669999999999996</v>
      </c>
      <c r="CL27" s="4">
        <v>-3.665</v>
      </c>
      <c r="CM27" s="4">
        <v>4.5720000000000001</v>
      </c>
      <c r="CN27" s="4">
        <v>3.7909999999999999</v>
      </c>
      <c r="CO27" s="4">
        <v>4.5039999999999996</v>
      </c>
      <c r="CP27" s="4">
        <v>0.47699999999999998</v>
      </c>
      <c r="CQ27" s="4">
        <v>6.1710000000000003</v>
      </c>
      <c r="CR27" s="4">
        <v>3.8959999999999999</v>
      </c>
      <c r="CS27" s="4">
        <v>5.2439999999999998</v>
      </c>
      <c r="CT27" s="4">
        <v>5.3040000000000003</v>
      </c>
      <c r="CU27" s="4">
        <v>3.2749999999999999</v>
      </c>
      <c r="CV27" s="4">
        <v>3.1840000000000002</v>
      </c>
      <c r="CW27" s="4">
        <v>0.624</v>
      </c>
      <c r="CX27" s="4">
        <v>3.6150000000000002</v>
      </c>
      <c r="CY27" s="4">
        <v>4.4960000000000004</v>
      </c>
      <c r="CZ27" s="4">
        <v>3.7480000000000002</v>
      </c>
      <c r="DA27" s="4">
        <v>-7.15</v>
      </c>
      <c r="DB27" s="4">
        <v>3.7320000000000002</v>
      </c>
      <c r="DC27" s="4">
        <v>-4.6550000000000002</v>
      </c>
      <c r="DD27" s="4">
        <v>-4.2880000000000003</v>
      </c>
      <c r="DE27" s="4">
        <v>5.1319999999999997</v>
      </c>
      <c r="DF27" s="4">
        <v>-8.5980000000000008</v>
      </c>
      <c r="DG27" s="4">
        <v>4.3879999999999999</v>
      </c>
      <c r="DH27" s="4">
        <v>5.3390000000000004</v>
      </c>
      <c r="DI27" s="4">
        <v>1.6040000000000001</v>
      </c>
      <c r="DJ27" s="4">
        <v>5.4589999999999996</v>
      </c>
      <c r="DK27" s="4">
        <v>2.609</v>
      </c>
      <c r="DL27" s="4">
        <v>2.9609999999999999</v>
      </c>
      <c r="DM27" s="4">
        <v>5.9429999999999996</v>
      </c>
      <c r="DN27" s="4">
        <v>2.331</v>
      </c>
      <c r="DO27" s="4">
        <v>4.62</v>
      </c>
      <c r="DP27" s="4">
        <v>-6.2329999999999997</v>
      </c>
      <c r="DQ27" s="4">
        <v>3.4079999999999999</v>
      </c>
      <c r="DR27" s="4">
        <v>5.4039999999999999</v>
      </c>
      <c r="DS27" s="4">
        <v>2.5369999999999999</v>
      </c>
      <c r="DT27" s="4">
        <v>2.085</v>
      </c>
      <c r="DU27" s="4">
        <v>0.48199999999999998</v>
      </c>
      <c r="DV27" s="4">
        <v>-2.0550000000000002</v>
      </c>
      <c r="DW27" s="4">
        <v>5.7030000000000003</v>
      </c>
      <c r="DX27" s="4">
        <v>2.629</v>
      </c>
      <c r="DY27" s="4">
        <v>2.9049999999999998</v>
      </c>
      <c r="DZ27" s="4">
        <v>5.3109999999999999</v>
      </c>
      <c r="EA27" s="4">
        <v>5.4779999999999998</v>
      </c>
      <c r="EB27" s="4">
        <v>2.4169999999999998</v>
      </c>
      <c r="EC27" s="4">
        <v>-7.1020000000000003</v>
      </c>
      <c r="ED27" s="4">
        <v>5.6680000000000001</v>
      </c>
      <c r="EE27" s="4">
        <v>6.0830000000000002</v>
      </c>
      <c r="EF27" s="4">
        <v>2.867</v>
      </c>
      <c r="EG27" s="4">
        <v>2.774</v>
      </c>
      <c r="EH27" s="4">
        <v>0.44600000000000001</v>
      </c>
      <c r="EI27" s="4">
        <v>4.6219999999999999</v>
      </c>
      <c r="EJ27" s="4">
        <v>3.6779999999999999</v>
      </c>
      <c r="EK27" s="4">
        <v>3.7349999999999999</v>
      </c>
      <c r="EL27" s="4">
        <v>4.0839999999999996</v>
      </c>
      <c r="EM27" s="4">
        <v>4.2949999999999999</v>
      </c>
      <c r="EN27" s="4">
        <v>1.3939999999999999</v>
      </c>
      <c r="EO27" s="4">
        <v>4.1479999999999997</v>
      </c>
      <c r="EP27" s="4">
        <v>4.32</v>
      </c>
      <c r="EQ27" s="4">
        <v>-1.5980000000000001</v>
      </c>
      <c r="ER27" s="4">
        <v>6.2389999999999999</v>
      </c>
      <c r="ES27" s="4">
        <v>1.0109999999999999</v>
      </c>
      <c r="ET27" s="4">
        <v>-3.395</v>
      </c>
      <c r="EU27" s="4">
        <v>6.016</v>
      </c>
      <c r="EV27" s="4">
        <v>-4.5860000000000003</v>
      </c>
      <c r="EW27" s="4">
        <v>5.4820000000000002</v>
      </c>
      <c r="EX27" s="4">
        <v>-5.4160000000000004</v>
      </c>
      <c r="EY27" s="4">
        <v>3.5720000000000001</v>
      </c>
      <c r="EZ27" s="4">
        <v>6.3289999999999997</v>
      </c>
      <c r="FA27" s="4">
        <v>-0.94499999999999995</v>
      </c>
      <c r="FB27" s="4">
        <v>4.42</v>
      </c>
      <c r="FC27" s="4">
        <v>4.8920000000000003</v>
      </c>
      <c r="FD27" s="4">
        <v>2.2429999999999999</v>
      </c>
      <c r="FE27" s="4">
        <v>4.0590000000000002</v>
      </c>
      <c r="FF27" s="4">
        <v>3.9630000000000001</v>
      </c>
      <c r="FG27" s="4">
        <v>5.3940000000000001</v>
      </c>
      <c r="FH27" s="4">
        <v>4.7030000000000003</v>
      </c>
      <c r="FI27" s="4">
        <v>0.46100000000000002</v>
      </c>
      <c r="FJ27" s="4">
        <v>5.383</v>
      </c>
      <c r="FK27" s="4">
        <v>3.6379999999999999</v>
      </c>
      <c r="FL27" s="4">
        <v>4.2919999999999998</v>
      </c>
      <c r="FM27" s="4">
        <v>0.80900000000000005</v>
      </c>
      <c r="FN27" s="4">
        <v>3.863</v>
      </c>
      <c r="FO27" s="4">
        <v>2.8170000000000002</v>
      </c>
      <c r="FP27" s="4">
        <v>1.383</v>
      </c>
      <c r="FQ27" s="4">
        <v>0.78</v>
      </c>
      <c r="FR27" s="4">
        <v>-0.59299999999999997</v>
      </c>
      <c r="FS27" s="4">
        <v>-1.2809999999999999</v>
      </c>
      <c r="FT27" s="4">
        <v>3.6880000000000002</v>
      </c>
      <c r="FU27" s="4">
        <v>2.62</v>
      </c>
      <c r="FV27" s="4">
        <v>-4.4960000000000004</v>
      </c>
      <c r="FW27" s="4">
        <v>4.0519999999999996</v>
      </c>
      <c r="FX27" s="4">
        <v>3.6949999999999998</v>
      </c>
      <c r="FY27" s="4">
        <v>3.1659999999999999</v>
      </c>
      <c r="FZ27" s="4">
        <v>3.7719999999999998</v>
      </c>
      <c r="GA27" s="4">
        <v>0.39</v>
      </c>
      <c r="GB27" s="4">
        <v>6.2009999999999996</v>
      </c>
      <c r="GC27" s="4">
        <v>4.4059999999999997</v>
      </c>
      <c r="GD27" s="4">
        <v>4.8120000000000003</v>
      </c>
      <c r="GE27" s="4">
        <v>2.4209999999999998</v>
      </c>
      <c r="GF27" s="4">
        <v>5.1369999999999996</v>
      </c>
      <c r="GG27" s="4">
        <v>-1.5289999999999999</v>
      </c>
      <c r="GH27" s="4">
        <v>-0.108</v>
      </c>
      <c r="GI27" s="4">
        <v>4.9219999999999997</v>
      </c>
      <c r="GJ27" s="4">
        <v>4.6879999999999997</v>
      </c>
      <c r="GK27" s="4">
        <v>4.5339999999999998</v>
      </c>
      <c r="GL27" s="4">
        <v>3.415</v>
      </c>
      <c r="GM27" s="4">
        <v>3.2250000000000001</v>
      </c>
      <c r="GN27" s="4">
        <v>-1.724</v>
      </c>
      <c r="GO27" s="4">
        <v>1.833</v>
      </c>
      <c r="GP27" s="4">
        <v>-0.59699999999999998</v>
      </c>
      <c r="GQ27" s="4">
        <v>-6.1769999999999996</v>
      </c>
      <c r="GR27" s="4">
        <v>-6.2910000000000004</v>
      </c>
      <c r="GS27" s="4">
        <v>4.1840000000000002</v>
      </c>
      <c r="GT27" s="4">
        <v>-7.625</v>
      </c>
      <c r="GU27" s="4">
        <v>5.1609999999999996</v>
      </c>
      <c r="GV27" s="4">
        <v>-3.3929999999999998</v>
      </c>
      <c r="GW27" s="4">
        <v>3.6999999999999998E-2</v>
      </c>
      <c r="GX27" s="4">
        <v>-3.2269999999999999</v>
      </c>
      <c r="GY27" s="4">
        <v>-1.522</v>
      </c>
      <c r="GZ27" s="4">
        <v>5.383</v>
      </c>
      <c r="HA27" s="4">
        <v>3.0859999999999999</v>
      </c>
      <c r="HB27" s="4">
        <v>1.274</v>
      </c>
      <c r="HC27" s="4">
        <v>3.4769999999999999</v>
      </c>
      <c r="HD27" s="4">
        <v>-1.891</v>
      </c>
      <c r="HE27" s="4">
        <v>1.2190000000000001</v>
      </c>
      <c r="HF27" s="4">
        <v>-3.4649999999999999</v>
      </c>
      <c r="HG27" s="4">
        <v>4.2389999999999999</v>
      </c>
      <c r="HH27" s="4">
        <v>0.61699999999999999</v>
      </c>
      <c r="HI27" s="4">
        <v>3.2879999999999998</v>
      </c>
      <c r="HJ27" s="4">
        <v>2.847</v>
      </c>
      <c r="HK27" s="4">
        <v>6.39</v>
      </c>
      <c r="HL27" s="4">
        <v>5.57</v>
      </c>
      <c r="HM27" s="4">
        <v>3.617</v>
      </c>
      <c r="HN27" s="4">
        <v>-2.754</v>
      </c>
      <c r="HO27" s="4">
        <v>1.147</v>
      </c>
      <c r="HP27" s="4">
        <v>3.3540000000000001</v>
      </c>
      <c r="HQ27" s="4">
        <v>5.8220000000000001</v>
      </c>
      <c r="HR27" s="4">
        <v>1.75</v>
      </c>
      <c r="HS27" s="4">
        <v>0.97499999999999998</v>
      </c>
      <c r="HT27" s="4">
        <v>1.3240000000000001</v>
      </c>
      <c r="HU27" s="4">
        <v>3.8889999999999998</v>
      </c>
      <c r="HV27" s="4">
        <v>3.3010000000000002</v>
      </c>
      <c r="HW27" s="4">
        <v>-3.601</v>
      </c>
      <c r="HX27" s="4">
        <v>3.496</v>
      </c>
      <c r="HY27" s="4">
        <v>3.9060000000000001</v>
      </c>
      <c r="HZ27" s="4">
        <v>5.7080000000000002</v>
      </c>
      <c r="IA27" s="4">
        <v>-6.3129999999999997</v>
      </c>
      <c r="IB27" s="4">
        <v>5.8860000000000001</v>
      </c>
      <c r="IC27" s="4">
        <v>6.0579999999999998</v>
      </c>
      <c r="ID27" s="4">
        <v>5.069</v>
      </c>
      <c r="IE27" s="4">
        <v>3.9220000000000002</v>
      </c>
      <c r="IF27" s="4">
        <v>3.6269999999999998</v>
      </c>
      <c r="IG27" s="4">
        <v>1.482</v>
      </c>
      <c r="IH27" s="4">
        <v>-0.83399999999999996</v>
      </c>
      <c r="II27" s="4">
        <v>-5.3109999999999999</v>
      </c>
      <c r="IJ27" s="4">
        <v>2.79</v>
      </c>
      <c r="IK27" s="4">
        <v>4.4390000000000001</v>
      </c>
      <c r="IL27" s="4">
        <v>-3.5590000000000002</v>
      </c>
      <c r="IM27" s="4">
        <v>3.8740000000000001</v>
      </c>
      <c r="IN27" s="4">
        <v>-0.69399999999999995</v>
      </c>
      <c r="IO27" s="4">
        <v>1.218</v>
      </c>
      <c r="IP27" s="4">
        <v>1.4419999999999999</v>
      </c>
      <c r="IQ27" s="4">
        <v>5.6619999999999999</v>
      </c>
      <c r="IR27" s="4">
        <v>5.9269999999999996</v>
      </c>
      <c r="IS27" s="4">
        <v>-2.3130000000000002</v>
      </c>
      <c r="IT27" s="4">
        <v>3.8919999999999999</v>
      </c>
      <c r="IU27" s="4">
        <v>-1.7549999999999999</v>
      </c>
      <c r="IV27" s="4">
        <v>3.4540000000000002</v>
      </c>
      <c r="IW27" s="4">
        <v>-3.1389999999999998</v>
      </c>
      <c r="IX27" s="4">
        <v>4.4039999999999999</v>
      </c>
      <c r="IY27" s="4">
        <v>1.363</v>
      </c>
      <c r="IZ27" s="4">
        <v>4.0220000000000002</v>
      </c>
      <c r="JA27" s="4">
        <v>3.4580000000000002</v>
      </c>
      <c r="JB27" s="4">
        <v>1.4630000000000001</v>
      </c>
      <c r="JC27" s="4">
        <v>-2.1619999999999999</v>
      </c>
      <c r="JD27" s="4">
        <v>4.1459999999999999</v>
      </c>
      <c r="JE27" s="4">
        <v>5.9089999999999998</v>
      </c>
      <c r="JF27" s="4">
        <v>5.6689999999999996</v>
      </c>
      <c r="JG27" s="4">
        <v>3.5649999999999999</v>
      </c>
      <c r="JH27" s="4">
        <v>5.0289999999999999</v>
      </c>
      <c r="JI27" s="4">
        <v>0.32600000000000001</v>
      </c>
      <c r="JJ27" s="4">
        <v>3.5150000000000001</v>
      </c>
      <c r="JK27" s="4">
        <v>3.7469999999999999</v>
      </c>
      <c r="JL27" s="4">
        <v>6.476</v>
      </c>
      <c r="JM27" s="4">
        <v>4.141</v>
      </c>
      <c r="JN27" s="4">
        <v>3.419</v>
      </c>
      <c r="JO27" s="4">
        <v>3.7269999999999999</v>
      </c>
      <c r="JP27" s="4">
        <v>4.6710000000000003</v>
      </c>
      <c r="JQ27" s="4">
        <v>4.7329999999999997</v>
      </c>
      <c r="JR27" s="4">
        <v>3.28</v>
      </c>
      <c r="JS27" s="4">
        <v>-1.627</v>
      </c>
      <c r="JT27" s="4">
        <v>3.266</v>
      </c>
      <c r="JU27" s="4">
        <v>3.2629999999999999</v>
      </c>
      <c r="JV27" s="4">
        <v>2.2839999999999998</v>
      </c>
      <c r="JW27" s="4">
        <v>4.1529999999999996</v>
      </c>
      <c r="JX27" s="4">
        <v>3.593</v>
      </c>
      <c r="JY27" s="4">
        <v>4.1219999999999999</v>
      </c>
      <c r="JZ27" s="4">
        <v>2.6829999999999998</v>
      </c>
      <c r="KA27" s="4">
        <v>4.1989999999999998</v>
      </c>
      <c r="KB27" s="4">
        <v>-2.1709999999999998</v>
      </c>
      <c r="KC27" s="4">
        <v>-0.26900000000000002</v>
      </c>
      <c r="KD27" s="4">
        <v>4.0199999999999996</v>
      </c>
      <c r="KE27" s="4">
        <v>5.6379999999999999</v>
      </c>
      <c r="KF27" s="4">
        <v>3.9129999999999998</v>
      </c>
      <c r="KG27" s="4">
        <v>3.633</v>
      </c>
      <c r="KH27" s="4">
        <v>3.964</v>
      </c>
      <c r="KI27" s="4">
        <v>2.1680000000000001</v>
      </c>
      <c r="KJ27" s="4">
        <v>4.7770000000000001</v>
      </c>
      <c r="KK27" s="4">
        <v>3.9329999999999998</v>
      </c>
      <c r="KL27" s="4">
        <v>3.254</v>
      </c>
      <c r="KM27" s="4">
        <v>-5.1280000000000001</v>
      </c>
      <c r="KN27" s="4">
        <v>3.4990000000000001</v>
      </c>
      <c r="KO27" s="4">
        <v>-4.0679999999999996</v>
      </c>
      <c r="KP27" s="4">
        <v>2.9049999999999998</v>
      </c>
      <c r="KQ27" s="4">
        <v>4.7220000000000004</v>
      </c>
      <c r="KR27" s="4">
        <v>3.2</v>
      </c>
      <c r="KS27" s="4">
        <v>6.2489999999999997</v>
      </c>
    </row>
    <row r="28" spans="1:308" x14ac:dyDescent="0.25">
      <c r="A28" s="4">
        <v>2016</v>
      </c>
      <c r="B28" s="4">
        <v>1</v>
      </c>
      <c r="C28" s="4">
        <v>-13.776999999999999</v>
      </c>
      <c r="D28" s="4">
        <v>-4.8099999999999996</v>
      </c>
      <c r="E28" s="4">
        <v>-2.7970000000000002</v>
      </c>
      <c r="F28" s="4">
        <v>-3.6040000000000001</v>
      </c>
      <c r="G28" s="4">
        <v>-3.0289999999999999</v>
      </c>
      <c r="H28" s="4">
        <v>-10.335000000000001</v>
      </c>
      <c r="I28" s="4">
        <v>-3.7410000000000001</v>
      </c>
      <c r="J28" s="4">
        <v>-15.122</v>
      </c>
      <c r="K28" s="4">
        <v>-5.008</v>
      </c>
      <c r="L28" s="4">
        <v>-4.5229999999999997</v>
      </c>
      <c r="M28" s="4">
        <v>-1.5569999999999999</v>
      </c>
      <c r="N28" s="4">
        <v>-11.568</v>
      </c>
      <c r="O28" s="4">
        <v>-6.6369999999999996</v>
      </c>
      <c r="P28" s="4">
        <v>-10.565</v>
      </c>
      <c r="Q28" s="4">
        <v>-6.8159999999999998</v>
      </c>
      <c r="R28" s="4">
        <v>-16.547000000000001</v>
      </c>
      <c r="S28" s="4">
        <v>-14.614000000000001</v>
      </c>
      <c r="T28" s="4">
        <v>-7.8620000000000001</v>
      </c>
      <c r="U28" s="4">
        <v>-4.4950000000000001</v>
      </c>
      <c r="V28" s="4">
        <v>-5.673</v>
      </c>
      <c r="W28" s="4">
        <v>-1.413</v>
      </c>
      <c r="X28" s="4">
        <v>-4.7350000000000003</v>
      </c>
      <c r="Y28" s="4">
        <v>-7.5780000000000003</v>
      </c>
      <c r="Z28" s="4">
        <v>-1.647</v>
      </c>
      <c r="AA28" s="4">
        <v>-5.5789999999999997</v>
      </c>
      <c r="AB28" s="4">
        <v>-12.276999999999999</v>
      </c>
      <c r="AC28" s="4">
        <v>-1.508</v>
      </c>
      <c r="AD28" s="4">
        <v>-15.422000000000001</v>
      </c>
      <c r="AE28" s="4">
        <v>-3.3889999999999998</v>
      </c>
      <c r="AF28" s="4">
        <v>-8.6340000000000003</v>
      </c>
      <c r="AG28" s="4">
        <v>-3.9580000000000002</v>
      </c>
      <c r="AH28" s="4">
        <v>-1.742</v>
      </c>
      <c r="AI28" s="4">
        <v>-8</v>
      </c>
      <c r="AJ28" s="4">
        <v>-4.9359999999999999</v>
      </c>
      <c r="AK28" s="4">
        <v>-12.157</v>
      </c>
      <c r="AL28" s="4">
        <v>-2.1379999999999999</v>
      </c>
      <c r="AM28" s="4">
        <v>-1.3240000000000001</v>
      </c>
      <c r="AN28" s="4">
        <v>-0.46899999999999997</v>
      </c>
      <c r="AO28" s="4">
        <v>-8.8870000000000005</v>
      </c>
      <c r="AP28" s="4">
        <v>-4.5149999999999997</v>
      </c>
      <c r="AQ28" s="4">
        <v>-7.0949999999999998</v>
      </c>
      <c r="AR28" s="4">
        <v>-8.7680000000000007</v>
      </c>
      <c r="AS28" s="4">
        <v>-14.103</v>
      </c>
      <c r="AT28" s="4">
        <v>-9.1940000000000008</v>
      </c>
      <c r="AU28" s="4">
        <v>-5.4690000000000003</v>
      </c>
      <c r="AV28" s="4">
        <v>-4.6920000000000002</v>
      </c>
      <c r="AW28" s="4">
        <v>-3.355</v>
      </c>
      <c r="AX28" s="4">
        <v>-6.23</v>
      </c>
      <c r="AY28" s="4">
        <v>-6.15</v>
      </c>
      <c r="AZ28" s="4">
        <v>-1.4910000000000001</v>
      </c>
      <c r="BA28" s="4">
        <v>-3.7669999999999999</v>
      </c>
      <c r="BB28" s="4">
        <v>-7.6349999999999998</v>
      </c>
      <c r="BC28" s="4">
        <v>-2.056</v>
      </c>
      <c r="BD28" s="4">
        <v>-4.3330000000000002</v>
      </c>
      <c r="BE28" s="4">
        <v>0.76700000000000002</v>
      </c>
      <c r="BF28" s="4">
        <v>-4.4139999999999997</v>
      </c>
      <c r="BG28" s="4">
        <v>-7.9690000000000003</v>
      </c>
      <c r="BH28" s="4">
        <v>-6.3090000000000002</v>
      </c>
      <c r="BI28" s="4">
        <v>-5.3860000000000001</v>
      </c>
      <c r="BJ28" s="4">
        <v>-5.96</v>
      </c>
      <c r="BK28" s="4">
        <v>-11.919</v>
      </c>
      <c r="BL28" s="4">
        <v>-7.0750000000000002</v>
      </c>
      <c r="BM28" s="4">
        <v>-12.76</v>
      </c>
      <c r="BN28" s="4">
        <v>-14.33</v>
      </c>
      <c r="BO28" s="4">
        <v>-8.2230000000000008</v>
      </c>
      <c r="BP28" s="4">
        <v>-16.178000000000001</v>
      </c>
      <c r="BQ28" s="4">
        <v>-6.3780000000000001</v>
      </c>
      <c r="BR28" s="4">
        <v>-4.0430000000000001</v>
      </c>
      <c r="BS28" s="4">
        <v>-5.5960000000000001</v>
      </c>
      <c r="BT28" s="4">
        <v>-4.1760000000000002</v>
      </c>
      <c r="BU28" s="4">
        <v>-2.242</v>
      </c>
      <c r="BV28" s="4">
        <v>-3.952</v>
      </c>
      <c r="BW28" s="4">
        <v>-3.8780000000000001</v>
      </c>
      <c r="BX28" s="4">
        <v>-6.5380000000000003</v>
      </c>
      <c r="BY28" s="4">
        <v>-3.2349999999999999</v>
      </c>
      <c r="BZ28" s="4">
        <v>-5.4169999999999998</v>
      </c>
      <c r="CA28" s="4">
        <v>-9.17</v>
      </c>
      <c r="CB28" s="4">
        <v>-8.1329999999999991</v>
      </c>
      <c r="CC28" s="4">
        <v>-6.3460000000000001</v>
      </c>
      <c r="CD28" s="4">
        <v>-6.6619999999999999</v>
      </c>
      <c r="CE28" s="4">
        <v>-6.0720000000000001</v>
      </c>
      <c r="CF28" s="4">
        <v>-12.401999999999999</v>
      </c>
      <c r="CG28" s="4">
        <v>-4.601</v>
      </c>
      <c r="CH28" s="4">
        <v>-13.688000000000001</v>
      </c>
      <c r="CI28" s="4">
        <v>-7.8170000000000002</v>
      </c>
      <c r="CJ28" s="4">
        <v>-2.5840000000000001</v>
      </c>
      <c r="CK28" s="4">
        <v>-2.2770000000000001</v>
      </c>
      <c r="CL28" s="4">
        <v>-8.0139999999999993</v>
      </c>
      <c r="CM28" s="4">
        <v>-12.497</v>
      </c>
      <c r="CN28" s="4">
        <v>-1.0429999999999999</v>
      </c>
      <c r="CO28" s="4">
        <v>-14.035</v>
      </c>
      <c r="CP28" s="4">
        <v>-4.0709999999999997</v>
      </c>
      <c r="CQ28" s="4">
        <v>-3.1240000000000001</v>
      </c>
      <c r="CR28" s="4">
        <v>-7.7830000000000004</v>
      </c>
      <c r="CS28" s="4">
        <v>-0.78900000000000003</v>
      </c>
      <c r="CT28" s="4">
        <v>-3.63</v>
      </c>
      <c r="CU28" s="4">
        <v>-1.9590000000000001</v>
      </c>
      <c r="CV28" s="4">
        <v>-1.861</v>
      </c>
      <c r="CW28" s="4">
        <v>-5.1079999999999997</v>
      </c>
      <c r="CX28" s="4">
        <v>-4.7489999999999997</v>
      </c>
      <c r="CY28" s="4">
        <v>-6.9820000000000002</v>
      </c>
      <c r="CZ28" s="4">
        <v>-4.266</v>
      </c>
      <c r="DA28" s="4">
        <v>-3.3340000000000001</v>
      </c>
      <c r="DB28" s="4">
        <v>-4.6289999999999996</v>
      </c>
      <c r="DC28" s="4">
        <v>-17.393000000000001</v>
      </c>
      <c r="DD28" s="4">
        <v>-4.173</v>
      </c>
      <c r="DE28" s="4">
        <v>-13.688000000000001</v>
      </c>
      <c r="DF28" s="4">
        <v>-14.849</v>
      </c>
      <c r="DG28" s="4">
        <v>-2.2010000000000001</v>
      </c>
      <c r="DH28" s="4">
        <v>-17.858000000000001</v>
      </c>
      <c r="DI28" s="4">
        <v>-3.363</v>
      </c>
      <c r="DJ28" s="4">
        <v>-1.7250000000000001</v>
      </c>
      <c r="DK28" s="4">
        <v>-7.2130000000000001</v>
      </c>
      <c r="DL28" s="4">
        <v>-1.6639999999999999</v>
      </c>
      <c r="DM28" s="4">
        <v>-6.5750000000000002</v>
      </c>
      <c r="DN28" s="4">
        <v>-5.8159999999999998</v>
      </c>
      <c r="DO28" s="4">
        <v>-1.119</v>
      </c>
      <c r="DP28" s="4">
        <v>-7.3120000000000003</v>
      </c>
      <c r="DQ28" s="4">
        <v>-3.3719999999999999</v>
      </c>
      <c r="DR28" s="4">
        <v>-16.419</v>
      </c>
      <c r="DS28" s="4">
        <v>-4.7699999999999996</v>
      </c>
      <c r="DT28" s="4">
        <v>-1.966</v>
      </c>
      <c r="DU28" s="4">
        <v>-5.5750000000000002</v>
      </c>
      <c r="DV28" s="4">
        <v>-7.0369999999999999</v>
      </c>
      <c r="DW28" s="4">
        <v>-7.883</v>
      </c>
      <c r="DX28" s="4">
        <v>-10.247999999999999</v>
      </c>
      <c r="DY28" s="4">
        <v>-1.5569999999999999</v>
      </c>
      <c r="DZ28" s="4">
        <v>-6.7679999999999998</v>
      </c>
      <c r="EA28" s="4">
        <v>-6.3079999999999998</v>
      </c>
      <c r="EB28" s="4">
        <v>-2.7389999999999999</v>
      </c>
      <c r="EC28" s="4">
        <v>-2.2349999999999999</v>
      </c>
      <c r="ED28" s="4">
        <v>-6.4139999999999997</v>
      </c>
      <c r="EE28" s="4">
        <v>-17.021000000000001</v>
      </c>
      <c r="EF28" s="4">
        <v>-0.82299999999999995</v>
      </c>
      <c r="EG28" s="4">
        <v>-5.88</v>
      </c>
      <c r="EH28" s="4">
        <v>-6.2240000000000002</v>
      </c>
      <c r="EI28" s="4">
        <v>-8.6980000000000004</v>
      </c>
      <c r="EJ28" s="4">
        <v>-3.1819999999999999</v>
      </c>
      <c r="EK28" s="4">
        <v>-3.78</v>
      </c>
      <c r="EL28" s="4">
        <v>-4.3540000000000001</v>
      </c>
      <c r="EM28" s="4">
        <v>-3.5960000000000001</v>
      </c>
      <c r="EN28" s="4">
        <v>-3.5579999999999998</v>
      </c>
      <c r="EO28" s="4">
        <v>-7.2670000000000003</v>
      </c>
      <c r="EP28" s="4">
        <v>-4.74</v>
      </c>
      <c r="EQ28" s="4">
        <v>-3.3839999999999999</v>
      </c>
      <c r="ER28" s="4">
        <v>-9.7870000000000008</v>
      </c>
      <c r="ES28" s="4">
        <v>-0.57599999999999996</v>
      </c>
      <c r="ET28" s="4">
        <v>-7.8140000000000001</v>
      </c>
      <c r="EU28" s="4">
        <v>-14.147</v>
      </c>
      <c r="EV28" s="4">
        <v>-1.0269999999999999</v>
      </c>
      <c r="EW28" s="4">
        <v>-14.722</v>
      </c>
      <c r="EX28" s="4">
        <v>-2.5129999999999999</v>
      </c>
      <c r="EY28" s="4">
        <v>-14.935</v>
      </c>
      <c r="EZ28" s="4">
        <v>-4.5970000000000004</v>
      </c>
      <c r="FA28" s="4">
        <v>-0.34100000000000003</v>
      </c>
      <c r="FB28" s="4">
        <v>-10.163</v>
      </c>
      <c r="FC28" s="4">
        <v>-3.766</v>
      </c>
      <c r="FD28" s="4">
        <v>-2.681</v>
      </c>
      <c r="FE28" s="4">
        <v>-6.0190000000000001</v>
      </c>
      <c r="FF28" s="4">
        <v>-3.7829999999999999</v>
      </c>
      <c r="FG28" s="4">
        <v>-4.63</v>
      </c>
      <c r="FH28" s="4">
        <v>-2.335</v>
      </c>
      <c r="FI28" s="4">
        <v>-2.504</v>
      </c>
      <c r="FJ28" s="4">
        <v>-9.43</v>
      </c>
      <c r="FK28" s="4">
        <v>-1.841</v>
      </c>
      <c r="FL28" s="4">
        <v>-4.5819999999999999</v>
      </c>
      <c r="FM28" s="4">
        <v>-4.2750000000000004</v>
      </c>
      <c r="FN28" s="4">
        <v>-3.8559999999999999</v>
      </c>
      <c r="FO28" s="4">
        <v>-7.9960000000000004</v>
      </c>
      <c r="FP28" s="4">
        <v>-4.3019999999999996</v>
      </c>
      <c r="FQ28" s="4">
        <v>-4.84</v>
      </c>
      <c r="FR28" s="4">
        <v>-6.9930000000000003</v>
      </c>
      <c r="FS28" s="4">
        <v>-7.702</v>
      </c>
      <c r="FT28" s="4">
        <v>-7.8680000000000003</v>
      </c>
      <c r="FU28" s="4">
        <v>-10.358000000000001</v>
      </c>
      <c r="FV28" s="4">
        <v>-4.8040000000000003</v>
      </c>
      <c r="FW28" s="4">
        <v>-5.048</v>
      </c>
      <c r="FX28" s="4">
        <v>-14.425000000000001</v>
      </c>
      <c r="FY28" s="4">
        <v>-3.2679999999999998</v>
      </c>
      <c r="FZ28" s="4">
        <v>-4.8920000000000003</v>
      </c>
      <c r="GA28" s="4">
        <v>-5.2080000000000002</v>
      </c>
      <c r="GB28" s="4">
        <v>-3.8380000000000001</v>
      </c>
      <c r="GC28" s="4">
        <v>-7.2460000000000004</v>
      </c>
      <c r="GD28" s="4">
        <v>-2.2749999999999999</v>
      </c>
      <c r="GE28" s="4">
        <v>-6.3730000000000002</v>
      </c>
      <c r="GF28" s="4">
        <v>-2.331</v>
      </c>
      <c r="GG28" s="4">
        <v>-10.076000000000001</v>
      </c>
      <c r="GH28" s="4">
        <v>-9.6289999999999996</v>
      </c>
      <c r="GI28" s="4">
        <v>-2.8130000000000002</v>
      </c>
      <c r="GJ28" s="4">
        <v>-2.5419999999999998</v>
      </c>
      <c r="GK28" s="4">
        <v>-2.907</v>
      </c>
      <c r="GL28" s="4">
        <v>-4.4610000000000003</v>
      </c>
      <c r="GM28" s="4">
        <v>-4.8849999999999998</v>
      </c>
      <c r="GN28" s="4">
        <v>-11.484</v>
      </c>
      <c r="GO28" s="4">
        <v>-5.0540000000000003</v>
      </c>
      <c r="GP28" s="4">
        <v>-9.8360000000000003</v>
      </c>
      <c r="GQ28" s="4">
        <v>-16.207999999999998</v>
      </c>
      <c r="GR28" s="4">
        <v>-16.119</v>
      </c>
      <c r="GS28" s="4">
        <v>-4.2359999999999998</v>
      </c>
      <c r="GT28" s="4">
        <v>-17.372</v>
      </c>
      <c r="GU28" s="4">
        <v>-2.625</v>
      </c>
      <c r="GV28" s="4">
        <v>-2.1970000000000001</v>
      </c>
      <c r="GW28" s="4">
        <v>-13.429</v>
      </c>
      <c r="GX28" s="4">
        <v>-9.0950000000000006</v>
      </c>
      <c r="GY28" s="4">
        <v>-13.355</v>
      </c>
      <c r="GZ28" s="4">
        <v>-11.244999999999999</v>
      </c>
      <c r="HA28" s="4">
        <v>-1.8620000000000001</v>
      </c>
      <c r="HB28" s="4">
        <v>-5.4429999999999996</v>
      </c>
      <c r="HC28" s="4">
        <v>-7.1849999999999996</v>
      </c>
      <c r="HD28" s="4">
        <v>-4.726</v>
      </c>
      <c r="HE28" s="4">
        <v>-10.39</v>
      </c>
      <c r="HF28" s="4">
        <v>-7.18</v>
      </c>
      <c r="HG28" s="4">
        <v>-13.222</v>
      </c>
      <c r="HH28" s="4">
        <v>-3.5310000000000001</v>
      </c>
      <c r="HI28" s="4">
        <v>-8.0289999999999999</v>
      </c>
      <c r="HJ28" s="4">
        <v>-4.71</v>
      </c>
      <c r="HK28" s="4">
        <v>-5.5250000000000004</v>
      </c>
      <c r="HL28" s="4">
        <v>-8.1000000000000003E-2</v>
      </c>
      <c r="HM28" s="4">
        <v>-1.4870000000000001</v>
      </c>
      <c r="HN28" s="4">
        <v>-4.0739999999999998</v>
      </c>
      <c r="HO28" s="4">
        <v>-12.521000000000001</v>
      </c>
      <c r="HP28" s="4">
        <v>-7.1680000000000001</v>
      </c>
      <c r="HQ28" s="4">
        <v>-4.1859999999999999</v>
      </c>
      <c r="HR28" s="4">
        <v>-0.95899999999999996</v>
      </c>
      <c r="HS28" s="4">
        <v>-5.6180000000000003</v>
      </c>
      <c r="HT28" s="4">
        <v>-7.67</v>
      </c>
      <c r="HU28" s="4">
        <v>-6.3129999999999997</v>
      </c>
      <c r="HV28" s="4">
        <v>-4.6059999999999999</v>
      </c>
      <c r="HW28" s="4">
        <v>-5.0389999999999997</v>
      </c>
      <c r="HX28" s="4">
        <v>-12.179</v>
      </c>
      <c r="HY28" s="4">
        <v>-4.8019999999999996</v>
      </c>
      <c r="HZ28" s="4">
        <v>-4.45</v>
      </c>
      <c r="IA28" s="4">
        <v>-1.107</v>
      </c>
      <c r="IB28" s="4">
        <v>-16.091000000000001</v>
      </c>
      <c r="IC28" s="4">
        <v>-1.8049999999999999</v>
      </c>
      <c r="ID28" s="4">
        <v>-0.84199999999999997</v>
      </c>
      <c r="IE28" s="4">
        <v>-2.9369999999999998</v>
      </c>
      <c r="IF28" s="4">
        <v>-4.4770000000000003</v>
      </c>
      <c r="IG28" s="4">
        <v>-4.5419999999999998</v>
      </c>
      <c r="IH28" s="4">
        <v>-7.6589999999999998</v>
      </c>
      <c r="II28" s="4">
        <v>-9.2919999999999998</v>
      </c>
      <c r="IJ28" s="4">
        <v>-15.036</v>
      </c>
      <c r="IK28" s="4">
        <v>-5.7329999999999997</v>
      </c>
      <c r="IL28" s="4">
        <v>-3.7749999999999999</v>
      </c>
      <c r="IM28" s="4">
        <v>-12.817</v>
      </c>
      <c r="IN28" s="4">
        <v>-4.4779999999999998</v>
      </c>
      <c r="IO28" s="4">
        <v>-8.2170000000000005</v>
      </c>
      <c r="IP28" s="4">
        <v>-8.0129999999999999</v>
      </c>
      <c r="IQ28" s="4">
        <v>-6.8719999999999999</v>
      </c>
      <c r="IR28" s="4">
        <v>-1.5129999999999999</v>
      </c>
      <c r="IS28" s="4">
        <v>-0.69499999999999995</v>
      </c>
      <c r="IT28" s="4">
        <v>-11.897</v>
      </c>
      <c r="IU28" s="4">
        <v>-3.9020000000000001</v>
      </c>
      <c r="IV28" s="4">
        <v>-12.055999999999999</v>
      </c>
      <c r="IW28" s="4">
        <v>-4.7610000000000001</v>
      </c>
      <c r="IX28" s="4">
        <v>-11.808999999999999</v>
      </c>
      <c r="IY28" s="4">
        <v>-3.7250000000000001</v>
      </c>
      <c r="IZ28" s="4">
        <v>-7.0869999999999997</v>
      </c>
      <c r="JA28" s="4">
        <v>-3.7719999999999998</v>
      </c>
      <c r="JB28" s="4">
        <v>-4.0279999999999996</v>
      </c>
      <c r="JC28" s="4">
        <v>-6.6580000000000004</v>
      </c>
      <c r="JD28" s="4">
        <v>-9.173</v>
      </c>
      <c r="JE28" s="4">
        <v>-3.198</v>
      </c>
      <c r="JF28" s="4">
        <v>-1.7410000000000001</v>
      </c>
      <c r="JG28" s="4">
        <v>-1.3460000000000001</v>
      </c>
      <c r="JH28" s="4">
        <v>-4.5570000000000004</v>
      </c>
      <c r="JI28" s="4">
        <v>-2.2599999999999998</v>
      </c>
      <c r="JJ28" s="4">
        <v>-9.1760000000000002</v>
      </c>
      <c r="JK28" s="4">
        <v>-4.4640000000000004</v>
      </c>
      <c r="JL28" s="4">
        <v>-4.1029999999999998</v>
      </c>
      <c r="JM28" s="4">
        <v>8.7999999999999995E-2</v>
      </c>
      <c r="JN28" s="4">
        <v>-3.8029999999999999</v>
      </c>
      <c r="JO28" s="4">
        <v>-4.7110000000000003</v>
      </c>
      <c r="JP28" s="4">
        <v>-4.2290000000000001</v>
      </c>
      <c r="JQ28" s="4">
        <v>-3.4390000000000001</v>
      </c>
      <c r="JR28" s="4">
        <v>-3.0710000000000002</v>
      </c>
      <c r="JS28" s="4">
        <v>-4.4800000000000004</v>
      </c>
      <c r="JT28" s="4">
        <v>-10.752000000000001</v>
      </c>
      <c r="JU28" s="4">
        <v>-5.1539999999999999</v>
      </c>
      <c r="JV28" s="4">
        <v>-5.1420000000000003</v>
      </c>
      <c r="JW28" s="4">
        <v>-4.0250000000000004</v>
      </c>
      <c r="JX28" s="4">
        <v>-4.6429999999999998</v>
      </c>
      <c r="JY28" s="4">
        <v>-3.84</v>
      </c>
      <c r="JZ28" s="4">
        <v>-5.4729999999999999</v>
      </c>
      <c r="KA28" s="4">
        <v>-3.7069999999999999</v>
      </c>
      <c r="KB28" s="4">
        <v>-12.058</v>
      </c>
      <c r="KC28" s="4">
        <v>-9.827</v>
      </c>
      <c r="KD28" s="4">
        <v>-4.1059999999999999</v>
      </c>
      <c r="KE28" s="4">
        <v>-1.9850000000000001</v>
      </c>
      <c r="KF28" s="4">
        <v>-3.8860000000000001</v>
      </c>
      <c r="KG28" s="4">
        <v>-4.194</v>
      </c>
      <c r="KH28" s="4">
        <v>-4.1070000000000002</v>
      </c>
      <c r="KI28" s="4">
        <v>-6.41</v>
      </c>
      <c r="KJ28" s="4">
        <v>-2.8</v>
      </c>
      <c r="KK28" s="4">
        <v>-3.754</v>
      </c>
      <c r="KL28" s="4">
        <v>-4.5750000000000002</v>
      </c>
      <c r="KM28" s="4">
        <v>-15.222</v>
      </c>
      <c r="KN28" s="4">
        <v>-4.5209999999999999</v>
      </c>
      <c r="KO28" s="4">
        <v>-13.484</v>
      </c>
      <c r="KP28" s="4">
        <v>-5.7839999999999998</v>
      </c>
      <c r="KQ28" s="4">
        <v>-1.7330000000000001</v>
      </c>
      <c r="KR28" s="4">
        <v>-4.6689999999999996</v>
      </c>
      <c r="KS28" s="4">
        <v>-0.53600000000000003</v>
      </c>
    </row>
    <row r="29" spans="1:308" x14ac:dyDescent="0.25">
      <c r="A29" s="4">
        <v>2016</v>
      </c>
      <c r="B29" s="4">
        <v>2</v>
      </c>
      <c r="C29" s="4">
        <v>-7.8239999999999998</v>
      </c>
      <c r="D29" s="4">
        <v>-0.29899999999999999</v>
      </c>
      <c r="E29" s="4">
        <v>0.495</v>
      </c>
      <c r="F29" s="4">
        <v>-0.105</v>
      </c>
      <c r="G29" s="4">
        <v>0.59399999999999997</v>
      </c>
      <c r="H29" s="4">
        <v>-3.9790000000000001</v>
      </c>
      <c r="I29" s="4">
        <v>9.2999999999999999E-2</v>
      </c>
      <c r="J29" s="4">
        <v>-8.2330000000000005</v>
      </c>
      <c r="K29" s="4">
        <v>-0.436</v>
      </c>
      <c r="L29" s="4">
        <v>-0.54200000000000004</v>
      </c>
      <c r="M29" s="4">
        <v>1.8939999999999999</v>
      </c>
      <c r="N29" s="4">
        <v>-4.4109999999999996</v>
      </c>
      <c r="O29" s="4">
        <v>-0.67700000000000005</v>
      </c>
      <c r="P29" s="4">
        <v>-4.5060000000000002</v>
      </c>
      <c r="Q29" s="4">
        <v>-1.8680000000000001</v>
      </c>
      <c r="R29" s="4">
        <v>-9.1649999999999991</v>
      </c>
      <c r="S29" s="4">
        <v>-7.9379999999999997</v>
      </c>
      <c r="T29" s="4">
        <v>-1.8839999999999999</v>
      </c>
      <c r="U29" s="4">
        <v>-0.38500000000000001</v>
      </c>
      <c r="V29" s="4">
        <v>-0.59499999999999997</v>
      </c>
      <c r="W29" s="4">
        <v>1.94</v>
      </c>
      <c r="X29" s="4">
        <v>-7.6999999999999999E-2</v>
      </c>
      <c r="Y29" s="4">
        <v>-1.6479999999999999</v>
      </c>
      <c r="Z29" s="4">
        <v>1.7749999999999999</v>
      </c>
      <c r="AA29" s="4">
        <v>-0.94599999999999995</v>
      </c>
      <c r="AB29" s="4">
        <v>-5.4139999999999997</v>
      </c>
      <c r="AC29" s="4">
        <v>1.9570000000000001</v>
      </c>
      <c r="AD29" s="4">
        <v>-8.3140000000000001</v>
      </c>
      <c r="AE29" s="4">
        <v>-0.19</v>
      </c>
      <c r="AF29" s="4">
        <v>-2.8530000000000002</v>
      </c>
      <c r="AG29" s="4">
        <v>-0.51700000000000002</v>
      </c>
      <c r="AH29" s="4">
        <v>1.575</v>
      </c>
      <c r="AI29" s="4">
        <v>-1.91</v>
      </c>
      <c r="AJ29" s="4">
        <v>-0.40300000000000002</v>
      </c>
      <c r="AK29" s="4">
        <v>-4.5620000000000003</v>
      </c>
      <c r="AL29" s="4">
        <v>1.202</v>
      </c>
      <c r="AM29" s="4">
        <v>1.8029999999999999</v>
      </c>
      <c r="AN29" s="4">
        <v>2.621</v>
      </c>
      <c r="AO29" s="4">
        <v>-2.6309999999999998</v>
      </c>
      <c r="AP29" s="4">
        <v>0.1</v>
      </c>
      <c r="AQ29" s="4">
        <v>-1.4179999999999999</v>
      </c>
      <c r="AR29" s="4">
        <v>-3.3250000000000002</v>
      </c>
      <c r="AS29" s="4">
        <v>-7.3360000000000003</v>
      </c>
      <c r="AT29" s="4">
        <v>-3.1640000000000001</v>
      </c>
      <c r="AU29" s="4">
        <v>-1.0549999999999999</v>
      </c>
      <c r="AV29" s="4">
        <v>-0.65400000000000003</v>
      </c>
      <c r="AW29" s="4">
        <v>0.45100000000000001</v>
      </c>
      <c r="AX29" s="4">
        <v>-0.99399999999999999</v>
      </c>
      <c r="AY29" s="4">
        <v>-0.69599999999999995</v>
      </c>
      <c r="AZ29" s="4">
        <v>2.13</v>
      </c>
      <c r="BA29" s="4">
        <v>5.2999999999999999E-2</v>
      </c>
      <c r="BB29" s="4">
        <v>-1.748</v>
      </c>
      <c r="BC29" s="4">
        <v>1.728</v>
      </c>
      <c r="BD29" s="4">
        <v>-0.80500000000000005</v>
      </c>
      <c r="BE29" s="4">
        <v>2.903</v>
      </c>
      <c r="BF29" s="4">
        <v>-0.54600000000000004</v>
      </c>
      <c r="BG29" s="4">
        <v>-2.1920000000000002</v>
      </c>
      <c r="BH29" s="4">
        <v>-1.276</v>
      </c>
      <c r="BI29" s="4">
        <v>-0.53300000000000003</v>
      </c>
      <c r="BJ29" s="4">
        <v>-0.88300000000000001</v>
      </c>
      <c r="BK29" s="4">
        <v>-4.9279999999999999</v>
      </c>
      <c r="BL29" s="4">
        <v>-1.214</v>
      </c>
      <c r="BM29" s="4">
        <v>-6.1020000000000003</v>
      </c>
      <c r="BN29" s="4">
        <v>-7.7569999999999997</v>
      </c>
      <c r="BO29" s="4">
        <v>-2.4159999999999999</v>
      </c>
      <c r="BP29" s="4">
        <v>-9.3529999999999998</v>
      </c>
      <c r="BQ29" s="4">
        <v>-1.2430000000000001</v>
      </c>
      <c r="BR29" s="4">
        <v>-0.21099999999999999</v>
      </c>
      <c r="BS29" s="4">
        <v>-0.9</v>
      </c>
      <c r="BT29" s="4">
        <v>-0.436</v>
      </c>
      <c r="BU29" s="4">
        <v>1.153</v>
      </c>
      <c r="BV29" s="4">
        <v>2.7E-2</v>
      </c>
      <c r="BW29" s="4">
        <v>0.27100000000000002</v>
      </c>
      <c r="BX29" s="4">
        <v>-1.054</v>
      </c>
      <c r="BY29" s="4">
        <v>0.14199999999999999</v>
      </c>
      <c r="BZ29" s="4">
        <v>-0.69399999999999995</v>
      </c>
      <c r="CA29" s="4">
        <v>-2.8050000000000002</v>
      </c>
      <c r="CB29" s="4">
        <v>-2.11</v>
      </c>
      <c r="CC29" s="4">
        <v>-0.52900000000000003</v>
      </c>
      <c r="CD29" s="4">
        <v>-0.89500000000000002</v>
      </c>
      <c r="CE29" s="4">
        <v>-0.438</v>
      </c>
      <c r="CF29" s="4">
        <v>-5.1470000000000002</v>
      </c>
      <c r="CG29" s="4">
        <v>-0.41099999999999998</v>
      </c>
      <c r="CH29" s="4">
        <v>-5.66</v>
      </c>
      <c r="CI29" s="4">
        <v>-2.75</v>
      </c>
      <c r="CJ29" s="4">
        <v>0.57699999999999996</v>
      </c>
      <c r="CK29" s="4">
        <v>1.2509999999999999</v>
      </c>
      <c r="CL29" s="4">
        <v>-1.885</v>
      </c>
      <c r="CM29" s="4">
        <v>-5.53</v>
      </c>
      <c r="CN29" s="4">
        <v>2.2530000000000001</v>
      </c>
      <c r="CO29" s="4">
        <v>-7.55</v>
      </c>
      <c r="CP29" s="4">
        <v>-0.312</v>
      </c>
      <c r="CQ29" s="4">
        <v>0.27800000000000002</v>
      </c>
      <c r="CR29" s="4">
        <v>-2.0259999999999998</v>
      </c>
      <c r="CS29" s="4">
        <v>2.2570000000000001</v>
      </c>
      <c r="CT29" s="4">
        <v>0.38400000000000001</v>
      </c>
      <c r="CU29" s="4">
        <v>1.657</v>
      </c>
      <c r="CV29" s="4">
        <v>1.673</v>
      </c>
      <c r="CW29" s="4">
        <v>-0.59899999999999998</v>
      </c>
      <c r="CX29" s="4">
        <v>-0.216</v>
      </c>
      <c r="CY29" s="4">
        <v>-2.4750000000000001</v>
      </c>
      <c r="CZ29" s="4">
        <v>-1.7999999999999999E-2</v>
      </c>
      <c r="DA29" s="4">
        <v>0.41</v>
      </c>
      <c r="DB29" s="4">
        <v>4.9000000000000002E-2</v>
      </c>
      <c r="DC29" s="4">
        <v>-10.375</v>
      </c>
      <c r="DD29" s="4">
        <v>-0.29299999999999998</v>
      </c>
      <c r="DE29" s="4">
        <v>-6.6740000000000004</v>
      </c>
      <c r="DF29" s="4">
        <v>-6.9880000000000004</v>
      </c>
      <c r="DG29" s="4">
        <v>1.3720000000000001</v>
      </c>
      <c r="DH29" s="4">
        <v>-9.8360000000000003</v>
      </c>
      <c r="DI29" s="4">
        <v>0.124</v>
      </c>
      <c r="DJ29" s="4">
        <v>1.4019999999999999</v>
      </c>
      <c r="DK29" s="4">
        <v>-1.5649999999999999</v>
      </c>
      <c r="DL29" s="4">
        <v>1.9630000000000001</v>
      </c>
      <c r="DM29" s="4">
        <v>-0.749</v>
      </c>
      <c r="DN29" s="4">
        <v>-0.65500000000000003</v>
      </c>
      <c r="DO29" s="4">
        <v>2.431</v>
      </c>
      <c r="DP29" s="4">
        <v>-1.2689999999999999</v>
      </c>
      <c r="DQ29" s="4">
        <v>0.16</v>
      </c>
      <c r="DR29" s="4">
        <v>-9.3079999999999998</v>
      </c>
      <c r="DS29" s="4">
        <v>-0.311</v>
      </c>
      <c r="DT29" s="4">
        <v>1.5589999999999999</v>
      </c>
      <c r="DU29" s="4">
        <v>-0.67</v>
      </c>
      <c r="DV29" s="4">
        <v>-0.82799999999999996</v>
      </c>
      <c r="DW29" s="4">
        <v>-2.3140000000000001</v>
      </c>
      <c r="DX29" s="4">
        <v>-4.7750000000000004</v>
      </c>
      <c r="DY29" s="4">
        <v>1.88</v>
      </c>
      <c r="DZ29" s="4">
        <v>-0.97399999999999998</v>
      </c>
      <c r="EA29" s="4">
        <v>-0.437</v>
      </c>
      <c r="EB29" s="4">
        <v>0.55300000000000005</v>
      </c>
      <c r="EC29" s="4">
        <v>1.208</v>
      </c>
      <c r="ED29" s="4">
        <v>-0.66300000000000003</v>
      </c>
      <c r="EE29" s="4">
        <v>-10.496</v>
      </c>
      <c r="EF29" s="4">
        <v>2.4849999999999999</v>
      </c>
      <c r="EG29" s="4">
        <v>-0.64700000000000002</v>
      </c>
      <c r="EH29" s="4">
        <v>-0.44800000000000001</v>
      </c>
      <c r="EI29" s="4">
        <v>-2.5840000000000001</v>
      </c>
      <c r="EJ29" s="4">
        <v>0.191</v>
      </c>
      <c r="EK29" s="4">
        <v>3.1E-2</v>
      </c>
      <c r="EL29" s="4">
        <v>0.106</v>
      </c>
      <c r="EM29" s="4">
        <v>0.35299999999999998</v>
      </c>
      <c r="EN29" s="4">
        <v>0.10100000000000001</v>
      </c>
      <c r="EO29" s="4">
        <v>-1.506</v>
      </c>
      <c r="EP29" s="4">
        <v>0.21199999999999999</v>
      </c>
      <c r="EQ29" s="4">
        <v>0.44400000000000001</v>
      </c>
      <c r="ER29" s="4">
        <v>-3.8879999999999999</v>
      </c>
      <c r="ES29" s="4">
        <v>2.605</v>
      </c>
      <c r="ET29" s="4">
        <v>-1.8049999999999999</v>
      </c>
      <c r="EU29" s="4">
        <v>-6.9610000000000003</v>
      </c>
      <c r="EV29" s="4">
        <v>2.4300000000000002</v>
      </c>
      <c r="EW29" s="4">
        <v>-7.3280000000000003</v>
      </c>
      <c r="EX29" s="4">
        <v>0.78700000000000003</v>
      </c>
      <c r="EY29" s="4">
        <v>-7.9960000000000004</v>
      </c>
      <c r="EZ29" s="4">
        <v>-0.16300000000000001</v>
      </c>
      <c r="FA29" s="4">
        <v>2.6320000000000001</v>
      </c>
      <c r="FB29" s="4">
        <v>-4.0330000000000004</v>
      </c>
      <c r="FC29" s="4">
        <v>0.34100000000000003</v>
      </c>
      <c r="FD29" s="4">
        <v>0.85899999999999999</v>
      </c>
      <c r="FE29" s="4">
        <v>-0.84699999999999998</v>
      </c>
      <c r="FF29" s="4">
        <v>0.253</v>
      </c>
      <c r="FG29" s="4">
        <v>0.13100000000000001</v>
      </c>
      <c r="FH29" s="4">
        <v>0.92</v>
      </c>
      <c r="FI29" s="4">
        <v>1.075</v>
      </c>
      <c r="FJ29" s="4">
        <v>-2.7170000000000001</v>
      </c>
      <c r="FK29" s="4">
        <v>1.728</v>
      </c>
      <c r="FL29" s="4">
        <v>-5.3999999999999999E-2</v>
      </c>
      <c r="FM29" s="4">
        <v>-0.92</v>
      </c>
      <c r="FN29" s="4">
        <v>-0.16700000000000001</v>
      </c>
      <c r="FO29" s="4">
        <v>-2.1549999999999998</v>
      </c>
      <c r="FP29" s="4">
        <v>0.214</v>
      </c>
      <c r="FQ29" s="4">
        <v>-0.85799999999999998</v>
      </c>
      <c r="FR29" s="4">
        <v>-1.421</v>
      </c>
      <c r="FS29" s="4">
        <v>-1.6910000000000001</v>
      </c>
      <c r="FT29" s="4">
        <v>-3.234</v>
      </c>
      <c r="FU29" s="4">
        <v>-4.0960000000000001</v>
      </c>
      <c r="FV29" s="4">
        <v>-8.0000000000000002E-3</v>
      </c>
      <c r="FW29" s="4">
        <v>-0.61799999999999999</v>
      </c>
      <c r="FX29" s="4">
        <v>-7.2809999999999997</v>
      </c>
      <c r="FY29" s="4">
        <v>0.69399999999999995</v>
      </c>
      <c r="FZ29" s="4">
        <v>-0.38400000000000001</v>
      </c>
      <c r="GA29" s="4">
        <v>-0.72899999999999998</v>
      </c>
      <c r="GB29" s="4">
        <v>8.1000000000000003E-2</v>
      </c>
      <c r="GC29" s="4">
        <v>-1.9650000000000001</v>
      </c>
      <c r="GD29" s="4">
        <v>0.97</v>
      </c>
      <c r="GE29" s="4">
        <v>-0.41699999999999998</v>
      </c>
      <c r="GF29" s="4">
        <v>1.181</v>
      </c>
      <c r="GG29" s="4">
        <v>-4.0119999999999996</v>
      </c>
      <c r="GH29" s="4">
        <v>-2.7429999999999999</v>
      </c>
      <c r="GI29" s="4">
        <v>0.16600000000000001</v>
      </c>
      <c r="GJ29" s="4">
        <v>0.92400000000000004</v>
      </c>
      <c r="GK29" s="4">
        <v>0.79400000000000004</v>
      </c>
      <c r="GL29" s="4">
        <v>-3.4000000000000002E-2</v>
      </c>
      <c r="GM29" s="4">
        <v>-0.41</v>
      </c>
      <c r="GN29" s="4">
        <v>-3.988</v>
      </c>
      <c r="GO29" s="4">
        <v>-1.0049999999999999</v>
      </c>
      <c r="GP29" s="4">
        <v>-3.6920000000000002</v>
      </c>
      <c r="GQ29" s="4">
        <v>-7.8310000000000004</v>
      </c>
      <c r="GR29" s="4">
        <v>-6.8949999999999996</v>
      </c>
      <c r="GS29" s="4">
        <v>-8.4000000000000005E-2</v>
      </c>
      <c r="GT29" s="4">
        <v>-7.5439999999999996</v>
      </c>
      <c r="GU29" s="4">
        <v>0.60499999999999998</v>
      </c>
      <c r="GV29" s="4">
        <v>1.1870000000000001</v>
      </c>
      <c r="GW29" s="4">
        <v>-6.4219999999999997</v>
      </c>
      <c r="GX29" s="4">
        <v>-2.802</v>
      </c>
      <c r="GY29" s="4">
        <v>-7.8449999999999998</v>
      </c>
      <c r="GZ29" s="4">
        <v>-4.8220000000000001</v>
      </c>
      <c r="HA29" s="4">
        <v>1.5549999999999999</v>
      </c>
      <c r="HB29" s="4">
        <v>-0.65800000000000003</v>
      </c>
      <c r="HC29" s="4">
        <v>-1.365</v>
      </c>
      <c r="HD29" s="4">
        <v>-0.33200000000000002</v>
      </c>
      <c r="HE29" s="4">
        <v>-4.8250000000000002</v>
      </c>
      <c r="HF29" s="4">
        <v>-1.4650000000000001</v>
      </c>
      <c r="HG29" s="4">
        <v>-6.3140000000000001</v>
      </c>
      <c r="HH29" s="4">
        <v>0.432</v>
      </c>
      <c r="HI29" s="4">
        <v>-1.901</v>
      </c>
      <c r="HJ29" s="4">
        <v>-0.61699999999999999</v>
      </c>
      <c r="HK29" s="4">
        <v>-0.69799999999999995</v>
      </c>
      <c r="HL29" s="4">
        <v>2.6080000000000001</v>
      </c>
      <c r="HM29" s="4">
        <v>1.917</v>
      </c>
      <c r="HN29" s="4">
        <v>-0.30199999999999999</v>
      </c>
      <c r="HO29" s="4">
        <v>-5.5369999999999999</v>
      </c>
      <c r="HP29" s="4">
        <v>-1.7170000000000001</v>
      </c>
      <c r="HQ29" s="4">
        <v>-0.442</v>
      </c>
      <c r="HR29" s="4">
        <v>2.1030000000000002</v>
      </c>
      <c r="HS29" s="4">
        <v>-0.98799999999999999</v>
      </c>
      <c r="HT29" s="4">
        <v>-1.5720000000000001</v>
      </c>
      <c r="HU29" s="4">
        <v>-1.6719999999999999</v>
      </c>
      <c r="HV29" s="4">
        <v>0.16200000000000001</v>
      </c>
      <c r="HW29" s="4">
        <v>-0.50900000000000001</v>
      </c>
      <c r="HX29" s="4">
        <v>-5.9050000000000002</v>
      </c>
      <c r="HY29" s="4">
        <v>-2.5000000000000001E-2</v>
      </c>
      <c r="HZ29" s="4">
        <v>0.187</v>
      </c>
      <c r="IA29" s="4">
        <v>1.9570000000000001</v>
      </c>
      <c r="IB29" s="4">
        <v>-8.6530000000000005</v>
      </c>
      <c r="IC29" s="4">
        <v>1.3280000000000001</v>
      </c>
      <c r="ID29" s="4">
        <v>2.444</v>
      </c>
      <c r="IE29" s="4">
        <v>0.499</v>
      </c>
      <c r="IF29" s="4">
        <v>0.17599999999999999</v>
      </c>
      <c r="IG29" s="4">
        <v>9.7000000000000003E-2</v>
      </c>
      <c r="IH29" s="4">
        <v>-1.9219999999999999</v>
      </c>
      <c r="II29" s="4">
        <v>-4.5229999999999997</v>
      </c>
      <c r="IJ29" s="4">
        <v>-7.8360000000000003</v>
      </c>
      <c r="IK29" s="4">
        <v>-0.83</v>
      </c>
      <c r="IL29" s="4">
        <v>0.314</v>
      </c>
      <c r="IM29" s="4">
        <v>-5.6390000000000002</v>
      </c>
      <c r="IN29" s="4">
        <v>0.13</v>
      </c>
      <c r="IO29" s="4">
        <v>-3.04</v>
      </c>
      <c r="IP29" s="4">
        <v>-1.9219999999999999</v>
      </c>
      <c r="IQ29" s="4">
        <v>-1.24</v>
      </c>
      <c r="IR29" s="4">
        <v>2.1150000000000002</v>
      </c>
      <c r="IS29" s="4">
        <v>2.3149999999999999</v>
      </c>
      <c r="IT29" s="4">
        <v>-4.76</v>
      </c>
      <c r="IU29" s="4">
        <v>-0.33300000000000002</v>
      </c>
      <c r="IV29" s="4">
        <v>-4.5469999999999997</v>
      </c>
      <c r="IW29" s="4">
        <v>-3.6999999999999998E-2</v>
      </c>
      <c r="IX29" s="4">
        <v>-5.8029999999999999</v>
      </c>
      <c r="IY29" s="4">
        <v>-0.09</v>
      </c>
      <c r="IZ29" s="4">
        <v>-1.365</v>
      </c>
      <c r="JA29" s="4">
        <v>1.2999999999999999E-2</v>
      </c>
      <c r="JB29" s="4">
        <v>-0.46400000000000002</v>
      </c>
      <c r="JC29" s="4">
        <v>-1.2589999999999999</v>
      </c>
      <c r="JD29" s="4">
        <v>-4.0599999999999996</v>
      </c>
      <c r="JE29" s="4">
        <v>0.317</v>
      </c>
      <c r="JF29" s="4">
        <v>1.21</v>
      </c>
      <c r="JG29" s="4">
        <v>1.99</v>
      </c>
      <c r="JH29" s="4">
        <v>-0.437</v>
      </c>
      <c r="JI29" s="4">
        <v>1.4219999999999999</v>
      </c>
      <c r="JJ29" s="4">
        <v>-2.4740000000000002</v>
      </c>
      <c r="JK29" s="4">
        <v>-0.17199999999999999</v>
      </c>
      <c r="JL29" s="4">
        <v>-0.41299999999999998</v>
      </c>
      <c r="JM29" s="4">
        <v>2.7160000000000002</v>
      </c>
      <c r="JN29" s="4">
        <v>0.23799999999999999</v>
      </c>
      <c r="JO29" s="4">
        <v>-0.4</v>
      </c>
      <c r="JP29" s="4">
        <v>-1.7999999999999999E-2</v>
      </c>
      <c r="JQ29" s="4">
        <v>0.22500000000000001</v>
      </c>
      <c r="JR29" s="4">
        <v>0.627</v>
      </c>
      <c r="JS29" s="4">
        <v>-0.92400000000000004</v>
      </c>
      <c r="JT29" s="4">
        <v>-4.5279999999999996</v>
      </c>
      <c r="JU29" s="4">
        <v>-0.501</v>
      </c>
      <c r="JV29" s="4">
        <v>-0.39400000000000002</v>
      </c>
      <c r="JW29" s="4">
        <v>0.29699999999999999</v>
      </c>
      <c r="JX29" s="4">
        <v>-0.64200000000000002</v>
      </c>
      <c r="JY29" s="4">
        <v>8.3000000000000004E-2</v>
      </c>
      <c r="JZ29" s="4">
        <v>-0.72899999999999998</v>
      </c>
      <c r="KA29" s="4">
        <v>0.20799999999999999</v>
      </c>
      <c r="KB29" s="4">
        <v>-5.2610000000000001</v>
      </c>
      <c r="KC29" s="4">
        <v>-3.2989999999999999</v>
      </c>
      <c r="KD29" s="4">
        <v>9.0999999999999998E-2</v>
      </c>
      <c r="KE29" s="4">
        <v>1.7150000000000001</v>
      </c>
      <c r="KF29" s="4">
        <v>-0.36699999999999999</v>
      </c>
      <c r="KG29" s="4">
        <v>1.4E-2</v>
      </c>
      <c r="KH29" s="4">
        <v>-6.9000000000000006E-2</v>
      </c>
      <c r="KI29" s="4">
        <v>-0.72599999999999998</v>
      </c>
      <c r="KJ29" s="4">
        <v>0.67900000000000005</v>
      </c>
      <c r="KK29" s="4">
        <v>-4.0000000000000001E-3</v>
      </c>
      <c r="KL29" s="4">
        <v>-0.41799999999999998</v>
      </c>
      <c r="KM29" s="4">
        <v>-8.0129999999999999</v>
      </c>
      <c r="KN29" s="4">
        <v>-0.19</v>
      </c>
      <c r="KO29" s="4">
        <v>-6.4610000000000003</v>
      </c>
      <c r="KP29" s="4">
        <v>-0.61499999999999999</v>
      </c>
      <c r="KQ29" s="4">
        <v>1.492</v>
      </c>
      <c r="KR29" s="4">
        <v>-0.53800000000000003</v>
      </c>
      <c r="KS29" s="4">
        <v>2.4449999999999998</v>
      </c>
    </row>
    <row r="30" spans="1:308" x14ac:dyDescent="0.25">
      <c r="A30" s="4">
        <v>2016</v>
      </c>
      <c r="B30" s="4">
        <v>3</v>
      </c>
      <c r="C30" s="4">
        <v>-5.0430000000000001</v>
      </c>
      <c r="D30" s="4">
        <v>2.4620000000000002</v>
      </c>
      <c r="E30" s="4">
        <v>3.2170000000000001</v>
      </c>
      <c r="F30" s="4">
        <v>2.5739999999999998</v>
      </c>
      <c r="G30" s="4">
        <v>2.4780000000000002</v>
      </c>
      <c r="H30" s="4">
        <v>0.64500000000000002</v>
      </c>
      <c r="I30" s="4">
        <v>2.3620000000000001</v>
      </c>
      <c r="J30" s="4">
        <v>-1.917</v>
      </c>
      <c r="K30" s="4">
        <v>2.6160000000000001</v>
      </c>
      <c r="L30" s="4">
        <v>1.97</v>
      </c>
      <c r="M30" s="4">
        <v>3.149</v>
      </c>
      <c r="N30" s="4">
        <v>-0.20399999999999999</v>
      </c>
      <c r="O30" s="4">
        <v>2.6560000000000001</v>
      </c>
      <c r="P30" s="4">
        <v>-1.389</v>
      </c>
      <c r="Q30" s="4">
        <v>2.0059999999999998</v>
      </c>
      <c r="R30" s="4">
        <v>-2.7250000000000001</v>
      </c>
      <c r="S30" s="4">
        <v>-2.7</v>
      </c>
      <c r="T30" s="4">
        <v>2.2170000000000001</v>
      </c>
      <c r="U30" s="4">
        <v>2.1219999999999999</v>
      </c>
      <c r="V30" s="4">
        <v>2.218</v>
      </c>
      <c r="W30" s="4">
        <v>3.194</v>
      </c>
      <c r="X30" s="4">
        <v>2.484</v>
      </c>
      <c r="Y30" s="4">
        <v>1.853</v>
      </c>
      <c r="Z30" s="4">
        <v>3.0430000000000001</v>
      </c>
      <c r="AA30" s="4">
        <v>2.3769999999999998</v>
      </c>
      <c r="AB30" s="4">
        <v>-1.137</v>
      </c>
      <c r="AC30" s="4">
        <v>3.2210000000000001</v>
      </c>
      <c r="AD30" s="4">
        <v>-2.4220000000000002</v>
      </c>
      <c r="AE30" s="4">
        <v>2.29</v>
      </c>
      <c r="AF30" s="4">
        <v>1.3109999999999999</v>
      </c>
      <c r="AG30" s="4">
        <v>1.96</v>
      </c>
      <c r="AH30" s="4">
        <v>3.58</v>
      </c>
      <c r="AI30" s="4">
        <v>1.84</v>
      </c>
      <c r="AJ30" s="4">
        <v>2.4129999999999998</v>
      </c>
      <c r="AK30" s="4">
        <v>-0.80200000000000005</v>
      </c>
      <c r="AL30" s="4">
        <v>2.992</v>
      </c>
      <c r="AM30" s="4">
        <v>3.44</v>
      </c>
      <c r="AN30" s="4">
        <v>4.0049999999999999</v>
      </c>
      <c r="AO30" s="4">
        <v>1.92</v>
      </c>
      <c r="AP30" s="4">
        <v>2.7440000000000002</v>
      </c>
      <c r="AQ30" s="4">
        <v>1.744</v>
      </c>
      <c r="AR30" s="4">
        <v>0.92100000000000004</v>
      </c>
      <c r="AS30" s="4">
        <v>-1.516</v>
      </c>
      <c r="AT30" s="4">
        <v>0.749</v>
      </c>
      <c r="AU30" s="4">
        <v>2.274</v>
      </c>
      <c r="AV30" s="4">
        <v>1.887</v>
      </c>
      <c r="AW30" s="4">
        <v>2.843</v>
      </c>
      <c r="AX30" s="4">
        <v>2.16</v>
      </c>
      <c r="AY30" s="4">
        <v>2.452</v>
      </c>
      <c r="AZ30" s="4">
        <v>3.6920000000000002</v>
      </c>
      <c r="BA30" s="4">
        <v>2.573</v>
      </c>
      <c r="BB30" s="4">
        <v>1.7450000000000001</v>
      </c>
      <c r="BC30" s="4">
        <v>3.0670000000000002</v>
      </c>
      <c r="BD30" s="4">
        <v>2.0070000000000001</v>
      </c>
      <c r="BE30" s="4">
        <v>3.93</v>
      </c>
      <c r="BF30" s="4">
        <v>2.3820000000000001</v>
      </c>
      <c r="BG30" s="4">
        <v>1.7010000000000001</v>
      </c>
      <c r="BH30" s="4">
        <v>1.907</v>
      </c>
      <c r="BI30" s="4">
        <v>2.5129999999999999</v>
      </c>
      <c r="BJ30" s="4">
        <v>2.2509999999999999</v>
      </c>
      <c r="BK30" s="4">
        <v>-1.3580000000000001</v>
      </c>
      <c r="BL30" s="4">
        <v>2.3820000000000001</v>
      </c>
      <c r="BM30" s="4">
        <v>-1.6240000000000001</v>
      </c>
      <c r="BN30" s="4">
        <v>-2.0830000000000002</v>
      </c>
      <c r="BO30" s="4">
        <v>1.5089999999999999</v>
      </c>
      <c r="BP30" s="4">
        <v>-4.0380000000000003</v>
      </c>
      <c r="BQ30" s="4">
        <v>1.8640000000000001</v>
      </c>
      <c r="BR30" s="4">
        <v>1.9319999999999999</v>
      </c>
      <c r="BS30" s="4">
        <v>2.173</v>
      </c>
      <c r="BT30" s="4">
        <v>1.849</v>
      </c>
      <c r="BU30" s="4">
        <v>3.472</v>
      </c>
      <c r="BV30" s="4">
        <v>2.698</v>
      </c>
      <c r="BW30" s="4">
        <v>2.6320000000000001</v>
      </c>
      <c r="BX30" s="4">
        <v>2.206</v>
      </c>
      <c r="BY30" s="4">
        <v>2.5249999999999999</v>
      </c>
      <c r="BZ30" s="4">
        <v>2.306</v>
      </c>
      <c r="CA30" s="4">
        <v>1.7490000000000001</v>
      </c>
      <c r="CB30" s="4">
        <v>1.61</v>
      </c>
      <c r="CC30" s="4">
        <v>2.363</v>
      </c>
      <c r="CD30" s="4">
        <v>2.4500000000000002</v>
      </c>
      <c r="CE30" s="4">
        <v>2.3650000000000002</v>
      </c>
      <c r="CF30" s="4">
        <v>-0.44800000000000001</v>
      </c>
      <c r="CG30" s="4">
        <v>2.1549999999999998</v>
      </c>
      <c r="CH30" s="4">
        <v>-2.6230000000000002</v>
      </c>
      <c r="CI30" s="4">
        <v>0.877</v>
      </c>
      <c r="CJ30" s="4">
        <v>3.1560000000000001</v>
      </c>
      <c r="CK30" s="4">
        <v>2.9969999999999999</v>
      </c>
      <c r="CL30" s="4">
        <v>1.7529999999999999</v>
      </c>
      <c r="CM30" s="4">
        <v>-1.603</v>
      </c>
      <c r="CN30" s="4">
        <v>3.3769999999999998</v>
      </c>
      <c r="CO30" s="4">
        <v>-2.6589999999999998</v>
      </c>
      <c r="CP30" s="4">
        <v>2.2970000000000002</v>
      </c>
      <c r="CQ30" s="4">
        <v>2.6179999999999999</v>
      </c>
      <c r="CR30" s="4">
        <v>1.4630000000000001</v>
      </c>
      <c r="CS30" s="4">
        <v>3.27</v>
      </c>
      <c r="CT30" s="4">
        <v>3.1520000000000001</v>
      </c>
      <c r="CU30" s="4">
        <v>3.3570000000000002</v>
      </c>
      <c r="CV30" s="4">
        <v>3.4020000000000001</v>
      </c>
      <c r="CW30" s="4">
        <v>2.4279999999999999</v>
      </c>
      <c r="CX30" s="4">
        <v>2.504</v>
      </c>
      <c r="CY30" s="4">
        <v>1.4279999999999999</v>
      </c>
      <c r="CZ30" s="4">
        <v>2.73</v>
      </c>
      <c r="DA30" s="4">
        <v>2.165</v>
      </c>
      <c r="DB30" s="4">
        <v>2.8410000000000002</v>
      </c>
      <c r="DC30" s="4">
        <v>-3.3839999999999999</v>
      </c>
      <c r="DD30" s="4">
        <v>2.2080000000000002</v>
      </c>
      <c r="DE30" s="4">
        <v>-0.94899999999999995</v>
      </c>
      <c r="DF30" s="4">
        <v>-2.9510000000000001</v>
      </c>
      <c r="DG30" s="4">
        <v>3.46</v>
      </c>
      <c r="DH30" s="4">
        <v>-5.5659999999999998</v>
      </c>
      <c r="DI30" s="4">
        <v>2.6240000000000001</v>
      </c>
      <c r="DJ30" s="4">
        <v>3.218</v>
      </c>
      <c r="DK30" s="4">
        <v>1.746</v>
      </c>
      <c r="DL30" s="4">
        <v>3.5489999999999999</v>
      </c>
      <c r="DM30" s="4">
        <v>2.339</v>
      </c>
      <c r="DN30" s="4">
        <v>2.3690000000000002</v>
      </c>
      <c r="DO30" s="4">
        <v>3.867</v>
      </c>
      <c r="DP30" s="4">
        <v>2.258</v>
      </c>
      <c r="DQ30" s="4">
        <v>2.4209999999999998</v>
      </c>
      <c r="DR30" s="4">
        <v>-4.59</v>
      </c>
      <c r="DS30" s="4">
        <v>2.2730000000000001</v>
      </c>
      <c r="DT30" s="4">
        <v>2.988</v>
      </c>
      <c r="DU30" s="4">
        <v>2.3370000000000002</v>
      </c>
      <c r="DV30" s="4">
        <v>2.589</v>
      </c>
      <c r="DW30" s="4">
        <v>1.46</v>
      </c>
      <c r="DX30" s="4">
        <v>0.28499999999999998</v>
      </c>
      <c r="DY30" s="4">
        <v>3.5760000000000001</v>
      </c>
      <c r="DZ30" s="4">
        <v>2.109</v>
      </c>
      <c r="EA30" s="4">
        <v>2.488</v>
      </c>
      <c r="EB30" s="4">
        <v>3.2690000000000001</v>
      </c>
      <c r="EC30" s="4">
        <v>3.2360000000000002</v>
      </c>
      <c r="ED30" s="4">
        <v>2.6469999999999998</v>
      </c>
      <c r="EE30" s="4">
        <v>-3.4820000000000002</v>
      </c>
      <c r="EF30" s="4">
        <v>3.6320000000000001</v>
      </c>
      <c r="EG30" s="4">
        <v>2.2930000000000001</v>
      </c>
      <c r="EH30" s="4">
        <v>2.5680000000000001</v>
      </c>
      <c r="EI30" s="4">
        <v>1.532</v>
      </c>
      <c r="EJ30" s="4">
        <v>2.8140000000000001</v>
      </c>
      <c r="EK30" s="4">
        <v>2.4710000000000001</v>
      </c>
      <c r="EL30" s="4">
        <v>2.6680000000000001</v>
      </c>
      <c r="EM30" s="4">
        <v>2.7650000000000001</v>
      </c>
      <c r="EN30" s="4">
        <v>2.7610000000000001</v>
      </c>
      <c r="EO30" s="4">
        <v>2.008</v>
      </c>
      <c r="EP30" s="4">
        <v>2.923</v>
      </c>
      <c r="EQ30" s="4">
        <v>2.254</v>
      </c>
      <c r="ER30" s="4">
        <v>0.6</v>
      </c>
      <c r="ES30" s="4">
        <v>4.0190000000000001</v>
      </c>
      <c r="ET30" s="4">
        <v>1.7070000000000001</v>
      </c>
      <c r="EU30" s="4">
        <v>-2.34</v>
      </c>
      <c r="EV30" s="4">
        <v>3.923</v>
      </c>
      <c r="EW30" s="4">
        <v>-1.55</v>
      </c>
      <c r="EX30" s="4">
        <v>3.202</v>
      </c>
      <c r="EY30" s="4">
        <v>-2.351</v>
      </c>
      <c r="EZ30" s="4">
        <v>2.3780000000000001</v>
      </c>
      <c r="FA30" s="4">
        <v>3.952</v>
      </c>
      <c r="FB30" s="4">
        <v>0.86099999999999999</v>
      </c>
      <c r="FC30" s="4">
        <v>2.8679999999999999</v>
      </c>
      <c r="FD30" s="4">
        <v>2.5939999999999999</v>
      </c>
      <c r="FE30" s="4">
        <v>2.2770000000000001</v>
      </c>
      <c r="FF30" s="4">
        <v>2.7690000000000001</v>
      </c>
      <c r="FG30" s="4">
        <v>2.847</v>
      </c>
      <c r="FH30" s="4">
        <v>3.3439999999999999</v>
      </c>
      <c r="FI30" s="4">
        <v>3.5249999999999999</v>
      </c>
      <c r="FJ30" s="4">
        <v>1.5980000000000001</v>
      </c>
      <c r="FK30" s="4">
        <v>3.452</v>
      </c>
      <c r="FL30" s="4">
        <v>2.6579999999999999</v>
      </c>
      <c r="FM30" s="4">
        <v>1.762</v>
      </c>
      <c r="FN30" s="4">
        <v>2.8319999999999999</v>
      </c>
      <c r="FO30" s="4">
        <v>1.9710000000000001</v>
      </c>
      <c r="FP30" s="4">
        <v>2.806</v>
      </c>
      <c r="FQ30" s="4">
        <v>1.69</v>
      </c>
      <c r="FR30" s="4">
        <v>1.923</v>
      </c>
      <c r="FS30" s="4">
        <v>1.885</v>
      </c>
      <c r="FT30" s="4">
        <v>0.95</v>
      </c>
      <c r="FU30" s="4">
        <v>-0.22900000000000001</v>
      </c>
      <c r="FV30" s="4">
        <v>2.706</v>
      </c>
      <c r="FW30" s="4">
        <v>1.9470000000000001</v>
      </c>
      <c r="FX30" s="4">
        <v>-1.9770000000000001</v>
      </c>
      <c r="FY30" s="4">
        <v>3.1160000000000001</v>
      </c>
      <c r="FZ30" s="4">
        <v>2.4409999999999998</v>
      </c>
      <c r="GA30" s="4">
        <v>2.2909999999999999</v>
      </c>
      <c r="GB30" s="4">
        <v>2.149</v>
      </c>
      <c r="GC30" s="4">
        <v>1.377</v>
      </c>
      <c r="GD30" s="4">
        <v>2.9079999999999999</v>
      </c>
      <c r="GE30" s="4">
        <v>2.6920000000000002</v>
      </c>
      <c r="GF30" s="4">
        <v>2.72</v>
      </c>
      <c r="GG30" s="4">
        <v>-1.6E-2</v>
      </c>
      <c r="GH30" s="4">
        <v>1.54</v>
      </c>
      <c r="GI30" s="4">
        <v>3.0049999999999999</v>
      </c>
      <c r="GJ30" s="4">
        <v>2.7290000000000001</v>
      </c>
      <c r="GK30" s="4">
        <v>3.298</v>
      </c>
      <c r="GL30" s="4">
        <v>2.4209999999999998</v>
      </c>
      <c r="GM30" s="4">
        <v>2.234</v>
      </c>
      <c r="GN30" s="4">
        <v>-0.84199999999999997</v>
      </c>
      <c r="GO30" s="4">
        <v>1.8260000000000001</v>
      </c>
      <c r="GP30" s="4">
        <v>1.173</v>
      </c>
      <c r="GQ30" s="4">
        <v>-3.069</v>
      </c>
      <c r="GR30" s="4">
        <v>-2.9609999999999999</v>
      </c>
      <c r="GS30" s="4">
        <v>2.4079999999999999</v>
      </c>
      <c r="GT30" s="4">
        <v>-3.6669999999999998</v>
      </c>
      <c r="GU30" s="4">
        <v>3.2690000000000001</v>
      </c>
      <c r="GV30" s="4">
        <v>2.8279999999999998</v>
      </c>
      <c r="GW30" s="4">
        <v>-1.395</v>
      </c>
      <c r="GX30" s="4">
        <v>1.306</v>
      </c>
      <c r="GY30" s="4">
        <v>-4.1769999999999996</v>
      </c>
      <c r="GZ30" s="4">
        <v>-0.56299999999999994</v>
      </c>
      <c r="HA30" s="4">
        <v>3.3690000000000002</v>
      </c>
      <c r="HB30" s="4">
        <v>2.4750000000000001</v>
      </c>
      <c r="HC30" s="4">
        <v>1.9730000000000001</v>
      </c>
      <c r="HD30" s="4">
        <v>2.54</v>
      </c>
      <c r="HE30" s="4">
        <v>-0.375</v>
      </c>
      <c r="HF30" s="4">
        <v>1.8169999999999999</v>
      </c>
      <c r="HG30" s="4">
        <v>-1.536</v>
      </c>
      <c r="HH30" s="4">
        <v>2.641</v>
      </c>
      <c r="HI30" s="4">
        <v>1.7330000000000001</v>
      </c>
      <c r="HJ30" s="4">
        <v>1.853</v>
      </c>
      <c r="HK30" s="4">
        <v>2.306</v>
      </c>
      <c r="HL30" s="4">
        <v>3.7639999999999998</v>
      </c>
      <c r="HM30" s="4">
        <v>3.585</v>
      </c>
      <c r="HN30" s="4">
        <v>2.48</v>
      </c>
      <c r="HO30" s="4">
        <v>-0.58499999999999996</v>
      </c>
      <c r="HP30" s="4">
        <v>1.728</v>
      </c>
      <c r="HQ30" s="4">
        <v>2.4020000000000001</v>
      </c>
      <c r="HR30" s="4">
        <v>3.5310000000000001</v>
      </c>
      <c r="HS30" s="4">
        <v>1.9470000000000001</v>
      </c>
      <c r="HT30" s="4">
        <v>1.911</v>
      </c>
      <c r="HU30" s="4">
        <v>1.681</v>
      </c>
      <c r="HV30" s="4">
        <v>2.8109999999999999</v>
      </c>
      <c r="HW30" s="4">
        <v>2.4380000000000002</v>
      </c>
      <c r="HX30" s="4">
        <v>-0.127</v>
      </c>
      <c r="HY30" s="4">
        <v>2.7639999999999998</v>
      </c>
      <c r="HZ30" s="4">
        <v>2.9140000000000001</v>
      </c>
      <c r="IA30" s="4">
        <v>3.4580000000000002</v>
      </c>
      <c r="IB30" s="4">
        <v>-2.2639999999999998</v>
      </c>
      <c r="IC30" s="4">
        <v>3.1760000000000002</v>
      </c>
      <c r="ID30" s="4">
        <v>3.9289999999999998</v>
      </c>
      <c r="IE30" s="4">
        <v>3.13</v>
      </c>
      <c r="IF30" s="4">
        <v>2.9460000000000002</v>
      </c>
      <c r="IG30" s="4">
        <v>2.819</v>
      </c>
      <c r="IH30" s="4">
        <v>1.661</v>
      </c>
      <c r="II30" s="4">
        <v>-1.627</v>
      </c>
      <c r="IJ30" s="4">
        <v>-1.8129999999999999</v>
      </c>
      <c r="IK30" s="4">
        <v>2.2730000000000001</v>
      </c>
      <c r="IL30" s="4">
        <v>3.1059999999999999</v>
      </c>
      <c r="IM30" s="4">
        <v>-1.25</v>
      </c>
      <c r="IN30" s="4">
        <v>2.8940000000000001</v>
      </c>
      <c r="IO30" s="4">
        <v>1.1399999999999999</v>
      </c>
      <c r="IP30" s="4">
        <v>1.9690000000000001</v>
      </c>
      <c r="IQ30" s="4">
        <v>2.2069999999999999</v>
      </c>
      <c r="IR30" s="4">
        <v>3.5179999999999998</v>
      </c>
      <c r="IS30" s="4">
        <v>3.7269999999999999</v>
      </c>
      <c r="IT30" s="4">
        <v>-0.74199999999999999</v>
      </c>
      <c r="IU30" s="4">
        <v>1.901</v>
      </c>
      <c r="IV30" s="4">
        <v>-0.89</v>
      </c>
      <c r="IW30" s="4">
        <v>2.6669999999999998</v>
      </c>
      <c r="IX30" s="4">
        <v>-2.2570000000000001</v>
      </c>
      <c r="IY30" s="4">
        <v>2.95</v>
      </c>
      <c r="IZ30" s="4">
        <v>1.907</v>
      </c>
      <c r="JA30" s="4">
        <v>2.6709999999999998</v>
      </c>
      <c r="JB30" s="4">
        <v>2.3260000000000001</v>
      </c>
      <c r="JC30" s="4">
        <v>2.0099999999999998</v>
      </c>
      <c r="JD30" s="4">
        <v>0.65</v>
      </c>
      <c r="JE30" s="4">
        <v>2.6030000000000002</v>
      </c>
      <c r="JF30" s="4">
        <v>3.2890000000000001</v>
      </c>
      <c r="JG30" s="4">
        <v>3.6030000000000002</v>
      </c>
      <c r="JH30" s="4">
        <v>2.4910000000000001</v>
      </c>
      <c r="JI30" s="4">
        <v>3.327</v>
      </c>
      <c r="JJ30" s="4">
        <v>1.889</v>
      </c>
      <c r="JK30" s="4">
        <v>2.359</v>
      </c>
      <c r="JL30" s="4">
        <v>1.804</v>
      </c>
      <c r="JM30" s="4">
        <v>3.8660000000000001</v>
      </c>
      <c r="JN30" s="4">
        <v>2.8029999999999999</v>
      </c>
      <c r="JO30" s="4">
        <v>2.1440000000000001</v>
      </c>
      <c r="JP30" s="4">
        <v>2.427</v>
      </c>
      <c r="JQ30" s="4">
        <v>2.988</v>
      </c>
      <c r="JR30" s="4">
        <v>2.4369999999999998</v>
      </c>
      <c r="JS30" s="4">
        <v>1.526</v>
      </c>
      <c r="JT30" s="4">
        <v>-0.45200000000000001</v>
      </c>
      <c r="JU30" s="4">
        <v>2.37</v>
      </c>
      <c r="JV30" s="4">
        <v>2.4889999999999999</v>
      </c>
      <c r="JW30" s="4">
        <v>2.7549999999999999</v>
      </c>
      <c r="JX30" s="4">
        <v>1.768</v>
      </c>
      <c r="JY30" s="4">
        <v>2.718</v>
      </c>
      <c r="JZ30" s="4">
        <v>2.1150000000000002</v>
      </c>
      <c r="KA30" s="4">
        <v>2.754</v>
      </c>
      <c r="KB30" s="4">
        <v>-0.82799999999999996</v>
      </c>
      <c r="KC30" s="4">
        <v>1.24</v>
      </c>
      <c r="KD30" s="4">
        <v>2.508</v>
      </c>
      <c r="KE30" s="4">
        <v>3.1230000000000002</v>
      </c>
      <c r="KF30" s="4">
        <v>2.3220000000000001</v>
      </c>
      <c r="KG30" s="4">
        <v>2.363</v>
      </c>
      <c r="KH30" s="4">
        <v>2.1</v>
      </c>
      <c r="KI30" s="4">
        <v>2.3919999999999999</v>
      </c>
      <c r="KJ30" s="4">
        <v>3.1869999999999998</v>
      </c>
      <c r="KK30" s="4">
        <v>2.3919999999999999</v>
      </c>
      <c r="KL30" s="4">
        <v>2.14</v>
      </c>
      <c r="KM30" s="4">
        <v>-1.8460000000000001</v>
      </c>
      <c r="KN30" s="4">
        <v>2.573</v>
      </c>
      <c r="KO30" s="4">
        <v>-1.163</v>
      </c>
      <c r="KP30" s="4">
        <v>2.4350000000000001</v>
      </c>
      <c r="KQ30" s="4">
        <v>2.5430000000000001</v>
      </c>
      <c r="KR30" s="4">
        <v>1.8919999999999999</v>
      </c>
      <c r="KS30" s="4">
        <v>3.6669999999999998</v>
      </c>
    </row>
    <row r="31" spans="1:308" x14ac:dyDescent="0.25">
      <c r="A31" s="4">
        <v>2016</v>
      </c>
      <c r="B31" s="4">
        <v>4</v>
      </c>
      <c r="C31" s="4">
        <v>-1.3320000000000001</v>
      </c>
      <c r="D31" s="4">
        <v>5.4640000000000004</v>
      </c>
      <c r="E31" s="4">
        <v>6.37</v>
      </c>
      <c r="F31" s="4">
        <v>5.9050000000000002</v>
      </c>
      <c r="G31" s="4">
        <v>5.7409999999999997</v>
      </c>
      <c r="H31" s="4">
        <v>2.6040000000000001</v>
      </c>
      <c r="I31" s="4">
        <v>5.7220000000000004</v>
      </c>
      <c r="J31" s="4">
        <v>1.585</v>
      </c>
      <c r="K31" s="4">
        <v>5.4720000000000004</v>
      </c>
      <c r="L31" s="4">
        <v>5.0129999999999999</v>
      </c>
      <c r="M31" s="4">
        <v>6.8090000000000002</v>
      </c>
      <c r="N31" s="4">
        <v>2.4449999999999998</v>
      </c>
      <c r="O31" s="4">
        <v>5.47</v>
      </c>
      <c r="P31" s="4">
        <v>0.86899999999999999</v>
      </c>
      <c r="Q31" s="4">
        <v>4.6689999999999996</v>
      </c>
      <c r="R31" s="4">
        <v>-2E-3</v>
      </c>
      <c r="S31" s="4">
        <v>8.0000000000000002E-3</v>
      </c>
      <c r="T31" s="4">
        <v>4.8079999999999998</v>
      </c>
      <c r="U31" s="4">
        <v>5.1180000000000003</v>
      </c>
      <c r="V31" s="4">
        <v>5.2240000000000002</v>
      </c>
      <c r="W31" s="4">
        <v>6.7050000000000001</v>
      </c>
      <c r="X31" s="4">
        <v>5.2889999999999997</v>
      </c>
      <c r="Y31" s="4">
        <v>4.3940000000000001</v>
      </c>
      <c r="Z31" s="4">
        <v>6.74</v>
      </c>
      <c r="AA31" s="4">
        <v>5.2249999999999996</v>
      </c>
      <c r="AB31" s="4">
        <v>1.7529999999999999</v>
      </c>
      <c r="AC31" s="4">
        <v>6.7590000000000003</v>
      </c>
      <c r="AD31" s="4">
        <v>1.7110000000000001</v>
      </c>
      <c r="AE31" s="4">
        <v>5.63</v>
      </c>
      <c r="AF31" s="4">
        <v>3.5449999999999999</v>
      </c>
      <c r="AG31" s="4">
        <v>5.3129999999999997</v>
      </c>
      <c r="AH31" s="4">
        <v>6.4779999999999998</v>
      </c>
      <c r="AI31" s="4">
        <v>4.1509999999999998</v>
      </c>
      <c r="AJ31" s="4">
        <v>5.1710000000000003</v>
      </c>
      <c r="AK31" s="4">
        <v>1.752</v>
      </c>
      <c r="AL31" s="4">
        <v>6.1529999999999996</v>
      </c>
      <c r="AM31" s="4">
        <v>6.7130000000000001</v>
      </c>
      <c r="AN31" s="4">
        <v>7.202</v>
      </c>
      <c r="AO31" s="4">
        <v>4.3449999999999998</v>
      </c>
      <c r="AP31" s="4">
        <v>5.7240000000000002</v>
      </c>
      <c r="AQ31" s="4">
        <v>4.6680000000000001</v>
      </c>
      <c r="AR31" s="4">
        <v>3.133</v>
      </c>
      <c r="AS31" s="4">
        <v>1.71</v>
      </c>
      <c r="AT31" s="4">
        <v>3.0779999999999998</v>
      </c>
      <c r="AU31" s="4">
        <v>5.1210000000000004</v>
      </c>
      <c r="AV31" s="4">
        <v>4.976</v>
      </c>
      <c r="AW31" s="4">
        <v>5.8570000000000002</v>
      </c>
      <c r="AX31" s="4">
        <v>5.3360000000000003</v>
      </c>
      <c r="AY31" s="4">
        <v>5.5339999999999998</v>
      </c>
      <c r="AZ31" s="4">
        <v>6.7430000000000003</v>
      </c>
      <c r="BA31" s="4">
        <v>5.9420000000000002</v>
      </c>
      <c r="BB31" s="4">
        <v>4.2859999999999996</v>
      </c>
      <c r="BC31" s="4">
        <v>6.6790000000000003</v>
      </c>
      <c r="BD31" s="4">
        <v>5.3710000000000004</v>
      </c>
      <c r="BE31" s="4">
        <v>6.8730000000000002</v>
      </c>
      <c r="BF31" s="4">
        <v>5.4080000000000004</v>
      </c>
      <c r="BG31" s="4">
        <v>4.2430000000000003</v>
      </c>
      <c r="BH31" s="4">
        <v>4.4969999999999999</v>
      </c>
      <c r="BI31" s="4">
        <v>5.5460000000000003</v>
      </c>
      <c r="BJ31" s="4">
        <v>5.1989999999999998</v>
      </c>
      <c r="BK31" s="4">
        <v>1.111</v>
      </c>
      <c r="BL31" s="4">
        <v>5.2869999999999999</v>
      </c>
      <c r="BM31" s="4">
        <v>1.2430000000000001</v>
      </c>
      <c r="BN31" s="4">
        <v>0.95199999999999996</v>
      </c>
      <c r="BO31" s="4">
        <v>3.6850000000000001</v>
      </c>
      <c r="BP31" s="4">
        <v>-0.29599999999999999</v>
      </c>
      <c r="BQ31" s="4">
        <v>4.3120000000000003</v>
      </c>
      <c r="BR31" s="4">
        <v>5.3159999999999998</v>
      </c>
      <c r="BS31" s="4">
        <v>4.944</v>
      </c>
      <c r="BT31" s="4">
        <v>5.2649999999999997</v>
      </c>
      <c r="BU31" s="4">
        <v>6.8029999999999999</v>
      </c>
      <c r="BV31" s="4">
        <v>6.0750000000000002</v>
      </c>
      <c r="BW31" s="4">
        <v>6.1859999999999999</v>
      </c>
      <c r="BX31" s="4">
        <v>5.2149999999999999</v>
      </c>
      <c r="BY31" s="4">
        <v>5.2960000000000003</v>
      </c>
      <c r="BZ31" s="4">
        <v>5.5010000000000003</v>
      </c>
      <c r="CA31" s="4">
        <v>4.048</v>
      </c>
      <c r="CB31" s="4">
        <v>4.069</v>
      </c>
      <c r="CC31" s="4">
        <v>5.3019999999999996</v>
      </c>
      <c r="CD31" s="4">
        <v>5.23</v>
      </c>
      <c r="CE31" s="4">
        <v>5.492</v>
      </c>
      <c r="CF31" s="4">
        <v>2.29</v>
      </c>
      <c r="CG31" s="4">
        <v>4.7130000000000001</v>
      </c>
      <c r="CH31" s="4">
        <v>1.77</v>
      </c>
      <c r="CI31" s="4">
        <v>3.0310000000000001</v>
      </c>
      <c r="CJ31" s="4">
        <v>6.4020000000000001</v>
      </c>
      <c r="CK31" s="4">
        <v>6.0380000000000003</v>
      </c>
      <c r="CL31" s="4">
        <v>4.2359999999999998</v>
      </c>
      <c r="CM31" s="4">
        <v>0.59099999999999997</v>
      </c>
      <c r="CN31" s="4">
        <v>6.9770000000000003</v>
      </c>
      <c r="CO31" s="4">
        <v>-0.30099999999999999</v>
      </c>
      <c r="CP31" s="4">
        <v>5.7370000000000001</v>
      </c>
      <c r="CQ31" s="4">
        <v>5.6230000000000002</v>
      </c>
      <c r="CR31" s="4">
        <v>4.0190000000000001</v>
      </c>
      <c r="CS31" s="4">
        <v>6.9870000000000001</v>
      </c>
      <c r="CT31" s="4">
        <v>5.9279999999999999</v>
      </c>
      <c r="CU31" s="4">
        <v>6.319</v>
      </c>
      <c r="CV31" s="4">
        <v>6.3049999999999997</v>
      </c>
      <c r="CW31" s="4">
        <v>5.5670000000000002</v>
      </c>
      <c r="CX31" s="4">
        <v>5.2489999999999997</v>
      </c>
      <c r="CY31" s="4">
        <v>3.45</v>
      </c>
      <c r="CZ31" s="4">
        <v>5.4630000000000001</v>
      </c>
      <c r="DA31" s="4">
        <v>5.5910000000000002</v>
      </c>
      <c r="DB31" s="4">
        <v>5.8940000000000001</v>
      </c>
      <c r="DC31" s="4">
        <v>0.41499999999999998</v>
      </c>
      <c r="DD31" s="4">
        <v>5.1870000000000003</v>
      </c>
      <c r="DE31" s="4">
        <v>1.9119999999999999</v>
      </c>
      <c r="DF31" s="4">
        <v>1.5129999999999999</v>
      </c>
      <c r="DG31" s="4">
        <v>6.4370000000000003</v>
      </c>
      <c r="DH31" s="4">
        <v>-1.1559999999999999</v>
      </c>
      <c r="DI31" s="4">
        <v>5.617</v>
      </c>
      <c r="DJ31" s="4">
        <v>6.3630000000000004</v>
      </c>
      <c r="DK31" s="4">
        <v>4.5979999999999999</v>
      </c>
      <c r="DL31" s="4">
        <v>6.7220000000000004</v>
      </c>
      <c r="DM31" s="4">
        <v>5.37</v>
      </c>
      <c r="DN31" s="4">
        <v>5.3029999999999999</v>
      </c>
      <c r="DO31" s="4">
        <v>7.0309999999999997</v>
      </c>
      <c r="DP31" s="4">
        <v>5.1989999999999998</v>
      </c>
      <c r="DQ31" s="4">
        <v>5.8360000000000003</v>
      </c>
      <c r="DR31" s="4">
        <v>-1.0069999999999999</v>
      </c>
      <c r="DS31" s="4">
        <v>5.085</v>
      </c>
      <c r="DT31" s="4">
        <v>6.2889999999999997</v>
      </c>
      <c r="DU31" s="4">
        <v>5.2549999999999999</v>
      </c>
      <c r="DV31" s="4">
        <v>5.3109999999999999</v>
      </c>
      <c r="DW31" s="4">
        <v>3.7189999999999999</v>
      </c>
      <c r="DX31" s="4">
        <v>2.82</v>
      </c>
      <c r="DY31" s="4">
        <v>6.6349999999999998</v>
      </c>
      <c r="DZ31" s="4">
        <v>5.2229999999999999</v>
      </c>
      <c r="EA31" s="4">
        <v>5.3819999999999997</v>
      </c>
      <c r="EB31" s="4">
        <v>6.4279999999999999</v>
      </c>
      <c r="EC31" s="4">
        <v>6.625</v>
      </c>
      <c r="ED31" s="4">
        <v>5.4950000000000001</v>
      </c>
      <c r="EE31" s="4">
        <v>-0.16200000000000001</v>
      </c>
      <c r="EF31" s="4">
        <v>7.0140000000000002</v>
      </c>
      <c r="EG31" s="4">
        <v>5.1719999999999997</v>
      </c>
      <c r="EH31" s="4">
        <v>5.39</v>
      </c>
      <c r="EI31" s="4">
        <v>3.7330000000000001</v>
      </c>
      <c r="EJ31" s="4">
        <v>6.0780000000000003</v>
      </c>
      <c r="EK31" s="4">
        <v>5.6509999999999998</v>
      </c>
      <c r="EL31" s="4">
        <v>5.5890000000000004</v>
      </c>
      <c r="EM31" s="4">
        <v>6.3070000000000004</v>
      </c>
      <c r="EN31" s="4">
        <v>5.8550000000000004</v>
      </c>
      <c r="EO31" s="4">
        <v>4.5570000000000004</v>
      </c>
      <c r="EP31" s="4">
        <v>5.8970000000000002</v>
      </c>
      <c r="EQ31" s="4">
        <v>5.7229999999999999</v>
      </c>
      <c r="ER31" s="4">
        <v>2.972</v>
      </c>
      <c r="ES31" s="4">
        <v>7.1840000000000002</v>
      </c>
      <c r="ET31" s="4">
        <v>3.847</v>
      </c>
      <c r="EU31" s="4">
        <v>1.319</v>
      </c>
      <c r="EV31" s="4">
        <v>7.0330000000000004</v>
      </c>
      <c r="EW31" s="4">
        <v>1.498</v>
      </c>
      <c r="EX31" s="4">
        <v>6.4089999999999998</v>
      </c>
      <c r="EY31" s="4">
        <v>0.51300000000000001</v>
      </c>
      <c r="EZ31" s="4">
        <v>5.3129999999999997</v>
      </c>
      <c r="FA31" s="4">
        <v>7.149</v>
      </c>
      <c r="FB31" s="4">
        <v>2.9790000000000001</v>
      </c>
      <c r="FC31" s="4">
        <v>6.1609999999999996</v>
      </c>
      <c r="FD31" s="4">
        <v>5.859</v>
      </c>
      <c r="FE31" s="4">
        <v>5.1719999999999997</v>
      </c>
      <c r="FF31" s="4">
        <v>5.8650000000000002</v>
      </c>
      <c r="FG31" s="4">
        <v>5.8550000000000004</v>
      </c>
      <c r="FH31" s="4">
        <v>6.6379999999999999</v>
      </c>
      <c r="FI31" s="4">
        <v>6.2919999999999998</v>
      </c>
      <c r="FJ31" s="4">
        <v>3.7810000000000001</v>
      </c>
      <c r="FK31" s="4">
        <v>6.7759999999999998</v>
      </c>
      <c r="FL31" s="4">
        <v>5.6909999999999998</v>
      </c>
      <c r="FM31" s="4">
        <v>4.806</v>
      </c>
      <c r="FN31" s="4">
        <v>5.8780000000000001</v>
      </c>
      <c r="FO31" s="4">
        <v>4.391</v>
      </c>
      <c r="FP31" s="4">
        <v>5.7590000000000003</v>
      </c>
      <c r="FQ31" s="4">
        <v>4.8449999999999998</v>
      </c>
      <c r="FR31" s="4">
        <v>4.5389999999999997</v>
      </c>
      <c r="FS31" s="4">
        <v>4.1269999999999998</v>
      </c>
      <c r="FT31" s="4">
        <v>3.028</v>
      </c>
      <c r="FU31" s="4">
        <v>2.5649999999999999</v>
      </c>
      <c r="FV31" s="4">
        <v>5.5529999999999999</v>
      </c>
      <c r="FW31" s="4">
        <v>4.5919999999999996</v>
      </c>
      <c r="FX31" s="4">
        <v>1.0549999999999999</v>
      </c>
      <c r="FY31" s="4">
        <v>6.0279999999999996</v>
      </c>
      <c r="FZ31" s="4">
        <v>5.1669999999999998</v>
      </c>
      <c r="GA31" s="4">
        <v>5.1829999999999998</v>
      </c>
      <c r="GB31" s="4">
        <v>4.6059999999999999</v>
      </c>
      <c r="GC31" s="4">
        <v>3.7749999999999999</v>
      </c>
      <c r="GD31" s="4">
        <v>6.0609999999999999</v>
      </c>
      <c r="GE31" s="4">
        <v>5.5</v>
      </c>
      <c r="GF31" s="4">
        <v>5.9729999999999999</v>
      </c>
      <c r="GG31" s="4">
        <v>2.7730000000000001</v>
      </c>
      <c r="GH31" s="4">
        <v>3.7480000000000002</v>
      </c>
      <c r="GI31" s="4">
        <v>6.1660000000000004</v>
      </c>
      <c r="GJ31" s="4">
        <v>5.9240000000000004</v>
      </c>
      <c r="GK31" s="4">
        <v>5.9749999999999996</v>
      </c>
      <c r="GL31" s="4">
        <v>5.2670000000000003</v>
      </c>
      <c r="GM31" s="4">
        <v>5.048</v>
      </c>
      <c r="GN31" s="4">
        <v>1.7130000000000001</v>
      </c>
      <c r="GO31" s="4">
        <v>4.2350000000000003</v>
      </c>
      <c r="GP31" s="4">
        <v>3.3969999999999998</v>
      </c>
      <c r="GQ31" s="4">
        <v>1.532</v>
      </c>
      <c r="GR31" s="4">
        <v>1.7170000000000001</v>
      </c>
      <c r="GS31" s="4">
        <v>5.1159999999999997</v>
      </c>
      <c r="GT31" s="4">
        <v>1.171</v>
      </c>
      <c r="GU31" s="4">
        <v>6.4909999999999997</v>
      </c>
      <c r="GV31" s="4">
        <v>5.9740000000000002</v>
      </c>
      <c r="GW31" s="4">
        <v>1.486</v>
      </c>
      <c r="GX31" s="4">
        <v>3.5680000000000001</v>
      </c>
      <c r="GY31" s="4">
        <v>-1.43</v>
      </c>
      <c r="GZ31" s="4">
        <v>2.0539999999999998</v>
      </c>
      <c r="HA31" s="4">
        <v>6.48</v>
      </c>
      <c r="HB31" s="4">
        <v>5.4169999999999998</v>
      </c>
      <c r="HC31" s="4">
        <v>4.6980000000000004</v>
      </c>
      <c r="HD31" s="4">
        <v>5.5209999999999999</v>
      </c>
      <c r="HE31" s="4">
        <v>1.47</v>
      </c>
      <c r="HF31" s="4">
        <v>4.3970000000000002</v>
      </c>
      <c r="HG31" s="4">
        <v>1.052</v>
      </c>
      <c r="HH31" s="4">
        <v>6.1710000000000003</v>
      </c>
      <c r="HI31" s="4">
        <v>4.1150000000000002</v>
      </c>
      <c r="HJ31" s="4">
        <v>4.9720000000000004</v>
      </c>
      <c r="HK31" s="4">
        <v>5.4349999999999996</v>
      </c>
      <c r="HL31" s="4">
        <v>6.3220000000000001</v>
      </c>
      <c r="HM31" s="4">
        <v>6.452</v>
      </c>
      <c r="HN31" s="4">
        <v>5.9160000000000004</v>
      </c>
      <c r="HO31" s="4">
        <v>2.0059999999999998</v>
      </c>
      <c r="HP31" s="4">
        <v>4.2080000000000002</v>
      </c>
      <c r="HQ31" s="4">
        <v>5.6289999999999996</v>
      </c>
      <c r="HR31" s="4">
        <v>6.4349999999999996</v>
      </c>
      <c r="HS31" s="4">
        <v>4.2960000000000003</v>
      </c>
      <c r="HT31" s="4">
        <v>4.165</v>
      </c>
      <c r="HU31" s="4">
        <v>3.7930000000000001</v>
      </c>
      <c r="HV31" s="4">
        <v>5.548</v>
      </c>
      <c r="HW31" s="4">
        <v>5.3079999999999998</v>
      </c>
      <c r="HX31" s="4">
        <v>2.44</v>
      </c>
      <c r="HY31" s="4">
        <v>5.79</v>
      </c>
      <c r="HZ31" s="4">
        <v>5.9249999999999998</v>
      </c>
      <c r="IA31" s="4">
        <v>6.649</v>
      </c>
      <c r="IB31" s="4">
        <v>0.70599999999999996</v>
      </c>
      <c r="IC31" s="4">
        <v>6.29</v>
      </c>
      <c r="ID31" s="4">
        <v>7.0220000000000002</v>
      </c>
      <c r="IE31" s="4">
        <v>6.319</v>
      </c>
      <c r="IF31" s="4">
        <v>5.9550000000000001</v>
      </c>
      <c r="IG31" s="4">
        <v>5.6959999999999997</v>
      </c>
      <c r="IH31" s="4">
        <v>4.5890000000000004</v>
      </c>
      <c r="II31" s="4">
        <v>-6.9000000000000006E-2</v>
      </c>
      <c r="IJ31" s="4">
        <v>0.91100000000000003</v>
      </c>
      <c r="IK31" s="4">
        <v>5.3319999999999999</v>
      </c>
      <c r="IL31" s="4">
        <v>6.2270000000000003</v>
      </c>
      <c r="IM31" s="4">
        <v>1.33</v>
      </c>
      <c r="IN31" s="4">
        <v>5.8890000000000002</v>
      </c>
      <c r="IO31" s="4">
        <v>3.2890000000000001</v>
      </c>
      <c r="IP31" s="4">
        <v>4.593</v>
      </c>
      <c r="IQ31" s="4">
        <v>4.8099999999999996</v>
      </c>
      <c r="IR31" s="4">
        <v>6.7370000000000001</v>
      </c>
      <c r="IS31" s="4">
        <v>6.7809999999999997</v>
      </c>
      <c r="IT31" s="4">
        <v>1.7589999999999999</v>
      </c>
      <c r="IU31" s="4">
        <v>5.1520000000000001</v>
      </c>
      <c r="IV31" s="4">
        <v>1.5660000000000001</v>
      </c>
      <c r="IW31" s="4">
        <v>5.5919999999999996</v>
      </c>
      <c r="IX31" s="4">
        <v>-0.161</v>
      </c>
      <c r="IY31" s="4">
        <v>5.9379999999999997</v>
      </c>
      <c r="IZ31" s="4">
        <v>4.6509999999999998</v>
      </c>
      <c r="JA31" s="4">
        <v>5.8929999999999998</v>
      </c>
      <c r="JB31" s="4">
        <v>5.4260000000000002</v>
      </c>
      <c r="JC31" s="4">
        <v>4.6680000000000001</v>
      </c>
      <c r="JD31" s="4">
        <v>3.0990000000000002</v>
      </c>
      <c r="JE31" s="4">
        <v>5.7389999999999999</v>
      </c>
      <c r="JF31" s="4">
        <v>6.5789999999999997</v>
      </c>
      <c r="JG31" s="4">
        <v>6.3949999999999996</v>
      </c>
      <c r="JH31" s="4">
        <v>5.7939999999999996</v>
      </c>
      <c r="JI31" s="4">
        <v>6.4039999999999999</v>
      </c>
      <c r="JJ31" s="4">
        <v>4.2169999999999996</v>
      </c>
      <c r="JK31" s="4">
        <v>5.3070000000000004</v>
      </c>
      <c r="JL31" s="4">
        <v>5.093</v>
      </c>
      <c r="JM31" s="4">
        <v>6.8019999999999996</v>
      </c>
      <c r="JN31" s="4">
        <v>6.0659999999999998</v>
      </c>
      <c r="JO31" s="4">
        <v>4.8310000000000004</v>
      </c>
      <c r="JP31" s="4">
        <v>5.1239999999999997</v>
      </c>
      <c r="JQ31" s="4">
        <v>6.1139999999999999</v>
      </c>
      <c r="JR31" s="4">
        <v>5.8109999999999999</v>
      </c>
      <c r="JS31" s="4">
        <v>4.867</v>
      </c>
      <c r="JT31" s="4">
        <v>2.3769999999999998</v>
      </c>
      <c r="JU31" s="4">
        <v>5.5119999999999996</v>
      </c>
      <c r="JV31" s="4">
        <v>5.51</v>
      </c>
      <c r="JW31" s="4">
        <v>5.79</v>
      </c>
      <c r="JX31" s="4">
        <v>5.1159999999999997</v>
      </c>
      <c r="JY31" s="4">
        <v>5.4550000000000001</v>
      </c>
      <c r="JZ31" s="4">
        <v>4.9160000000000004</v>
      </c>
      <c r="KA31" s="4">
        <v>6.0149999999999997</v>
      </c>
      <c r="KB31" s="4">
        <v>2.0670000000000002</v>
      </c>
      <c r="KC31" s="4">
        <v>3.43</v>
      </c>
      <c r="KD31" s="4">
        <v>6.11</v>
      </c>
      <c r="KE31" s="4">
        <v>6.7249999999999996</v>
      </c>
      <c r="KF31" s="4">
        <v>5.6429999999999998</v>
      </c>
      <c r="KG31" s="4">
        <v>5.1319999999999997</v>
      </c>
      <c r="KH31" s="4">
        <v>5.5179999999999998</v>
      </c>
      <c r="KI31" s="4">
        <v>5.3620000000000001</v>
      </c>
      <c r="KJ31" s="4">
        <v>5.8529999999999998</v>
      </c>
      <c r="KK31" s="4">
        <v>5.7679999999999998</v>
      </c>
      <c r="KL31" s="4">
        <v>5.1559999999999997</v>
      </c>
      <c r="KM31" s="4">
        <v>1.212</v>
      </c>
      <c r="KN31" s="4">
        <v>5.2809999999999997</v>
      </c>
      <c r="KO31" s="4">
        <v>1.8080000000000001</v>
      </c>
      <c r="KP31" s="4">
        <v>5.407</v>
      </c>
      <c r="KQ31" s="4">
        <v>5.6459999999999999</v>
      </c>
      <c r="KR31" s="4">
        <v>4.7759999999999998</v>
      </c>
      <c r="KS31" s="4">
        <v>6.4139999999999997</v>
      </c>
    </row>
    <row r="32" spans="1:308" x14ac:dyDescent="0.25">
      <c r="A32" s="4">
        <v>2016</v>
      </c>
      <c r="B32" s="4">
        <v>5</v>
      </c>
      <c r="C32" s="4">
        <v>5.6870000000000003</v>
      </c>
      <c r="D32" s="4">
        <v>12.472</v>
      </c>
      <c r="E32" s="4">
        <v>12.831</v>
      </c>
      <c r="F32" s="4">
        <v>12.553000000000001</v>
      </c>
      <c r="G32" s="4">
        <v>13.132999999999999</v>
      </c>
      <c r="H32" s="4">
        <v>9.484</v>
      </c>
      <c r="I32" s="4">
        <v>12.801</v>
      </c>
      <c r="J32" s="4">
        <v>9.9649999999999999</v>
      </c>
      <c r="K32" s="4">
        <v>11.821999999999999</v>
      </c>
      <c r="L32" s="4">
        <v>12.147</v>
      </c>
      <c r="M32" s="4">
        <v>14.018000000000001</v>
      </c>
      <c r="N32" s="4">
        <v>9.3049999999999997</v>
      </c>
      <c r="O32" s="4">
        <v>12.420999999999999</v>
      </c>
      <c r="P32" s="4">
        <v>7.3949999999999996</v>
      </c>
      <c r="Q32" s="4">
        <v>11.234</v>
      </c>
      <c r="R32" s="4">
        <v>6.8019999999999996</v>
      </c>
      <c r="S32" s="4">
        <v>7.8090000000000002</v>
      </c>
      <c r="T32" s="4">
        <v>11.654</v>
      </c>
      <c r="U32" s="4">
        <v>12.316000000000001</v>
      </c>
      <c r="V32" s="4">
        <v>11.679</v>
      </c>
      <c r="W32" s="4">
        <v>14.04</v>
      </c>
      <c r="X32" s="4">
        <v>12.044</v>
      </c>
      <c r="Y32" s="4">
        <v>11.137</v>
      </c>
      <c r="Z32" s="4">
        <v>13.734999999999999</v>
      </c>
      <c r="AA32" s="4">
        <v>11.619</v>
      </c>
      <c r="AB32" s="4">
        <v>9.5299999999999994</v>
      </c>
      <c r="AC32" s="4">
        <v>14.182</v>
      </c>
      <c r="AD32" s="4">
        <v>9.9909999999999997</v>
      </c>
      <c r="AE32" s="4">
        <v>12.638999999999999</v>
      </c>
      <c r="AF32" s="4">
        <v>10.832000000000001</v>
      </c>
      <c r="AG32" s="4">
        <v>12.411</v>
      </c>
      <c r="AH32" s="4">
        <v>12.093</v>
      </c>
      <c r="AI32" s="4">
        <v>10.968</v>
      </c>
      <c r="AJ32" s="4">
        <v>12.045</v>
      </c>
      <c r="AK32" s="4">
        <v>8.6449999999999996</v>
      </c>
      <c r="AL32" s="4">
        <v>13.417999999999999</v>
      </c>
      <c r="AM32" s="4">
        <v>12.935</v>
      </c>
      <c r="AN32" s="4">
        <v>14.327999999999999</v>
      </c>
      <c r="AO32" s="4">
        <v>11.334</v>
      </c>
      <c r="AP32" s="4">
        <v>12.704000000000001</v>
      </c>
      <c r="AQ32" s="4">
        <v>11.457000000000001</v>
      </c>
      <c r="AR32" s="4">
        <v>10.375999999999999</v>
      </c>
      <c r="AS32" s="4">
        <v>8.7840000000000007</v>
      </c>
      <c r="AT32" s="4">
        <v>10.097</v>
      </c>
      <c r="AU32" s="4">
        <v>11.449</v>
      </c>
      <c r="AV32" s="4">
        <v>12.164999999999999</v>
      </c>
      <c r="AW32" s="4">
        <v>12.548999999999999</v>
      </c>
      <c r="AX32" s="4">
        <v>12.180999999999999</v>
      </c>
      <c r="AY32" s="4">
        <v>12.394</v>
      </c>
      <c r="AZ32" s="4">
        <v>14.125999999999999</v>
      </c>
      <c r="BA32" s="4">
        <v>12.323</v>
      </c>
      <c r="BB32" s="4">
        <v>11.182</v>
      </c>
      <c r="BC32" s="4">
        <v>13.395</v>
      </c>
      <c r="BD32" s="4">
        <v>11.975</v>
      </c>
      <c r="BE32" s="4">
        <v>12.856</v>
      </c>
      <c r="BF32" s="4">
        <v>11.744</v>
      </c>
      <c r="BG32" s="4">
        <v>11.016999999999999</v>
      </c>
      <c r="BH32" s="4">
        <v>11.388</v>
      </c>
      <c r="BI32" s="4">
        <v>12.645</v>
      </c>
      <c r="BJ32" s="4">
        <v>12.151999999999999</v>
      </c>
      <c r="BK32" s="4">
        <v>8.3379999999999992</v>
      </c>
      <c r="BL32" s="4">
        <v>11.766999999999999</v>
      </c>
      <c r="BM32" s="4">
        <v>9.1709999999999994</v>
      </c>
      <c r="BN32" s="4">
        <v>8.2479999999999993</v>
      </c>
      <c r="BO32" s="4">
        <v>10.452</v>
      </c>
      <c r="BP32" s="4">
        <v>7.92</v>
      </c>
      <c r="BQ32" s="4">
        <v>10.837999999999999</v>
      </c>
      <c r="BR32" s="4">
        <v>12.750999999999999</v>
      </c>
      <c r="BS32" s="4">
        <v>12.010999999999999</v>
      </c>
      <c r="BT32" s="4">
        <v>12.726000000000001</v>
      </c>
      <c r="BU32" s="4">
        <v>13.323</v>
      </c>
      <c r="BV32" s="4">
        <v>12.371</v>
      </c>
      <c r="BW32" s="4">
        <v>12.259</v>
      </c>
      <c r="BX32" s="4">
        <v>11.657999999999999</v>
      </c>
      <c r="BY32" s="4">
        <v>12.131</v>
      </c>
      <c r="BZ32" s="4">
        <v>12.503</v>
      </c>
      <c r="CA32" s="4">
        <v>10.968999999999999</v>
      </c>
      <c r="CB32" s="4">
        <v>11.04</v>
      </c>
      <c r="CC32" s="4">
        <v>11.984</v>
      </c>
      <c r="CD32" s="4">
        <v>12.2</v>
      </c>
      <c r="CE32" s="4">
        <v>11.808999999999999</v>
      </c>
      <c r="CF32" s="4">
        <v>9.452</v>
      </c>
      <c r="CG32" s="4">
        <v>11.426</v>
      </c>
      <c r="CH32" s="4">
        <v>8.9960000000000004</v>
      </c>
      <c r="CI32" s="4">
        <v>9.1010000000000009</v>
      </c>
      <c r="CJ32" s="4">
        <v>13.147</v>
      </c>
      <c r="CK32" s="4">
        <v>13.189</v>
      </c>
      <c r="CL32" s="4">
        <v>11.02</v>
      </c>
      <c r="CM32" s="4">
        <v>7.4779999999999998</v>
      </c>
      <c r="CN32" s="4">
        <v>14.085000000000001</v>
      </c>
      <c r="CO32" s="4">
        <v>5.4370000000000003</v>
      </c>
      <c r="CP32" s="4">
        <v>12.539</v>
      </c>
      <c r="CQ32" s="4">
        <v>12.162000000000001</v>
      </c>
      <c r="CR32" s="4">
        <v>10.839</v>
      </c>
      <c r="CS32" s="4">
        <v>13.678000000000001</v>
      </c>
      <c r="CT32" s="4">
        <v>12.717000000000001</v>
      </c>
      <c r="CU32" s="4">
        <v>13.744</v>
      </c>
      <c r="CV32" s="4">
        <v>13.714</v>
      </c>
      <c r="CW32" s="4">
        <v>12.007999999999999</v>
      </c>
      <c r="CX32" s="4">
        <v>12.151</v>
      </c>
      <c r="CY32" s="4">
        <v>10.183</v>
      </c>
      <c r="CZ32" s="4">
        <v>12.44</v>
      </c>
      <c r="DA32" s="4">
        <v>13.045999999999999</v>
      </c>
      <c r="DB32" s="4">
        <v>12.824</v>
      </c>
      <c r="DC32" s="4">
        <v>8.1259999999999994</v>
      </c>
      <c r="DD32" s="4">
        <v>12.289</v>
      </c>
      <c r="DE32" s="4">
        <v>9.5939999999999994</v>
      </c>
      <c r="DF32" s="4">
        <v>8.9909999999999997</v>
      </c>
      <c r="DG32" s="4">
        <v>12.018000000000001</v>
      </c>
      <c r="DH32" s="4">
        <v>7.9749999999999996</v>
      </c>
      <c r="DI32" s="4">
        <v>11.97</v>
      </c>
      <c r="DJ32" s="4">
        <v>12.538</v>
      </c>
      <c r="DK32" s="4">
        <v>11.287000000000001</v>
      </c>
      <c r="DL32" s="4">
        <v>12.715</v>
      </c>
      <c r="DM32" s="4">
        <v>11.866</v>
      </c>
      <c r="DN32" s="4">
        <v>12.456</v>
      </c>
      <c r="DO32" s="4">
        <v>14.27</v>
      </c>
      <c r="DP32" s="4">
        <v>11.702</v>
      </c>
      <c r="DQ32" s="4">
        <v>13.111000000000001</v>
      </c>
      <c r="DR32" s="4">
        <v>7.218</v>
      </c>
      <c r="DS32" s="4">
        <v>11.983000000000001</v>
      </c>
      <c r="DT32" s="4">
        <v>13.821</v>
      </c>
      <c r="DU32" s="4">
        <v>12.242000000000001</v>
      </c>
      <c r="DV32" s="4">
        <v>12.237</v>
      </c>
      <c r="DW32" s="4">
        <v>10.741</v>
      </c>
      <c r="DX32" s="4">
        <v>9.8800000000000008</v>
      </c>
      <c r="DY32" s="4">
        <v>13.195</v>
      </c>
      <c r="DZ32" s="4">
        <v>11.714</v>
      </c>
      <c r="EA32" s="4">
        <v>12.090999999999999</v>
      </c>
      <c r="EB32" s="4">
        <v>12.896000000000001</v>
      </c>
      <c r="EC32" s="4">
        <v>13.355</v>
      </c>
      <c r="ED32" s="4">
        <v>12.433999999999999</v>
      </c>
      <c r="EE32" s="4">
        <v>6.5570000000000004</v>
      </c>
      <c r="EF32" s="4">
        <v>13.999000000000001</v>
      </c>
      <c r="EG32" s="4">
        <v>11.86</v>
      </c>
      <c r="EH32" s="4">
        <v>11.996</v>
      </c>
      <c r="EI32" s="4">
        <v>10.766999999999999</v>
      </c>
      <c r="EJ32" s="4">
        <v>12.859</v>
      </c>
      <c r="EK32" s="4">
        <v>12.648</v>
      </c>
      <c r="EL32" s="4">
        <v>12.557</v>
      </c>
      <c r="EM32" s="4">
        <v>12.426</v>
      </c>
      <c r="EN32" s="4">
        <v>12.239000000000001</v>
      </c>
      <c r="EO32" s="4">
        <v>11.551</v>
      </c>
      <c r="EP32" s="4">
        <v>12.773</v>
      </c>
      <c r="EQ32" s="4">
        <v>12.919</v>
      </c>
      <c r="ER32" s="4">
        <v>10.116</v>
      </c>
      <c r="ES32" s="4">
        <v>14.305999999999999</v>
      </c>
      <c r="ET32" s="4">
        <v>10.949</v>
      </c>
      <c r="EU32" s="4">
        <v>8.8539999999999992</v>
      </c>
      <c r="EV32" s="4">
        <v>14.304</v>
      </c>
      <c r="EW32" s="4">
        <v>9.3379999999999992</v>
      </c>
      <c r="EX32" s="4">
        <v>12.428000000000001</v>
      </c>
      <c r="EY32" s="4">
        <v>8.1210000000000004</v>
      </c>
      <c r="EZ32" s="4">
        <v>12.426</v>
      </c>
      <c r="FA32" s="4">
        <v>14.224</v>
      </c>
      <c r="FB32" s="4">
        <v>9.6679999999999993</v>
      </c>
      <c r="FC32" s="4">
        <v>12.342000000000001</v>
      </c>
      <c r="FD32" s="4">
        <v>13.304</v>
      </c>
      <c r="FE32" s="4">
        <v>12.148999999999999</v>
      </c>
      <c r="FF32" s="4">
        <v>11.901999999999999</v>
      </c>
      <c r="FG32" s="4">
        <v>12.627000000000001</v>
      </c>
      <c r="FH32" s="4">
        <v>13.301</v>
      </c>
      <c r="FI32" s="4">
        <v>12.226000000000001</v>
      </c>
      <c r="FJ32" s="4">
        <v>10.675000000000001</v>
      </c>
      <c r="FK32" s="4">
        <v>12.76</v>
      </c>
      <c r="FL32" s="4">
        <v>12.327</v>
      </c>
      <c r="FM32" s="4">
        <v>11.775</v>
      </c>
      <c r="FN32" s="4">
        <v>12.337999999999999</v>
      </c>
      <c r="FO32" s="4">
        <v>11.233000000000001</v>
      </c>
      <c r="FP32" s="4">
        <v>12.696</v>
      </c>
      <c r="FQ32" s="4">
        <v>11.992000000000001</v>
      </c>
      <c r="FR32" s="4">
        <v>11.24</v>
      </c>
      <c r="FS32" s="4">
        <v>11.007999999999999</v>
      </c>
      <c r="FT32" s="4">
        <v>9.8770000000000007</v>
      </c>
      <c r="FU32" s="4">
        <v>9.3620000000000001</v>
      </c>
      <c r="FV32" s="4">
        <v>12.429</v>
      </c>
      <c r="FW32" s="4">
        <v>11.502000000000001</v>
      </c>
      <c r="FX32" s="4">
        <v>8.9879999999999995</v>
      </c>
      <c r="FY32" s="4">
        <v>12.625999999999999</v>
      </c>
      <c r="FZ32" s="4">
        <v>12.000999999999999</v>
      </c>
      <c r="GA32" s="4">
        <v>12.163</v>
      </c>
      <c r="GB32" s="4">
        <v>10.673999999999999</v>
      </c>
      <c r="GC32" s="4">
        <v>10.827</v>
      </c>
      <c r="GD32" s="4">
        <v>13.106999999999999</v>
      </c>
      <c r="GE32" s="4">
        <v>12.228</v>
      </c>
      <c r="GF32" s="4">
        <v>13.456</v>
      </c>
      <c r="GG32" s="4">
        <v>9.4420000000000002</v>
      </c>
      <c r="GH32" s="4">
        <v>10.579000000000001</v>
      </c>
      <c r="GI32" s="4">
        <v>12.433</v>
      </c>
      <c r="GJ32" s="4">
        <v>13.308</v>
      </c>
      <c r="GK32" s="4">
        <v>12.028</v>
      </c>
      <c r="GL32" s="4">
        <v>12.268000000000001</v>
      </c>
      <c r="GM32" s="4">
        <v>12.005000000000001</v>
      </c>
      <c r="GN32" s="4">
        <v>8.7940000000000005</v>
      </c>
      <c r="GO32" s="4">
        <v>11.167999999999999</v>
      </c>
      <c r="GP32" s="4">
        <v>10.494</v>
      </c>
      <c r="GQ32" s="4">
        <v>9.9049999999999994</v>
      </c>
      <c r="GR32" s="4">
        <v>10.391999999999999</v>
      </c>
      <c r="GS32" s="4">
        <v>11.337999999999999</v>
      </c>
      <c r="GT32" s="4">
        <v>9.7129999999999992</v>
      </c>
      <c r="GU32" s="4">
        <v>13.157</v>
      </c>
      <c r="GV32" s="4">
        <v>13.359</v>
      </c>
      <c r="GW32" s="4">
        <v>9.3620000000000001</v>
      </c>
      <c r="GX32" s="4">
        <v>10.569000000000001</v>
      </c>
      <c r="GY32" s="4">
        <v>5.1050000000000004</v>
      </c>
      <c r="GZ32" s="4">
        <v>9.7680000000000007</v>
      </c>
      <c r="HA32" s="4">
        <v>12.654</v>
      </c>
      <c r="HB32" s="4">
        <v>11.824</v>
      </c>
      <c r="HC32" s="4">
        <v>11.648</v>
      </c>
      <c r="HD32" s="4">
        <v>12.53</v>
      </c>
      <c r="HE32" s="4">
        <v>8.1880000000000006</v>
      </c>
      <c r="HF32" s="4">
        <v>11.125999999999999</v>
      </c>
      <c r="HG32" s="4">
        <v>7.7930000000000001</v>
      </c>
      <c r="HH32" s="4">
        <v>12.183</v>
      </c>
      <c r="HI32" s="4">
        <v>10.981</v>
      </c>
      <c r="HJ32" s="4">
        <v>12.231</v>
      </c>
      <c r="HK32" s="4">
        <v>12.592000000000001</v>
      </c>
      <c r="HL32" s="4">
        <v>11.551</v>
      </c>
      <c r="HM32" s="4">
        <v>13.616</v>
      </c>
      <c r="HN32" s="4">
        <v>12.436</v>
      </c>
      <c r="HO32" s="4">
        <v>10.35</v>
      </c>
      <c r="HP32" s="4">
        <v>11.196999999999999</v>
      </c>
      <c r="HQ32" s="4">
        <v>12.132</v>
      </c>
      <c r="HR32" s="4">
        <v>13.423999999999999</v>
      </c>
      <c r="HS32" s="4">
        <v>10.558</v>
      </c>
      <c r="HT32" s="4">
        <v>11.103</v>
      </c>
      <c r="HU32" s="4">
        <v>10.396000000000001</v>
      </c>
      <c r="HV32" s="4">
        <v>12.403</v>
      </c>
      <c r="HW32" s="4">
        <v>12.233000000000001</v>
      </c>
      <c r="HX32" s="4">
        <v>9.8559999999999999</v>
      </c>
      <c r="HY32" s="4">
        <v>12.72</v>
      </c>
      <c r="HZ32" s="4">
        <v>12.933999999999999</v>
      </c>
      <c r="IA32" s="4">
        <v>12.483000000000001</v>
      </c>
      <c r="IB32" s="4">
        <v>7.915</v>
      </c>
      <c r="IC32" s="4">
        <v>12.031000000000001</v>
      </c>
      <c r="ID32" s="4">
        <v>14.295</v>
      </c>
      <c r="IE32" s="4">
        <v>12.648</v>
      </c>
      <c r="IF32" s="4">
        <v>12.887</v>
      </c>
      <c r="IG32" s="4">
        <v>12.648999999999999</v>
      </c>
      <c r="IH32" s="4">
        <v>11.244999999999999</v>
      </c>
      <c r="II32" s="4">
        <v>6.0270000000000001</v>
      </c>
      <c r="IJ32" s="4">
        <v>7.9169999999999998</v>
      </c>
      <c r="IK32" s="4">
        <v>12.371</v>
      </c>
      <c r="IL32" s="4">
        <v>12.356999999999999</v>
      </c>
      <c r="IM32" s="4">
        <v>8.56</v>
      </c>
      <c r="IN32" s="4">
        <v>12.89</v>
      </c>
      <c r="IO32" s="4">
        <v>10.039</v>
      </c>
      <c r="IP32" s="4">
        <v>11.195</v>
      </c>
      <c r="IQ32" s="4">
        <v>11.688000000000001</v>
      </c>
      <c r="IR32" s="4">
        <v>14.132</v>
      </c>
      <c r="IS32" s="4">
        <v>13.938000000000001</v>
      </c>
      <c r="IT32" s="4">
        <v>8.5540000000000003</v>
      </c>
      <c r="IU32" s="4">
        <v>12.452999999999999</v>
      </c>
      <c r="IV32" s="4">
        <v>8.3819999999999997</v>
      </c>
      <c r="IW32" s="4">
        <v>12.561999999999999</v>
      </c>
      <c r="IX32" s="4">
        <v>6.569</v>
      </c>
      <c r="IY32" s="4">
        <v>12.198</v>
      </c>
      <c r="IZ32" s="4">
        <v>11.565</v>
      </c>
      <c r="JA32" s="4">
        <v>12.372</v>
      </c>
      <c r="JB32" s="4">
        <v>12.178000000000001</v>
      </c>
      <c r="JC32" s="4">
        <v>11.292999999999999</v>
      </c>
      <c r="JD32" s="4">
        <v>9.8420000000000005</v>
      </c>
      <c r="JE32" s="4">
        <v>12.788</v>
      </c>
      <c r="JF32" s="4">
        <v>12.473000000000001</v>
      </c>
      <c r="JG32" s="4">
        <v>12.948</v>
      </c>
      <c r="JH32" s="4">
        <v>12.273</v>
      </c>
      <c r="JI32" s="4">
        <v>12.359</v>
      </c>
      <c r="JJ32" s="4">
        <v>11.218999999999999</v>
      </c>
      <c r="JK32" s="4">
        <v>12.369</v>
      </c>
      <c r="JL32" s="4">
        <v>12.419</v>
      </c>
      <c r="JM32" s="4">
        <v>13.086</v>
      </c>
      <c r="JN32" s="4">
        <v>12.225</v>
      </c>
      <c r="JO32" s="4">
        <v>11.468</v>
      </c>
      <c r="JP32" s="4">
        <v>12</v>
      </c>
      <c r="JQ32" s="4">
        <v>12.468999999999999</v>
      </c>
      <c r="JR32" s="4">
        <v>13.08</v>
      </c>
      <c r="JS32" s="4">
        <v>11.827999999999999</v>
      </c>
      <c r="JT32" s="4">
        <v>9.5969999999999995</v>
      </c>
      <c r="JU32" s="4">
        <v>12.51</v>
      </c>
      <c r="JV32" s="4">
        <v>12.539</v>
      </c>
      <c r="JW32" s="4">
        <v>12.448</v>
      </c>
      <c r="JX32" s="4">
        <v>12.432</v>
      </c>
      <c r="JY32" s="4">
        <v>11.907999999999999</v>
      </c>
      <c r="JZ32" s="4">
        <v>11.823</v>
      </c>
      <c r="KA32" s="4">
        <v>12.095000000000001</v>
      </c>
      <c r="KB32" s="4">
        <v>9.7579999999999991</v>
      </c>
      <c r="KC32" s="4">
        <v>10.358000000000001</v>
      </c>
      <c r="KD32" s="4">
        <v>12.451000000000001</v>
      </c>
      <c r="KE32" s="4">
        <v>13.272</v>
      </c>
      <c r="KF32" s="4">
        <v>12.327999999999999</v>
      </c>
      <c r="KG32" s="4">
        <v>12.02</v>
      </c>
      <c r="KH32" s="4">
        <v>12.94</v>
      </c>
      <c r="KI32" s="4">
        <v>12.193</v>
      </c>
      <c r="KJ32" s="4">
        <v>11.443</v>
      </c>
      <c r="KK32" s="4">
        <v>12.901</v>
      </c>
      <c r="KL32" s="4">
        <v>12.398</v>
      </c>
      <c r="KM32" s="4">
        <v>8.16</v>
      </c>
      <c r="KN32" s="4">
        <v>12.28</v>
      </c>
      <c r="KO32" s="4">
        <v>9.6649999999999991</v>
      </c>
      <c r="KP32" s="4">
        <v>12.564</v>
      </c>
      <c r="KQ32" s="4">
        <v>11.775</v>
      </c>
      <c r="KR32" s="4">
        <v>12.005000000000001</v>
      </c>
      <c r="KS32" s="4">
        <v>12.404</v>
      </c>
    </row>
    <row r="33" spans="1:305" x14ac:dyDescent="0.25">
      <c r="A33" s="4">
        <v>2016</v>
      </c>
      <c r="B33" s="4">
        <v>6</v>
      </c>
      <c r="C33" s="4">
        <v>7.742</v>
      </c>
      <c r="D33" s="4">
        <v>15.952</v>
      </c>
      <c r="E33" s="4">
        <v>16.228999999999999</v>
      </c>
      <c r="F33" s="4">
        <v>15.837999999999999</v>
      </c>
      <c r="G33" s="4">
        <v>16.047000000000001</v>
      </c>
      <c r="H33" s="4">
        <v>13.698</v>
      </c>
      <c r="I33" s="4">
        <v>15.83</v>
      </c>
      <c r="J33" s="4">
        <v>12.709</v>
      </c>
      <c r="K33" s="4">
        <v>15.862</v>
      </c>
      <c r="L33" s="4">
        <v>15.193</v>
      </c>
      <c r="M33" s="4">
        <v>16.768999999999998</v>
      </c>
      <c r="N33" s="4">
        <v>13.861000000000001</v>
      </c>
      <c r="O33" s="4">
        <v>16.155999999999999</v>
      </c>
      <c r="P33" s="4">
        <v>11.209</v>
      </c>
      <c r="Q33" s="4">
        <v>15.294</v>
      </c>
      <c r="R33" s="4">
        <v>10.968999999999999</v>
      </c>
      <c r="S33" s="4">
        <v>11.204000000000001</v>
      </c>
      <c r="T33" s="4">
        <v>15.561</v>
      </c>
      <c r="U33" s="4">
        <v>15.358000000000001</v>
      </c>
      <c r="V33" s="4">
        <v>15.49</v>
      </c>
      <c r="W33" s="4">
        <v>16.745000000000001</v>
      </c>
      <c r="X33" s="4">
        <v>15.959</v>
      </c>
      <c r="Y33" s="4">
        <v>14.964</v>
      </c>
      <c r="Z33" s="4">
        <v>16.649999999999999</v>
      </c>
      <c r="AA33" s="4">
        <v>15.868</v>
      </c>
      <c r="AB33" s="4">
        <v>13.18</v>
      </c>
      <c r="AC33" s="4">
        <v>16.763000000000002</v>
      </c>
      <c r="AD33" s="4">
        <v>13.151</v>
      </c>
      <c r="AE33" s="4">
        <v>15.746</v>
      </c>
      <c r="AF33" s="4">
        <v>14.930999999999999</v>
      </c>
      <c r="AG33" s="4">
        <v>15.426</v>
      </c>
      <c r="AH33" s="4">
        <v>16.02</v>
      </c>
      <c r="AI33" s="4">
        <v>14.644</v>
      </c>
      <c r="AJ33" s="4">
        <v>15.629</v>
      </c>
      <c r="AK33" s="4">
        <v>13.039</v>
      </c>
      <c r="AL33" s="4">
        <v>16.190000000000001</v>
      </c>
      <c r="AM33" s="4">
        <v>16.341999999999999</v>
      </c>
      <c r="AN33" s="4">
        <v>17.09</v>
      </c>
      <c r="AO33" s="4">
        <v>15.343</v>
      </c>
      <c r="AP33" s="4">
        <v>16.146999999999998</v>
      </c>
      <c r="AQ33" s="4">
        <v>15.454000000000001</v>
      </c>
      <c r="AR33" s="4">
        <v>14.413</v>
      </c>
      <c r="AS33" s="4">
        <v>12.946</v>
      </c>
      <c r="AT33" s="4">
        <v>14.237</v>
      </c>
      <c r="AU33" s="4">
        <v>15.675000000000001</v>
      </c>
      <c r="AV33" s="4">
        <v>15.151</v>
      </c>
      <c r="AW33" s="4">
        <v>15.805</v>
      </c>
      <c r="AX33" s="4">
        <v>15.625999999999999</v>
      </c>
      <c r="AY33" s="4">
        <v>15.862</v>
      </c>
      <c r="AZ33" s="4">
        <v>16.704999999999998</v>
      </c>
      <c r="BA33" s="4">
        <v>15.708</v>
      </c>
      <c r="BB33" s="4">
        <v>14.994999999999999</v>
      </c>
      <c r="BC33" s="4">
        <v>16.55</v>
      </c>
      <c r="BD33" s="4">
        <v>15.023999999999999</v>
      </c>
      <c r="BE33" s="4">
        <v>16.649999999999999</v>
      </c>
      <c r="BF33" s="4">
        <v>15.641</v>
      </c>
      <c r="BG33" s="4">
        <v>14.956</v>
      </c>
      <c r="BH33" s="4">
        <v>14.997999999999999</v>
      </c>
      <c r="BI33" s="4">
        <v>16.228000000000002</v>
      </c>
      <c r="BJ33" s="4">
        <v>15.77</v>
      </c>
      <c r="BK33" s="4">
        <v>12.281000000000001</v>
      </c>
      <c r="BL33" s="4">
        <v>15.768000000000001</v>
      </c>
      <c r="BM33" s="4">
        <v>12.249000000000001</v>
      </c>
      <c r="BN33" s="4">
        <v>11.766</v>
      </c>
      <c r="BO33" s="4">
        <v>14.377000000000001</v>
      </c>
      <c r="BP33" s="4">
        <v>10.598000000000001</v>
      </c>
      <c r="BQ33" s="4">
        <v>14.662000000000001</v>
      </c>
      <c r="BR33" s="4">
        <v>15.621</v>
      </c>
      <c r="BS33" s="4">
        <v>15.727</v>
      </c>
      <c r="BT33" s="4">
        <v>15.574</v>
      </c>
      <c r="BU33" s="4">
        <v>16.681000000000001</v>
      </c>
      <c r="BV33" s="4">
        <v>15.821</v>
      </c>
      <c r="BW33" s="4">
        <v>15.785</v>
      </c>
      <c r="BX33" s="4">
        <v>15.794</v>
      </c>
      <c r="BY33" s="4">
        <v>15.199</v>
      </c>
      <c r="BZ33" s="4">
        <v>15.952999999999999</v>
      </c>
      <c r="CA33" s="4">
        <v>15.031000000000001</v>
      </c>
      <c r="CB33" s="4">
        <v>14.704000000000001</v>
      </c>
      <c r="CC33" s="4">
        <v>15.561999999999999</v>
      </c>
      <c r="CD33" s="4">
        <v>15.593</v>
      </c>
      <c r="CE33" s="4">
        <v>15.734</v>
      </c>
      <c r="CF33" s="4">
        <v>13.612</v>
      </c>
      <c r="CG33" s="4">
        <v>15.208</v>
      </c>
      <c r="CH33" s="4">
        <v>12.788</v>
      </c>
      <c r="CI33" s="4">
        <v>13.368</v>
      </c>
      <c r="CJ33" s="4">
        <v>16.387</v>
      </c>
      <c r="CK33" s="4">
        <v>16.094999999999999</v>
      </c>
      <c r="CL33" s="4">
        <v>14.788</v>
      </c>
      <c r="CM33" s="4">
        <v>12.186999999999999</v>
      </c>
      <c r="CN33" s="4">
        <v>16.914000000000001</v>
      </c>
      <c r="CO33" s="4">
        <v>9.2929999999999993</v>
      </c>
      <c r="CP33" s="4">
        <v>15.653</v>
      </c>
      <c r="CQ33" s="4">
        <v>15.486000000000001</v>
      </c>
      <c r="CR33" s="4">
        <v>14.653</v>
      </c>
      <c r="CS33" s="4">
        <v>16.698</v>
      </c>
      <c r="CT33" s="4">
        <v>16.218</v>
      </c>
      <c r="CU33" s="4">
        <v>16.332000000000001</v>
      </c>
      <c r="CV33" s="4">
        <v>16.291</v>
      </c>
      <c r="CW33" s="4">
        <v>15.823</v>
      </c>
      <c r="CX33" s="4">
        <v>15.727</v>
      </c>
      <c r="CY33" s="4">
        <v>14.314</v>
      </c>
      <c r="CZ33" s="4">
        <v>15.93</v>
      </c>
      <c r="DA33" s="4">
        <v>15.939</v>
      </c>
      <c r="DB33" s="4">
        <v>16.283000000000001</v>
      </c>
      <c r="DC33" s="4">
        <v>11.904999999999999</v>
      </c>
      <c r="DD33" s="4">
        <v>15.288</v>
      </c>
      <c r="DE33" s="4">
        <v>13.698</v>
      </c>
      <c r="DF33" s="4">
        <v>12.752000000000001</v>
      </c>
      <c r="DG33" s="4">
        <v>15.866</v>
      </c>
      <c r="DH33" s="4">
        <v>10.064</v>
      </c>
      <c r="DI33" s="4">
        <v>15.63</v>
      </c>
      <c r="DJ33" s="4">
        <v>16.138000000000002</v>
      </c>
      <c r="DK33" s="4">
        <v>15.166</v>
      </c>
      <c r="DL33" s="4">
        <v>16.352</v>
      </c>
      <c r="DM33" s="4">
        <v>15.866</v>
      </c>
      <c r="DN33" s="4">
        <v>16.02</v>
      </c>
      <c r="DO33" s="4">
        <v>17.007999999999999</v>
      </c>
      <c r="DP33" s="4">
        <v>15.68</v>
      </c>
      <c r="DQ33" s="4">
        <v>16.076000000000001</v>
      </c>
      <c r="DR33" s="4">
        <v>9.4629999999999992</v>
      </c>
      <c r="DS33" s="4">
        <v>15.724</v>
      </c>
      <c r="DT33" s="4">
        <v>16.532</v>
      </c>
      <c r="DU33" s="4">
        <v>15.728999999999999</v>
      </c>
      <c r="DV33" s="4">
        <v>15.952</v>
      </c>
      <c r="DW33" s="4">
        <v>14.458</v>
      </c>
      <c r="DX33" s="4">
        <v>14.093</v>
      </c>
      <c r="DY33" s="4">
        <v>16.471</v>
      </c>
      <c r="DZ33" s="4">
        <v>15.634</v>
      </c>
      <c r="EA33" s="4">
        <v>15.647</v>
      </c>
      <c r="EB33" s="4">
        <v>16.337</v>
      </c>
      <c r="EC33" s="4">
        <v>16.478999999999999</v>
      </c>
      <c r="ED33" s="4">
        <v>16.11</v>
      </c>
      <c r="EE33" s="4">
        <v>10.013999999999999</v>
      </c>
      <c r="EF33" s="4">
        <v>17.015999999999998</v>
      </c>
      <c r="EG33" s="4">
        <v>15.593</v>
      </c>
      <c r="EH33" s="4">
        <v>15.555999999999999</v>
      </c>
      <c r="EI33" s="4">
        <v>14.538</v>
      </c>
      <c r="EJ33" s="4">
        <v>16.077000000000002</v>
      </c>
      <c r="EK33" s="4">
        <v>15.641</v>
      </c>
      <c r="EL33" s="4">
        <v>16.045999999999999</v>
      </c>
      <c r="EM33" s="4">
        <v>15.901999999999999</v>
      </c>
      <c r="EN33" s="4">
        <v>16.003</v>
      </c>
      <c r="EO33" s="4">
        <v>15.391</v>
      </c>
      <c r="EP33" s="4">
        <v>16.285</v>
      </c>
      <c r="EQ33" s="4">
        <v>15.912000000000001</v>
      </c>
      <c r="ER33" s="4">
        <v>14.529</v>
      </c>
      <c r="ES33" s="4">
        <v>17.117999999999999</v>
      </c>
      <c r="ET33" s="4">
        <v>14.664999999999999</v>
      </c>
      <c r="EU33" s="4">
        <v>12.789</v>
      </c>
      <c r="EV33" s="4">
        <v>16.977</v>
      </c>
      <c r="EW33" s="4">
        <v>12.846</v>
      </c>
      <c r="EX33" s="4">
        <v>16.329999999999998</v>
      </c>
      <c r="EY33" s="4">
        <v>11.622999999999999</v>
      </c>
      <c r="EZ33" s="4">
        <v>15.747999999999999</v>
      </c>
      <c r="FA33" s="4">
        <v>17.077000000000002</v>
      </c>
      <c r="FB33" s="4">
        <v>13.521000000000001</v>
      </c>
      <c r="FC33" s="4">
        <v>16.004999999999999</v>
      </c>
      <c r="FD33" s="4">
        <v>16.123000000000001</v>
      </c>
      <c r="FE33" s="4">
        <v>15.535</v>
      </c>
      <c r="FF33" s="4">
        <v>15.750999999999999</v>
      </c>
      <c r="FG33" s="4">
        <v>15.907</v>
      </c>
      <c r="FH33" s="4">
        <v>16.555</v>
      </c>
      <c r="FI33" s="4">
        <v>16.184999999999999</v>
      </c>
      <c r="FJ33" s="4">
        <v>14.641999999999999</v>
      </c>
      <c r="FK33" s="4">
        <v>15.891999999999999</v>
      </c>
      <c r="FL33" s="4">
        <v>15.752000000000001</v>
      </c>
      <c r="FM33" s="4">
        <v>14.76</v>
      </c>
      <c r="FN33" s="4">
        <v>16.131</v>
      </c>
      <c r="FO33" s="4">
        <v>15.1</v>
      </c>
      <c r="FP33" s="4">
        <v>16.056000000000001</v>
      </c>
      <c r="FQ33" s="4">
        <v>14.911</v>
      </c>
      <c r="FR33" s="4">
        <v>15.132999999999999</v>
      </c>
      <c r="FS33" s="4">
        <v>14.571999999999999</v>
      </c>
      <c r="FT33" s="4">
        <v>14.124000000000001</v>
      </c>
      <c r="FU33" s="4">
        <v>13.227</v>
      </c>
      <c r="FV33" s="4">
        <v>16.117999999999999</v>
      </c>
      <c r="FW33" s="4">
        <v>14.991</v>
      </c>
      <c r="FX33" s="4">
        <v>12.151</v>
      </c>
      <c r="FY33" s="4">
        <v>15.92</v>
      </c>
      <c r="FZ33" s="4">
        <v>15.907</v>
      </c>
      <c r="GA33" s="4">
        <v>15.782999999999999</v>
      </c>
      <c r="GB33" s="4">
        <v>14.846</v>
      </c>
      <c r="GC33" s="4">
        <v>14.545</v>
      </c>
      <c r="GD33" s="4">
        <v>16.02</v>
      </c>
      <c r="GE33" s="4">
        <v>15.87</v>
      </c>
      <c r="GF33" s="4">
        <v>16.335000000000001</v>
      </c>
      <c r="GG33" s="4">
        <v>13.356999999999999</v>
      </c>
      <c r="GH33" s="4">
        <v>14.175000000000001</v>
      </c>
      <c r="GI33" s="4">
        <v>16.297999999999998</v>
      </c>
      <c r="GJ33" s="4">
        <v>16.100999999999999</v>
      </c>
      <c r="GK33" s="4">
        <v>16.131</v>
      </c>
      <c r="GL33" s="4">
        <v>15.792999999999999</v>
      </c>
      <c r="GM33" s="4">
        <v>15.624000000000001</v>
      </c>
      <c r="GN33" s="4">
        <v>12.792</v>
      </c>
      <c r="GO33" s="4">
        <v>14.888</v>
      </c>
      <c r="GP33" s="4">
        <v>14.500999999999999</v>
      </c>
      <c r="GQ33" s="4">
        <v>12.656000000000001</v>
      </c>
      <c r="GR33" s="4">
        <v>12.959</v>
      </c>
      <c r="GS33" s="4">
        <v>15.603999999999999</v>
      </c>
      <c r="GT33" s="4">
        <v>11.833</v>
      </c>
      <c r="GU33" s="4">
        <v>16.399999999999999</v>
      </c>
      <c r="GV33" s="4">
        <v>16.073</v>
      </c>
      <c r="GW33" s="4">
        <v>12.791</v>
      </c>
      <c r="GX33" s="4">
        <v>14.304</v>
      </c>
      <c r="GY33" s="4">
        <v>7.7359999999999998</v>
      </c>
      <c r="GZ33" s="4">
        <v>13.212</v>
      </c>
      <c r="HA33" s="4">
        <v>16.207999999999998</v>
      </c>
      <c r="HB33" s="4">
        <v>15.874000000000001</v>
      </c>
      <c r="HC33" s="4">
        <v>15.12</v>
      </c>
      <c r="HD33" s="4">
        <v>15.972</v>
      </c>
      <c r="HE33" s="4">
        <v>12.428000000000001</v>
      </c>
      <c r="HF33" s="4">
        <v>14.901999999999999</v>
      </c>
      <c r="HG33" s="4">
        <v>12.707000000000001</v>
      </c>
      <c r="HH33" s="4">
        <v>15.795999999999999</v>
      </c>
      <c r="HI33" s="4">
        <v>14.666</v>
      </c>
      <c r="HJ33" s="4">
        <v>15.212999999999999</v>
      </c>
      <c r="HK33" s="4">
        <v>15.909000000000001</v>
      </c>
      <c r="HL33" s="4">
        <v>15.614000000000001</v>
      </c>
      <c r="HM33" s="4">
        <v>16.265999999999998</v>
      </c>
      <c r="HN33" s="4">
        <v>15.653</v>
      </c>
      <c r="HO33" s="4">
        <v>13.265000000000001</v>
      </c>
      <c r="HP33" s="4">
        <v>15.157</v>
      </c>
      <c r="HQ33" s="4">
        <v>15.439</v>
      </c>
      <c r="HR33" s="4">
        <v>16.265000000000001</v>
      </c>
      <c r="HS33" s="4">
        <v>14.614000000000001</v>
      </c>
      <c r="HT33" s="4">
        <v>14.817</v>
      </c>
      <c r="HU33" s="4">
        <v>14.459</v>
      </c>
      <c r="HV33" s="4">
        <v>16.158999999999999</v>
      </c>
      <c r="HW33" s="4">
        <v>15.823</v>
      </c>
      <c r="HX33" s="4">
        <v>14.003</v>
      </c>
      <c r="HY33" s="4">
        <v>16.172000000000001</v>
      </c>
      <c r="HZ33" s="4">
        <v>16.292999999999999</v>
      </c>
      <c r="IA33" s="4">
        <v>16.222000000000001</v>
      </c>
      <c r="IB33" s="4">
        <v>11.856</v>
      </c>
      <c r="IC33" s="4">
        <v>16.257000000000001</v>
      </c>
      <c r="ID33" s="4">
        <v>16.853999999999999</v>
      </c>
      <c r="IE33" s="4">
        <v>16.187999999999999</v>
      </c>
      <c r="IF33" s="4">
        <v>16.343</v>
      </c>
      <c r="IG33" s="4">
        <v>16.13</v>
      </c>
      <c r="IH33" s="4">
        <v>15.093999999999999</v>
      </c>
      <c r="II33" s="4">
        <v>9.92</v>
      </c>
      <c r="IJ33" s="4">
        <v>11.836</v>
      </c>
      <c r="IK33" s="4">
        <v>15.878</v>
      </c>
      <c r="IL33" s="4">
        <v>16.643999999999998</v>
      </c>
      <c r="IM33" s="4">
        <v>12.62</v>
      </c>
      <c r="IN33" s="4">
        <v>16.312000000000001</v>
      </c>
      <c r="IO33" s="4">
        <v>14.263999999999999</v>
      </c>
      <c r="IP33" s="4">
        <v>15.092000000000001</v>
      </c>
      <c r="IQ33" s="4">
        <v>15.42</v>
      </c>
      <c r="IR33" s="4">
        <v>16.725000000000001</v>
      </c>
      <c r="IS33" s="4">
        <v>16.622</v>
      </c>
      <c r="IT33" s="4">
        <v>13.292999999999999</v>
      </c>
      <c r="IU33" s="4">
        <v>15.584</v>
      </c>
      <c r="IV33" s="4">
        <v>12.840999999999999</v>
      </c>
      <c r="IW33" s="4">
        <v>16.016999999999999</v>
      </c>
      <c r="IX33" s="4">
        <v>11.01</v>
      </c>
      <c r="IY33" s="4">
        <v>16.402999999999999</v>
      </c>
      <c r="IZ33" s="4">
        <v>15.244</v>
      </c>
      <c r="JA33" s="4">
        <v>15.747</v>
      </c>
      <c r="JB33" s="4">
        <v>15.324999999999999</v>
      </c>
      <c r="JC33" s="4">
        <v>15.009</v>
      </c>
      <c r="JD33" s="4">
        <v>14.208</v>
      </c>
      <c r="JE33" s="4">
        <v>15.67</v>
      </c>
      <c r="JF33" s="4">
        <v>16.213000000000001</v>
      </c>
      <c r="JG33" s="4">
        <v>16.065999999999999</v>
      </c>
      <c r="JH33" s="4">
        <v>16.056999999999999</v>
      </c>
      <c r="JI33" s="4">
        <v>16.074000000000002</v>
      </c>
      <c r="JJ33" s="4">
        <v>15.263999999999999</v>
      </c>
      <c r="JK33" s="4">
        <v>15.585000000000001</v>
      </c>
      <c r="JL33" s="4">
        <v>15.441000000000001</v>
      </c>
      <c r="JM33" s="4">
        <v>16.533999999999999</v>
      </c>
      <c r="JN33" s="4">
        <v>15.983000000000001</v>
      </c>
      <c r="JO33" s="4">
        <v>15.49</v>
      </c>
      <c r="JP33" s="4">
        <v>15.66</v>
      </c>
      <c r="JQ33" s="4">
        <v>16.192</v>
      </c>
      <c r="JR33" s="4">
        <v>15.968</v>
      </c>
      <c r="JS33" s="4">
        <v>14.813000000000001</v>
      </c>
      <c r="JT33" s="4">
        <v>13.326000000000001</v>
      </c>
      <c r="JU33" s="4">
        <v>16.007000000000001</v>
      </c>
      <c r="JV33" s="4">
        <v>15.929</v>
      </c>
      <c r="JW33" s="4">
        <v>15.721</v>
      </c>
      <c r="JX33" s="4">
        <v>15.471</v>
      </c>
      <c r="JY33" s="4">
        <v>16.093</v>
      </c>
      <c r="JZ33" s="4">
        <v>15.353999999999999</v>
      </c>
      <c r="KA33" s="4">
        <v>15.923</v>
      </c>
      <c r="KB33" s="4">
        <v>13.394</v>
      </c>
      <c r="KC33" s="4">
        <v>14.298</v>
      </c>
      <c r="KD33" s="4">
        <v>15.701000000000001</v>
      </c>
      <c r="KE33" s="4">
        <v>16.619</v>
      </c>
      <c r="KF33" s="4">
        <v>15.654999999999999</v>
      </c>
      <c r="KG33" s="4">
        <v>15.654</v>
      </c>
      <c r="KH33" s="4">
        <v>15.842000000000001</v>
      </c>
      <c r="KI33" s="4">
        <v>15.675000000000001</v>
      </c>
      <c r="KJ33" s="4">
        <v>16.093</v>
      </c>
      <c r="KK33" s="4">
        <v>15.866</v>
      </c>
      <c r="KL33" s="4">
        <v>15.478999999999999</v>
      </c>
      <c r="KM33" s="4">
        <v>12.384</v>
      </c>
      <c r="KN33" s="4">
        <v>15.88</v>
      </c>
      <c r="KO33" s="4">
        <v>13.013999999999999</v>
      </c>
      <c r="KP33" s="4">
        <v>16.21</v>
      </c>
      <c r="KQ33" s="4">
        <v>15.558999999999999</v>
      </c>
      <c r="KR33" s="4">
        <v>15.317</v>
      </c>
      <c r="KS33" s="4">
        <v>15.965999999999999</v>
      </c>
    </row>
    <row r="34" spans="1:305" x14ac:dyDescent="0.25">
      <c r="A34" s="4">
        <v>2016</v>
      </c>
      <c r="B34" s="4">
        <v>7</v>
      </c>
      <c r="C34" s="4">
        <v>12.547000000000001</v>
      </c>
      <c r="D34" s="4">
        <v>18.045999999999999</v>
      </c>
      <c r="E34" s="4">
        <v>16.661999999999999</v>
      </c>
      <c r="F34" s="4">
        <v>16.238</v>
      </c>
      <c r="G34" s="4">
        <v>16.361000000000001</v>
      </c>
      <c r="H34" s="4">
        <v>14.755000000000001</v>
      </c>
      <c r="I34" s="4">
        <v>16.356000000000002</v>
      </c>
      <c r="J34" s="4">
        <v>16.09</v>
      </c>
      <c r="K34" s="4">
        <v>17.071999999999999</v>
      </c>
      <c r="L34" s="4">
        <v>16.376000000000001</v>
      </c>
      <c r="M34" s="4">
        <v>17.177</v>
      </c>
      <c r="N34" s="4">
        <v>15.368</v>
      </c>
      <c r="O34" s="4">
        <v>17.751000000000001</v>
      </c>
      <c r="P34" s="4">
        <v>12.994</v>
      </c>
      <c r="Q34" s="4">
        <v>16.405000000000001</v>
      </c>
      <c r="R34" s="4">
        <v>14.497999999999999</v>
      </c>
      <c r="S34" s="4">
        <v>14.853999999999999</v>
      </c>
      <c r="T34" s="4">
        <v>16.579000000000001</v>
      </c>
      <c r="U34" s="4">
        <v>16.556000000000001</v>
      </c>
      <c r="V34" s="4">
        <v>16.905000000000001</v>
      </c>
      <c r="W34" s="4">
        <v>17.193000000000001</v>
      </c>
      <c r="X34" s="4">
        <v>17.675000000000001</v>
      </c>
      <c r="Y34" s="4">
        <v>16.738</v>
      </c>
      <c r="Z34" s="4">
        <v>17.241</v>
      </c>
      <c r="AA34" s="4">
        <v>16.72</v>
      </c>
      <c r="AB34" s="4">
        <v>16.196000000000002</v>
      </c>
      <c r="AC34" s="4">
        <v>17.155999999999999</v>
      </c>
      <c r="AD34" s="4">
        <v>16.747</v>
      </c>
      <c r="AE34" s="4">
        <v>16.056000000000001</v>
      </c>
      <c r="AF34" s="4">
        <v>16.643000000000001</v>
      </c>
      <c r="AG34" s="4">
        <v>15.835000000000001</v>
      </c>
      <c r="AH34" s="4">
        <v>18.222999999999999</v>
      </c>
      <c r="AI34" s="4">
        <v>16.321000000000002</v>
      </c>
      <c r="AJ34" s="4">
        <v>17.84</v>
      </c>
      <c r="AK34" s="4">
        <v>14.654999999999999</v>
      </c>
      <c r="AL34" s="4">
        <v>16.603000000000002</v>
      </c>
      <c r="AM34" s="4">
        <v>17.058</v>
      </c>
      <c r="AN34" s="4">
        <v>17.829999999999998</v>
      </c>
      <c r="AO34" s="4">
        <v>16.36</v>
      </c>
      <c r="AP34" s="4">
        <v>18.536999999999999</v>
      </c>
      <c r="AQ34" s="4">
        <v>16.873000000000001</v>
      </c>
      <c r="AR34" s="4">
        <v>16.591000000000001</v>
      </c>
      <c r="AS34" s="4">
        <v>15.144</v>
      </c>
      <c r="AT34" s="4">
        <v>15.694000000000001</v>
      </c>
      <c r="AU34" s="4">
        <v>16.300999999999998</v>
      </c>
      <c r="AV34" s="4">
        <v>16.315999999999999</v>
      </c>
      <c r="AW34" s="4">
        <v>16.748000000000001</v>
      </c>
      <c r="AX34" s="4">
        <v>17.571000000000002</v>
      </c>
      <c r="AY34" s="4">
        <v>17.846</v>
      </c>
      <c r="AZ34" s="4">
        <v>17.312000000000001</v>
      </c>
      <c r="BA34" s="4">
        <v>16.431999999999999</v>
      </c>
      <c r="BB34" s="4">
        <v>16.600999999999999</v>
      </c>
      <c r="BC34" s="4">
        <v>17.068000000000001</v>
      </c>
      <c r="BD34" s="4">
        <v>15.936999999999999</v>
      </c>
      <c r="BE34" s="4">
        <v>17.751000000000001</v>
      </c>
      <c r="BF34" s="4">
        <v>16.321999999999999</v>
      </c>
      <c r="BG34" s="4">
        <v>16.173999999999999</v>
      </c>
      <c r="BH34" s="4">
        <v>17.158000000000001</v>
      </c>
      <c r="BI34" s="4">
        <v>17.701000000000001</v>
      </c>
      <c r="BJ34" s="4">
        <v>17.396000000000001</v>
      </c>
      <c r="BK34" s="4">
        <v>14.01</v>
      </c>
      <c r="BL34" s="4">
        <v>16.997</v>
      </c>
      <c r="BM34" s="4">
        <v>14.977</v>
      </c>
      <c r="BN34" s="4">
        <v>14.567</v>
      </c>
      <c r="BO34" s="4">
        <v>15.914999999999999</v>
      </c>
      <c r="BP34" s="4">
        <v>14.747999999999999</v>
      </c>
      <c r="BQ34" s="4">
        <v>17.151</v>
      </c>
      <c r="BR34" s="4">
        <v>16.036999999999999</v>
      </c>
      <c r="BS34" s="4">
        <v>17.541</v>
      </c>
      <c r="BT34" s="4">
        <v>15.988</v>
      </c>
      <c r="BU34" s="4">
        <v>17.18</v>
      </c>
      <c r="BV34" s="4">
        <v>16.969000000000001</v>
      </c>
      <c r="BW34" s="4">
        <v>16.699000000000002</v>
      </c>
      <c r="BX34" s="4">
        <v>16.994</v>
      </c>
      <c r="BY34" s="4">
        <v>16.353999999999999</v>
      </c>
      <c r="BZ34" s="4">
        <v>18.13</v>
      </c>
      <c r="CA34" s="4">
        <v>16.14</v>
      </c>
      <c r="CB34" s="4">
        <v>16.132999999999999</v>
      </c>
      <c r="CC34" s="4">
        <v>17.036000000000001</v>
      </c>
      <c r="CD34" s="4">
        <v>17.417999999999999</v>
      </c>
      <c r="CE34" s="4">
        <v>16.873000000000001</v>
      </c>
      <c r="CF34" s="4">
        <v>15.266</v>
      </c>
      <c r="CG34" s="4">
        <v>17.431999999999999</v>
      </c>
      <c r="CH34" s="4">
        <v>17.225999999999999</v>
      </c>
      <c r="CI34" s="4">
        <v>16.835999999999999</v>
      </c>
      <c r="CJ34" s="4">
        <v>16.847000000000001</v>
      </c>
      <c r="CK34" s="4">
        <v>16.559000000000001</v>
      </c>
      <c r="CL34" s="4">
        <v>16.579999999999998</v>
      </c>
      <c r="CM34" s="4">
        <v>13.09</v>
      </c>
      <c r="CN34" s="4">
        <v>17.478000000000002</v>
      </c>
      <c r="CO34" s="4">
        <v>12.381</v>
      </c>
      <c r="CP34" s="4">
        <v>16.331</v>
      </c>
      <c r="CQ34" s="4">
        <v>16.736999999999998</v>
      </c>
      <c r="CR34" s="4">
        <v>16.677</v>
      </c>
      <c r="CS34" s="4">
        <v>17.369</v>
      </c>
      <c r="CT34" s="4">
        <v>17.652999999999999</v>
      </c>
      <c r="CU34" s="4">
        <v>16.815000000000001</v>
      </c>
      <c r="CV34" s="4">
        <v>16.902999999999999</v>
      </c>
      <c r="CW34" s="4">
        <v>17.018000000000001</v>
      </c>
      <c r="CX34" s="4">
        <v>17.986999999999998</v>
      </c>
      <c r="CY34" s="4">
        <v>17.279</v>
      </c>
      <c r="CZ34" s="4">
        <v>17.36</v>
      </c>
      <c r="DA34" s="4">
        <v>16.238</v>
      </c>
      <c r="DB34" s="4">
        <v>18.623000000000001</v>
      </c>
      <c r="DC34" s="4">
        <v>15.996</v>
      </c>
      <c r="DD34" s="4">
        <v>16.407</v>
      </c>
      <c r="DE34" s="4">
        <v>15.865</v>
      </c>
      <c r="DF34" s="4">
        <v>17.457000000000001</v>
      </c>
      <c r="DG34" s="4">
        <v>17.745000000000001</v>
      </c>
      <c r="DH34" s="4">
        <v>14.666</v>
      </c>
      <c r="DI34" s="4">
        <v>16.888999999999999</v>
      </c>
      <c r="DJ34" s="4">
        <v>16.864999999999998</v>
      </c>
      <c r="DK34" s="4">
        <v>16.631</v>
      </c>
      <c r="DL34" s="4">
        <v>17.434000000000001</v>
      </c>
      <c r="DM34" s="4">
        <v>17.067</v>
      </c>
      <c r="DN34" s="4">
        <v>17.536000000000001</v>
      </c>
      <c r="DO34" s="4">
        <v>17.64</v>
      </c>
      <c r="DP34" s="4">
        <v>16.905999999999999</v>
      </c>
      <c r="DQ34" s="4">
        <v>16.315999999999999</v>
      </c>
      <c r="DR34" s="4">
        <v>14.122999999999999</v>
      </c>
      <c r="DS34" s="4">
        <v>17.148</v>
      </c>
      <c r="DT34" s="4">
        <v>16.736000000000001</v>
      </c>
      <c r="DU34" s="4">
        <v>17.873000000000001</v>
      </c>
      <c r="DV34" s="4">
        <v>17.622</v>
      </c>
      <c r="DW34" s="4">
        <v>16.116</v>
      </c>
      <c r="DX34" s="4">
        <v>16.841999999999999</v>
      </c>
      <c r="DY34" s="4">
        <v>17.21</v>
      </c>
      <c r="DZ34" s="4">
        <v>17.036000000000001</v>
      </c>
      <c r="EA34" s="4">
        <v>17.079999999999998</v>
      </c>
      <c r="EB34" s="4">
        <v>16.783000000000001</v>
      </c>
      <c r="EC34" s="4">
        <v>17.032</v>
      </c>
      <c r="ED34" s="4">
        <v>17.901</v>
      </c>
      <c r="EE34" s="4">
        <v>13.723000000000001</v>
      </c>
      <c r="EF34" s="4">
        <v>17.690999999999999</v>
      </c>
      <c r="EG34" s="4">
        <v>16.943000000000001</v>
      </c>
      <c r="EH34" s="4">
        <v>16.872</v>
      </c>
      <c r="EI34" s="4">
        <v>15.997999999999999</v>
      </c>
      <c r="EJ34" s="4">
        <v>16.358000000000001</v>
      </c>
      <c r="EK34" s="4">
        <v>16.524000000000001</v>
      </c>
      <c r="EL34" s="4">
        <v>18.449000000000002</v>
      </c>
      <c r="EM34" s="4">
        <v>17.105</v>
      </c>
      <c r="EN34" s="4">
        <v>16.556000000000001</v>
      </c>
      <c r="EO34" s="4">
        <v>16.963999999999999</v>
      </c>
      <c r="EP34" s="4">
        <v>17.806999999999999</v>
      </c>
      <c r="EQ34" s="4">
        <v>16.346</v>
      </c>
      <c r="ER34" s="4">
        <v>16.358000000000001</v>
      </c>
      <c r="ES34" s="4">
        <v>17.84</v>
      </c>
      <c r="ET34" s="4">
        <v>16.128</v>
      </c>
      <c r="EU34" s="4">
        <v>16.925999999999998</v>
      </c>
      <c r="EV34" s="4">
        <v>17.666</v>
      </c>
      <c r="EW34" s="4">
        <v>16.015999999999998</v>
      </c>
      <c r="EX34" s="4">
        <v>16.956</v>
      </c>
      <c r="EY34" s="4">
        <v>15.185</v>
      </c>
      <c r="EZ34" s="4">
        <v>17.13</v>
      </c>
      <c r="FA34" s="4">
        <v>17.858000000000001</v>
      </c>
      <c r="FB34" s="4">
        <v>14.691000000000001</v>
      </c>
      <c r="FC34" s="4">
        <v>17.225000000000001</v>
      </c>
      <c r="FD34" s="4">
        <v>16.425999999999998</v>
      </c>
      <c r="FE34" s="4">
        <v>17.571000000000002</v>
      </c>
      <c r="FF34" s="4">
        <v>16.959</v>
      </c>
      <c r="FG34" s="4">
        <v>17.443000000000001</v>
      </c>
      <c r="FH34" s="4">
        <v>17.05</v>
      </c>
      <c r="FI34" s="4">
        <v>18.132999999999999</v>
      </c>
      <c r="FJ34" s="4">
        <v>15.936</v>
      </c>
      <c r="FK34" s="4">
        <v>17.728000000000002</v>
      </c>
      <c r="FL34" s="4">
        <v>17.41</v>
      </c>
      <c r="FM34" s="4">
        <v>15.791</v>
      </c>
      <c r="FN34" s="4">
        <v>16.684999999999999</v>
      </c>
      <c r="FO34" s="4">
        <v>16.225000000000001</v>
      </c>
      <c r="FP34" s="4">
        <v>18.446000000000002</v>
      </c>
      <c r="FQ34" s="4">
        <v>15.922000000000001</v>
      </c>
      <c r="FR34" s="4">
        <v>16.684000000000001</v>
      </c>
      <c r="FS34" s="4">
        <v>16.253</v>
      </c>
      <c r="FT34" s="4">
        <v>16.78</v>
      </c>
      <c r="FU34" s="4">
        <v>17.027999999999999</v>
      </c>
      <c r="FV34" s="4">
        <v>17.821999999999999</v>
      </c>
      <c r="FW34" s="4">
        <v>17.422999999999998</v>
      </c>
      <c r="FX34" s="4">
        <v>15.335000000000001</v>
      </c>
      <c r="FY34" s="4">
        <v>17.257999999999999</v>
      </c>
      <c r="FZ34" s="4">
        <v>17.655999999999999</v>
      </c>
      <c r="GA34" s="4">
        <v>17.736999999999998</v>
      </c>
      <c r="GB34" s="4">
        <v>17.085999999999999</v>
      </c>
      <c r="GC34" s="4">
        <v>16.431999999999999</v>
      </c>
      <c r="GD34" s="4">
        <v>16.613</v>
      </c>
      <c r="GE34" s="4">
        <v>17.196999999999999</v>
      </c>
      <c r="GF34" s="4">
        <v>16.471</v>
      </c>
      <c r="GG34" s="4">
        <v>16.8</v>
      </c>
      <c r="GH34" s="4">
        <v>15.611000000000001</v>
      </c>
      <c r="GI34" s="4">
        <v>17.016999999999999</v>
      </c>
      <c r="GJ34" s="4">
        <v>16.376000000000001</v>
      </c>
      <c r="GK34" s="4">
        <v>18.007000000000001</v>
      </c>
      <c r="GL34" s="4">
        <v>18.234999999999999</v>
      </c>
      <c r="GM34" s="4">
        <v>18.038</v>
      </c>
      <c r="GN34" s="4">
        <v>14.444000000000001</v>
      </c>
      <c r="GO34" s="4">
        <v>17.224</v>
      </c>
      <c r="GP34" s="4">
        <v>15.497999999999999</v>
      </c>
      <c r="GQ34" s="4">
        <v>16.86</v>
      </c>
      <c r="GR34" s="4">
        <v>17.335999999999999</v>
      </c>
      <c r="GS34" s="4">
        <v>17.707999999999998</v>
      </c>
      <c r="GT34" s="4">
        <v>16.219000000000001</v>
      </c>
      <c r="GU34" s="4">
        <v>16.774999999999999</v>
      </c>
      <c r="GV34" s="4">
        <v>16.404</v>
      </c>
      <c r="GW34" s="4">
        <v>16.411999999999999</v>
      </c>
      <c r="GX34" s="4">
        <v>15.967000000000001</v>
      </c>
      <c r="GY34" s="4">
        <v>12.36</v>
      </c>
      <c r="GZ34" s="4">
        <v>16.963999999999999</v>
      </c>
      <c r="HA34" s="4">
        <v>17.016999999999999</v>
      </c>
      <c r="HB34" s="4">
        <v>17.062999999999999</v>
      </c>
      <c r="HC34" s="4">
        <v>16.706</v>
      </c>
      <c r="HD34" s="4">
        <v>18.111999999999998</v>
      </c>
      <c r="HE34" s="4">
        <v>13.566000000000001</v>
      </c>
      <c r="HF34" s="4">
        <v>17.04</v>
      </c>
      <c r="HG34" s="4">
        <v>13.776999999999999</v>
      </c>
      <c r="HH34" s="4">
        <v>16.899999999999999</v>
      </c>
      <c r="HI34" s="4">
        <v>16.369</v>
      </c>
      <c r="HJ34" s="4">
        <v>15.867000000000001</v>
      </c>
      <c r="HK34" s="4">
        <v>18.141999999999999</v>
      </c>
      <c r="HL34" s="4">
        <v>17.233000000000001</v>
      </c>
      <c r="HM34" s="4">
        <v>17.189</v>
      </c>
      <c r="HN34" s="4">
        <v>16.623999999999999</v>
      </c>
      <c r="HO34" s="4">
        <v>16.925000000000001</v>
      </c>
      <c r="HP34" s="4">
        <v>16.73</v>
      </c>
      <c r="HQ34" s="4">
        <v>16.494</v>
      </c>
      <c r="HR34" s="4">
        <v>17.114000000000001</v>
      </c>
      <c r="HS34" s="4">
        <v>17.309000000000001</v>
      </c>
      <c r="HT34" s="4">
        <v>16.353999999999999</v>
      </c>
      <c r="HU34" s="4">
        <v>17.309999999999999</v>
      </c>
      <c r="HV34" s="4">
        <v>18</v>
      </c>
      <c r="HW34" s="4">
        <v>17.896999999999998</v>
      </c>
      <c r="HX34" s="4">
        <v>15.957000000000001</v>
      </c>
      <c r="HY34" s="4">
        <v>18.535</v>
      </c>
      <c r="HZ34" s="4">
        <v>18.661000000000001</v>
      </c>
      <c r="IA34" s="4">
        <v>17.045000000000002</v>
      </c>
      <c r="IB34" s="4">
        <v>15.259</v>
      </c>
      <c r="IC34" s="4">
        <v>16.821000000000002</v>
      </c>
      <c r="ID34" s="4">
        <v>17.588999999999999</v>
      </c>
      <c r="IE34" s="4">
        <v>16.811</v>
      </c>
      <c r="IF34" s="4">
        <v>18.693999999999999</v>
      </c>
      <c r="IG34" s="4">
        <v>18.471</v>
      </c>
      <c r="IH34" s="4">
        <v>16.474</v>
      </c>
      <c r="II34" s="4">
        <v>11.816000000000001</v>
      </c>
      <c r="IJ34" s="4">
        <v>14.776999999999999</v>
      </c>
      <c r="IK34" s="4">
        <v>17.678000000000001</v>
      </c>
      <c r="IL34" s="4">
        <v>17.184999999999999</v>
      </c>
      <c r="IM34" s="4">
        <v>14.717000000000001</v>
      </c>
      <c r="IN34" s="4">
        <v>18.667999999999999</v>
      </c>
      <c r="IO34" s="4">
        <v>17.050999999999998</v>
      </c>
      <c r="IP34" s="4">
        <v>16.224</v>
      </c>
      <c r="IQ34" s="4">
        <v>17.196000000000002</v>
      </c>
      <c r="IR34" s="4">
        <v>17.271000000000001</v>
      </c>
      <c r="IS34" s="4">
        <v>17.437999999999999</v>
      </c>
      <c r="IT34" s="4">
        <v>13.811999999999999</v>
      </c>
      <c r="IU34" s="4">
        <v>15.907999999999999</v>
      </c>
      <c r="IV34" s="4">
        <v>14.253</v>
      </c>
      <c r="IW34" s="4">
        <v>18.39</v>
      </c>
      <c r="IX34" s="4">
        <v>12.135</v>
      </c>
      <c r="IY34" s="4">
        <v>16.844999999999999</v>
      </c>
      <c r="IZ34" s="4">
        <v>17.045000000000002</v>
      </c>
      <c r="JA34" s="4">
        <v>16.850999999999999</v>
      </c>
      <c r="JB34" s="4">
        <v>16.350000000000001</v>
      </c>
      <c r="JC34" s="4">
        <v>17.239000000000001</v>
      </c>
      <c r="JD34" s="4">
        <v>16.786000000000001</v>
      </c>
      <c r="JE34" s="4">
        <v>16.463000000000001</v>
      </c>
      <c r="JF34" s="4">
        <v>16.852</v>
      </c>
      <c r="JG34" s="4">
        <v>17.077000000000002</v>
      </c>
      <c r="JH34" s="4">
        <v>17.146999999999998</v>
      </c>
      <c r="JI34" s="4">
        <v>17.529</v>
      </c>
      <c r="JJ34" s="4">
        <v>16.257000000000001</v>
      </c>
      <c r="JK34" s="4">
        <v>16.981000000000002</v>
      </c>
      <c r="JL34" s="4">
        <v>15.840999999999999</v>
      </c>
      <c r="JM34" s="4">
        <v>17.55</v>
      </c>
      <c r="JN34" s="4">
        <v>16.707999999999998</v>
      </c>
      <c r="JO34" s="4">
        <v>17.486000000000001</v>
      </c>
      <c r="JP34" s="4">
        <v>18.045000000000002</v>
      </c>
      <c r="JQ34" s="4">
        <v>16.864999999999998</v>
      </c>
      <c r="JR34" s="4">
        <v>16.231999999999999</v>
      </c>
      <c r="JS34" s="4">
        <v>15.522</v>
      </c>
      <c r="JT34" s="4">
        <v>16.922000000000001</v>
      </c>
      <c r="JU34" s="4">
        <v>18.256</v>
      </c>
      <c r="JV34" s="4">
        <v>18.238</v>
      </c>
      <c r="JW34" s="4">
        <v>17.317</v>
      </c>
      <c r="JX34" s="4">
        <v>16.093</v>
      </c>
      <c r="JY34" s="4">
        <v>18.030999999999999</v>
      </c>
      <c r="JZ34" s="4">
        <v>17.579999999999998</v>
      </c>
      <c r="KA34" s="4">
        <v>16.841999999999999</v>
      </c>
      <c r="KB34" s="4">
        <v>16.72</v>
      </c>
      <c r="KC34" s="4">
        <v>15.505000000000001</v>
      </c>
      <c r="KD34" s="4">
        <v>16.603999999999999</v>
      </c>
      <c r="KE34" s="4">
        <v>17.141999999999999</v>
      </c>
      <c r="KF34" s="4">
        <v>16.254000000000001</v>
      </c>
      <c r="KG34" s="4">
        <v>18.119</v>
      </c>
      <c r="KH34" s="4">
        <v>16.303000000000001</v>
      </c>
      <c r="KI34" s="4">
        <v>17.713999999999999</v>
      </c>
      <c r="KJ34" s="4">
        <v>18.079999999999998</v>
      </c>
      <c r="KK34" s="4">
        <v>16.442</v>
      </c>
      <c r="KL34" s="4">
        <v>16.576000000000001</v>
      </c>
      <c r="KM34" s="4">
        <v>14.949</v>
      </c>
      <c r="KN34" s="4">
        <v>17.196000000000002</v>
      </c>
      <c r="KO34" s="4">
        <v>15.946999999999999</v>
      </c>
      <c r="KP34" s="4">
        <v>17.706</v>
      </c>
      <c r="KQ34" s="4">
        <v>17.800999999999998</v>
      </c>
      <c r="KR34" s="4">
        <v>16.7</v>
      </c>
      <c r="KS34" s="4">
        <v>16.98</v>
      </c>
    </row>
    <row r="35" spans="1:305" x14ac:dyDescent="0.25">
      <c r="A35" s="4">
        <v>2016</v>
      </c>
      <c r="B35" s="4">
        <v>8</v>
      </c>
      <c r="C35" s="4">
        <v>9.2949999999999999</v>
      </c>
      <c r="D35" s="4">
        <v>16.463999999999999</v>
      </c>
      <c r="E35" s="4">
        <v>15.215999999999999</v>
      </c>
      <c r="F35" s="4">
        <v>14.68</v>
      </c>
      <c r="G35" s="4">
        <v>14.816000000000001</v>
      </c>
      <c r="H35" s="4">
        <v>12.757999999999999</v>
      </c>
      <c r="I35" s="4">
        <v>14.641999999999999</v>
      </c>
      <c r="J35" s="4">
        <v>12.23</v>
      </c>
      <c r="K35" s="4">
        <v>15.026999999999999</v>
      </c>
      <c r="L35" s="4">
        <v>14.369</v>
      </c>
      <c r="M35" s="4">
        <v>16.157</v>
      </c>
      <c r="N35" s="4">
        <v>12.526</v>
      </c>
      <c r="O35" s="4">
        <v>15.702999999999999</v>
      </c>
      <c r="P35" s="4">
        <v>10.839</v>
      </c>
      <c r="Q35" s="4">
        <v>14.337999999999999</v>
      </c>
      <c r="R35" s="4">
        <v>10.699</v>
      </c>
      <c r="S35" s="4">
        <v>10.885</v>
      </c>
      <c r="T35" s="4">
        <v>14.58</v>
      </c>
      <c r="U35" s="4">
        <v>14.756</v>
      </c>
      <c r="V35" s="4">
        <v>14.901999999999999</v>
      </c>
      <c r="W35" s="4">
        <v>16.233000000000001</v>
      </c>
      <c r="X35" s="4">
        <v>15.577999999999999</v>
      </c>
      <c r="Y35" s="4">
        <v>14.5</v>
      </c>
      <c r="Z35" s="4">
        <v>16.311</v>
      </c>
      <c r="AA35" s="4">
        <v>14.686999999999999</v>
      </c>
      <c r="AB35" s="4">
        <v>12.202999999999999</v>
      </c>
      <c r="AC35" s="4">
        <v>16.186</v>
      </c>
      <c r="AD35" s="4">
        <v>12.851000000000001</v>
      </c>
      <c r="AE35" s="4">
        <v>14.46</v>
      </c>
      <c r="AF35" s="4">
        <v>14.266999999999999</v>
      </c>
      <c r="AG35" s="4">
        <v>14.076000000000001</v>
      </c>
      <c r="AH35" s="4">
        <v>16.742999999999999</v>
      </c>
      <c r="AI35" s="4">
        <v>14.101000000000001</v>
      </c>
      <c r="AJ35" s="4">
        <v>16.158999999999999</v>
      </c>
      <c r="AK35" s="4">
        <v>12.083</v>
      </c>
      <c r="AL35" s="4">
        <v>15.429</v>
      </c>
      <c r="AM35" s="4">
        <v>15.93</v>
      </c>
      <c r="AN35" s="4">
        <v>17.065000000000001</v>
      </c>
      <c r="AO35" s="4">
        <v>14.211</v>
      </c>
      <c r="AP35" s="4">
        <v>16.637</v>
      </c>
      <c r="AQ35" s="4">
        <v>14.65</v>
      </c>
      <c r="AR35" s="4">
        <v>13.792</v>
      </c>
      <c r="AS35" s="4">
        <v>11.961</v>
      </c>
      <c r="AT35" s="4">
        <v>13.513999999999999</v>
      </c>
      <c r="AU35" s="4">
        <v>14.436999999999999</v>
      </c>
      <c r="AV35" s="4">
        <v>14.314</v>
      </c>
      <c r="AW35" s="4">
        <v>15</v>
      </c>
      <c r="AX35" s="4">
        <v>15.978</v>
      </c>
      <c r="AY35" s="4">
        <v>15.945</v>
      </c>
      <c r="AZ35" s="4">
        <v>16.423999999999999</v>
      </c>
      <c r="BA35" s="4">
        <v>14.673</v>
      </c>
      <c r="BB35" s="4">
        <v>14.504</v>
      </c>
      <c r="BC35" s="4">
        <v>16.146999999999998</v>
      </c>
      <c r="BD35" s="4">
        <v>14.196</v>
      </c>
      <c r="BE35" s="4">
        <v>17.196000000000002</v>
      </c>
      <c r="BF35" s="4">
        <v>14.497999999999999</v>
      </c>
      <c r="BG35" s="4">
        <v>14.1</v>
      </c>
      <c r="BH35" s="4">
        <v>15.14</v>
      </c>
      <c r="BI35" s="4">
        <v>15.547000000000001</v>
      </c>
      <c r="BJ35" s="4">
        <v>15.664</v>
      </c>
      <c r="BK35" s="4">
        <v>11.24</v>
      </c>
      <c r="BL35" s="4">
        <v>14.747</v>
      </c>
      <c r="BM35" s="4">
        <v>11.497</v>
      </c>
      <c r="BN35" s="4">
        <v>10.939</v>
      </c>
      <c r="BO35" s="4">
        <v>13.504</v>
      </c>
      <c r="BP35" s="4">
        <v>10.464</v>
      </c>
      <c r="BQ35" s="4">
        <v>14.802</v>
      </c>
      <c r="BR35" s="4">
        <v>14.247999999999999</v>
      </c>
      <c r="BS35" s="4">
        <v>15.802</v>
      </c>
      <c r="BT35" s="4">
        <v>14.135999999999999</v>
      </c>
      <c r="BU35" s="4">
        <v>16.045999999999999</v>
      </c>
      <c r="BV35" s="4">
        <v>15.1</v>
      </c>
      <c r="BW35" s="4">
        <v>14.938000000000001</v>
      </c>
      <c r="BX35" s="4">
        <v>14.894</v>
      </c>
      <c r="BY35" s="4">
        <v>14.622</v>
      </c>
      <c r="BZ35" s="4">
        <v>16.291</v>
      </c>
      <c r="CA35" s="4">
        <v>13.882</v>
      </c>
      <c r="CB35" s="4">
        <v>13.992000000000001</v>
      </c>
      <c r="CC35" s="4">
        <v>15.217000000000001</v>
      </c>
      <c r="CD35" s="4">
        <v>15.332000000000001</v>
      </c>
      <c r="CE35" s="4">
        <v>14.987</v>
      </c>
      <c r="CF35" s="4">
        <v>12.303000000000001</v>
      </c>
      <c r="CG35" s="4">
        <v>15.813000000000001</v>
      </c>
      <c r="CH35" s="4">
        <v>13.426</v>
      </c>
      <c r="CI35" s="4">
        <v>14.163</v>
      </c>
      <c r="CJ35" s="4">
        <v>15.487</v>
      </c>
      <c r="CK35" s="4">
        <v>15.528</v>
      </c>
      <c r="CL35" s="4">
        <v>14.315</v>
      </c>
      <c r="CM35" s="4">
        <v>10.942</v>
      </c>
      <c r="CN35" s="4">
        <v>16.57</v>
      </c>
      <c r="CO35" s="4">
        <v>9.2520000000000007</v>
      </c>
      <c r="CP35" s="4">
        <v>14.555</v>
      </c>
      <c r="CQ35" s="4">
        <v>15.073</v>
      </c>
      <c r="CR35" s="4">
        <v>14.178000000000001</v>
      </c>
      <c r="CS35" s="4">
        <v>16.509</v>
      </c>
      <c r="CT35" s="4">
        <v>15.856999999999999</v>
      </c>
      <c r="CU35" s="4">
        <v>15.842000000000001</v>
      </c>
      <c r="CV35" s="4">
        <v>15.862</v>
      </c>
      <c r="CW35" s="4">
        <v>14.99</v>
      </c>
      <c r="CX35" s="4">
        <v>16.239999999999998</v>
      </c>
      <c r="CY35" s="4">
        <v>14.428000000000001</v>
      </c>
      <c r="CZ35" s="4">
        <v>15.51</v>
      </c>
      <c r="DA35" s="4">
        <v>14.63</v>
      </c>
      <c r="DB35" s="4">
        <v>16.785</v>
      </c>
      <c r="DC35" s="4">
        <v>11.486000000000001</v>
      </c>
      <c r="DD35" s="4">
        <v>14.54</v>
      </c>
      <c r="DE35" s="4">
        <v>12.503</v>
      </c>
      <c r="DF35" s="4">
        <v>13.741</v>
      </c>
      <c r="DG35" s="4">
        <v>16.326000000000001</v>
      </c>
      <c r="DH35" s="4">
        <v>10.220000000000001</v>
      </c>
      <c r="DI35" s="4">
        <v>15.225</v>
      </c>
      <c r="DJ35" s="4">
        <v>15.601000000000001</v>
      </c>
      <c r="DK35" s="4">
        <v>14.401</v>
      </c>
      <c r="DL35" s="4">
        <v>16.37</v>
      </c>
      <c r="DM35" s="4">
        <v>15.025</v>
      </c>
      <c r="DN35" s="4">
        <v>15.567</v>
      </c>
      <c r="DO35" s="4">
        <v>16.831</v>
      </c>
      <c r="DP35" s="4">
        <v>14.675000000000001</v>
      </c>
      <c r="DQ35" s="4">
        <v>14.73</v>
      </c>
      <c r="DR35" s="4">
        <v>9.8260000000000005</v>
      </c>
      <c r="DS35" s="4">
        <v>15.01</v>
      </c>
      <c r="DT35" s="4">
        <v>15.605</v>
      </c>
      <c r="DU35" s="4">
        <v>16.091000000000001</v>
      </c>
      <c r="DV35" s="4">
        <v>15.593999999999999</v>
      </c>
      <c r="DW35" s="4">
        <v>13.804</v>
      </c>
      <c r="DX35" s="4">
        <v>13.526999999999999</v>
      </c>
      <c r="DY35" s="4">
        <v>16.198</v>
      </c>
      <c r="DZ35" s="4">
        <v>14.976000000000001</v>
      </c>
      <c r="EA35" s="4">
        <v>15.355</v>
      </c>
      <c r="EB35" s="4">
        <v>15.427</v>
      </c>
      <c r="EC35" s="4">
        <v>15.875</v>
      </c>
      <c r="ED35" s="4">
        <v>15.92</v>
      </c>
      <c r="EE35" s="4">
        <v>9.9160000000000004</v>
      </c>
      <c r="EF35" s="4">
        <v>16.866</v>
      </c>
      <c r="EG35" s="4">
        <v>14.874000000000001</v>
      </c>
      <c r="EH35" s="4">
        <v>15.022</v>
      </c>
      <c r="EI35" s="4">
        <v>13.63</v>
      </c>
      <c r="EJ35" s="4">
        <v>14.913</v>
      </c>
      <c r="EK35" s="4">
        <v>14.773</v>
      </c>
      <c r="EL35" s="4">
        <v>16.52</v>
      </c>
      <c r="EM35" s="4">
        <v>15.345000000000001</v>
      </c>
      <c r="EN35" s="4">
        <v>15.019</v>
      </c>
      <c r="EO35" s="4">
        <v>14.603</v>
      </c>
      <c r="EP35" s="4">
        <v>15.849</v>
      </c>
      <c r="EQ35" s="4">
        <v>14.632</v>
      </c>
      <c r="ER35" s="4">
        <v>13.609</v>
      </c>
      <c r="ES35" s="4">
        <v>17.07</v>
      </c>
      <c r="ET35" s="4">
        <v>13.965</v>
      </c>
      <c r="EU35" s="4">
        <v>13.734999999999999</v>
      </c>
      <c r="EV35" s="4">
        <v>16.86</v>
      </c>
      <c r="EW35" s="4">
        <v>11.997</v>
      </c>
      <c r="EX35" s="4">
        <v>15.734</v>
      </c>
      <c r="EY35" s="4">
        <v>11.313000000000001</v>
      </c>
      <c r="EZ35" s="4">
        <v>14.984</v>
      </c>
      <c r="FA35" s="4">
        <v>17.126000000000001</v>
      </c>
      <c r="FB35" s="4">
        <v>12.615</v>
      </c>
      <c r="FC35" s="4">
        <v>15.393000000000001</v>
      </c>
      <c r="FD35" s="4">
        <v>15.034000000000001</v>
      </c>
      <c r="FE35" s="4">
        <v>15.875</v>
      </c>
      <c r="FF35" s="4">
        <v>15.215999999999999</v>
      </c>
      <c r="FG35" s="4">
        <v>15.561</v>
      </c>
      <c r="FH35" s="4">
        <v>15.789</v>
      </c>
      <c r="FI35" s="4">
        <v>16.472999999999999</v>
      </c>
      <c r="FJ35" s="4">
        <v>13.981999999999999</v>
      </c>
      <c r="FK35" s="4">
        <v>16.472000000000001</v>
      </c>
      <c r="FL35" s="4">
        <v>15.531000000000001</v>
      </c>
      <c r="FM35" s="4">
        <v>13.965999999999999</v>
      </c>
      <c r="FN35" s="4">
        <v>14.925000000000001</v>
      </c>
      <c r="FO35" s="4">
        <v>14.097</v>
      </c>
      <c r="FP35" s="4">
        <v>16.513999999999999</v>
      </c>
      <c r="FQ35" s="4">
        <v>14.058</v>
      </c>
      <c r="FR35" s="4">
        <v>14.496</v>
      </c>
      <c r="FS35" s="4">
        <v>14.077</v>
      </c>
      <c r="FT35" s="4">
        <v>13.81</v>
      </c>
      <c r="FU35" s="4">
        <v>13.689</v>
      </c>
      <c r="FV35" s="4">
        <v>15.991</v>
      </c>
      <c r="FW35" s="4">
        <v>15.632</v>
      </c>
      <c r="FX35" s="4">
        <v>11.598000000000001</v>
      </c>
      <c r="FY35" s="4">
        <v>15.507</v>
      </c>
      <c r="FZ35" s="4">
        <v>15.952999999999999</v>
      </c>
      <c r="GA35" s="4">
        <v>16.027999999999999</v>
      </c>
      <c r="GB35" s="4">
        <v>15.308</v>
      </c>
      <c r="GC35" s="4">
        <v>14.256</v>
      </c>
      <c r="GD35" s="4">
        <v>15.321</v>
      </c>
      <c r="GE35" s="4">
        <v>15.476000000000001</v>
      </c>
      <c r="GF35" s="4">
        <v>15.247</v>
      </c>
      <c r="GG35" s="4">
        <v>13.53</v>
      </c>
      <c r="GH35" s="4">
        <v>13.714</v>
      </c>
      <c r="GI35" s="4">
        <v>15.523999999999999</v>
      </c>
      <c r="GJ35" s="4">
        <v>15.071999999999999</v>
      </c>
      <c r="GK35" s="4">
        <v>16.216000000000001</v>
      </c>
      <c r="GL35" s="4">
        <v>16.276</v>
      </c>
      <c r="GM35" s="4">
        <v>16.148</v>
      </c>
      <c r="GN35" s="4">
        <v>11.996</v>
      </c>
      <c r="GO35" s="4">
        <v>15.353999999999999</v>
      </c>
      <c r="GP35" s="4">
        <v>13.43</v>
      </c>
      <c r="GQ35" s="4">
        <v>12.507999999999999</v>
      </c>
      <c r="GR35" s="4">
        <v>12.446999999999999</v>
      </c>
      <c r="GS35" s="4">
        <v>15.657</v>
      </c>
      <c r="GT35" s="4">
        <v>11.62</v>
      </c>
      <c r="GU35" s="4">
        <v>15.384</v>
      </c>
      <c r="GV35" s="4">
        <v>15.26</v>
      </c>
      <c r="GW35" s="4">
        <v>12.978999999999999</v>
      </c>
      <c r="GX35" s="4">
        <v>13.625999999999999</v>
      </c>
      <c r="GY35" s="4">
        <v>9.4740000000000002</v>
      </c>
      <c r="GZ35" s="4">
        <v>13.096</v>
      </c>
      <c r="HA35" s="4">
        <v>15.798999999999999</v>
      </c>
      <c r="HB35" s="4">
        <v>14.920999999999999</v>
      </c>
      <c r="HC35" s="4">
        <v>14.9</v>
      </c>
      <c r="HD35" s="4">
        <v>16.384</v>
      </c>
      <c r="HE35" s="4">
        <v>11.393000000000001</v>
      </c>
      <c r="HF35" s="4">
        <v>14.824</v>
      </c>
      <c r="HG35" s="4">
        <v>11.253</v>
      </c>
      <c r="HH35" s="4">
        <v>15.192</v>
      </c>
      <c r="HI35" s="4">
        <v>14.224</v>
      </c>
      <c r="HJ35" s="4">
        <v>14.006</v>
      </c>
      <c r="HK35" s="4">
        <v>16.263999999999999</v>
      </c>
      <c r="HL35" s="4">
        <v>16.521999999999998</v>
      </c>
      <c r="HM35" s="4">
        <v>16.085999999999999</v>
      </c>
      <c r="HN35" s="4">
        <v>14.831</v>
      </c>
      <c r="HO35" s="4">
        <v>13.195</v>
      </c>
      <c r="HP35" s="4">
        <v>14.56</v>
      </c>
      <c r="HQ35" s="4">
        <v>14.696999999999999</v>
      </c>
      <c r="HR35" s="4">
        <v>16.279</v>
      </c>
      <c r="HS35" s="4">
        <v>14.769</v>
      </c>
      <c r="HT35" s="4">
        <v>14.196999999999999</v>
      </c>
      <c r="HU35" s="4">
        <v>14.77</v>
      </c>
      <c r="HV35" s="4">
        <v>16.257999999999999</v>
      </c>
      <c r="HW35" s="4">
        <v>16.187000000000001</v>
      </c>
      <c r="HX35" s="4">
        <v>12.59</v>
      </c>
      <c r="HY35" s="4">
        <v>16.681999999999999</v>
      </c>
      <c r="HZ35" s="4">
        <v>16.777000000000001</v>
      </c>
      <c r="IA35" s="4">
        <v>15.91</v>
      </c>
      <c r="IB35" s="4">
        <v>11.101000000000001</v>
      </c>
      <c r="IC35" s="4">
        <v>15.827</v>
      </c>
      <c r="ID35" s="4">
        <v>16.797999999999998</v>
      </c>
      <c r="IE35" s="4">
        <v>15.38</v>
      </c>
      <c r="IF35" s="4">
        <v>16.827000000000002</v>
      </c>
      <c r="IG35" s="4">
        <v>16.606000000000002</v>
      </c>
      <c r="IH35" s="4">
        <v>14.353</v>
      </c>
      <c r="II35" s="4">
        <v>9.9160000000000004</v>
      </c>
      <c r="IJ35" s="4">
        <v>11.131</v>
      </c>
      <c r="IK35" s="4">
        <v>15.978</v>
      </c>
      <c r="IL35" s="4">
        <v>15.769</v>
      </c>
      <c r="IM35" s="4">
        <v>11.709</v>
      </c>
      <c r="IN35" s="4">
        <v>16.803000000000001</v>
      </c>
      <c r="IO35" s="4">
        <v>14.21</v>
      </c>
      <c r="IP35" s="4">
        <v>14.242000000000001</v>
      </c>
      <c r="IQ35" s="4">
        <v>15.065</v>
      </c>
      <c r="IR35" s="4">
        <v>16.393999999999998</v>
      </c>
      <c r="IS35" s="4">
        <v>16.649000000000001</v>
      </c>
      <c r="IT35" s="4">
        <v>11.856999999999999</v>
      </c>
      <c r="IU35" s="4">
        <v>14.223000000000001</v>
      </c>
      <c r="IV35" s="4">
        <v>11.962</v>
      </c>
      <c r="IW35" s="4">
        <v>16.521999999999998</v>
      </c>
      <c r="IX35" s="4">
        <v>10.272</v>
      </c>
      <c r="IY35" s="4">
        <v>15.313000000000001</v>
      </c>
      <c r="IZ35" s="4">
        <v>14.951000000000001</v>
      </c>
      <c r="JA35" s="4">
        <v>15.032999999999999</v>
      </c>
      <c r="JB35" s="4">
        <v>14.656000000000001</v>
      </c>
      <c r="JC35" s="4">
        <v>15.01</v>
      </c>
      <c r="JD35" s="4">
        <v>13.933999999999999</v>
      </c>
      <c r="JE35" s="4">
        <v>14.877000000000001</v>
      </c>
      <c r="JF35" s="4">
        <v>15.867000000000001</v>
      </c>
      <c r="JG35" s="4">
        <v>16.103000000000002</v>
      </c>
      <c r="JH35" s="4">
        <v>15.209</v>
      </c>
      <c r="JI35" s="4">
        <v>16.187999999999999</v>
      </c>
      <c r="JJ35" s="4">
        <v>14.026999999999999</v>
      </c>
      <c r="JK35" s="4">
        <v>14.878</v>
      </c>
      <c r="JL35" s="4">
        <v>14.103999999999999</v>
      </c>
      <c r="JM35" s="4">
        <v>16.890999999999998</v>
      </c>
      <c r="JN35" s="4">
        <v>14.978999999999999</v>
      </c>
      <c r="JO35" s="4">
        <v>15.731999999999999</v>
      </c>
      <c r="JP35" s="4">
        <v>16.155999999999999</v>
      </c>
      <c r="JQ35" s="4">
        <v>15.179</v>
      </c>
      <c r="JR35" s="4">
        <v>14.805999999999999</v>
      </c>
      <c r="JS35" s="4">
        <v>13.723000000000001</v>
      </c>
      <c r="JT35" s="4">
        <v>13.407999999999999</v>
      </c>
      <c r="JU35" s="4">
        <v>16.434000000000001</v>
      </c>
      <c r="JV35" s="4">
        <v>16.440999999999999</v>
      </c>
      <c r="JW35" s="4">
        <v>15.602</v>
      </c>
      <c r="JX35" s="4">
        <v>14.115</v>
      </c>
      <c r="JY35" s="4">
        <v>16.408000000000001</v>
      </c>
      <c r="JZ35" s="4">
        <v>15.881</v>
      </c>
      <c r="KA35" s="4">
        <v>15.032</v>
      </c>
      <c r="KB35" s="4">
        <v>12.724</v>
      </c>
      <c r="KC35" s="4">
        <v>13.167999999999999</v>
      </c>
      <c r="KD35" s="4">
        <v>14.926</v>
      </c>
      <c r="KE35" s="4">
        <v>16.247</v>
      </c>
      <c r="KF35" s="4">
        <v>14.519</v>
      </c>
      <c r="KG35" s="4">
        <v>16.172000000000001</v>
      </c>
      <c r="KH35" s="4">
        <v>14.446</v>
      </c>
      <c r="KI35" s="4">
        <v>15.808</v>
      </c>
      <c r="KJ35" s="4">
        <v>16.315999999999999</v>
      </c>
      <c r="KK35" s="4">
        <v>14.685</v>
      </c>
      <c r="KL35" s="4">
        <v>14.515000000000001</v>
      </c>
      <c r="KM35" s="4">
        <v>11.176</v>
      </c>
      <c r="KN35" s="4">
        <v>15.364000000000001</v>
      </c>
      <c r="KO35" s="4">
        <v>12.159000000000001</v>
      </c>
      <c r="KP35" s="4">
        <v>15.63</v>
      </c>
      <c r="KQ35" s="4">
        <v>16.515999999999998</v>
      </c>
      <c r="KR35" s="4">
        <v>14.596</v>
      </c>
      <c r="KS35" s="4">
        <v>16.263000000000002</v>
      </c>
    </row>
    <row r="36" spans="1:305" x14ac:dyDescent="0.25">
      <c r="A36" s="4">
        <v>2016</v>
      </c>
      <c r="B36" s="4">
        <v>9</v>
      </c>
      <c r="C36" s="4">
        <v>7.7919999999999998</v>
      </c>
      <c r="D36" s="4">
        <v>14.848000000000001</v>
      </c>
      <c r="E36" s="4">
        <v>14.968</v>
      </c>
      <c r="F36" s="4">
        <v>14.335000000000001</v>
      </c>
      <c r="G36" s="4">
        <v>13.425000000000001</v>
      </c>
      <c r="H36" s="4">
        <v>11.708</v>
      </c>
      <c r="I36" s="4">
        <v>13.651</v>
      </c>
      <c r="J36" s="4">
        <v>9.7170000000000005</v>
      </c>
      <c r="K36" s="4">
        <v>14.356</v>
      </c>
      <c r="L36" s="4">
        <v>13.727</v>
      </c>
      <c r="M36" s="4">
        <v>15.694000000000001</v>
      </c>
      <c r="N36" s="4">
        <v>10.788</v>
      </c>
      <c r="O36" s="4">
        <v>14.454000000000001</v>
      </c>
      <c r="P36" s="4">
        <v>9.8160000000000007</v>
      </c>
      <c r="Q36" s="4">
        <v>13.762</v>
      </c>
      <c r="R36" s="4">
        <v>8.27</v>
      </c>
      <c r="S36" s="4">
        <v>8.6020000000000003</v>
      </c>
      <c r="T36" s="4">
        <v>13.839</v>
      </c>
      <c r="U36" s="4">
        <v>13.840999999999999</v>
      </c>
      <c r="V36" s="4">
        <v>14.234999999999999</v>
      </c>
      <c r="W36" s="4">
        <v>15.817</v>
      </c>
      <c r="X36" s="4">
        <v>14.090999999999999</v>
      </c>
      <c r="Y36" s="4">
        <v>12.955</v>
      </c>
      <c r="Z36" s="4">
        <v>15.827</v>
      </c>
      <c r="AA36" s="4">
        <v>14.138999999999999</v>
      </c>
      <c r="AB36" s="4">
        <v>9.8870000000000005</v>
      </c>
      <c r="AC36" s="4">
        <v>15.717000000000001</v>
      </c>
      <c r="AD36" s="4">
        <v>9.8930000000000007</v>
      </c>
      <c r="AE36" s="4">
        <v>14.208</v>
      </c>
      <c r="AF36" s="4">
        <v>12.202999999999999</v>
      </c>
      <c r="AG36" s="4">
        <v>13.779</v>
      </c>
      <c r="AH36" s="4">
        <v>15.606</v>
      </c>
      <c r="AI36" s="4">
        <v>12.923</v>
      </c>
      <c r="AJ36" s="4">
        <v>14.217000000000001</v>
      </c>
      <c r="AK36" s="4">
        <v>10.558</v>
      </c>
      <c r="AL36" s="4">
        <v>14.186999999999999</v>
      </c>
      <c r="AM36" s="4">
        <v>14.933999999999999</v>
      </c>
      <c r="AN36" s="4">
        <v>16.376000000000001</v>
      </c>
      <c r="AO36" s="4">
        <v>13.519</v>
      </c>
      <c r="AP36" s="4">
        <v>14.757999999999999</v>
      </c>
      <c r="AQ36" s="4">
        <v>13.742000000000001</v>
      </c>
      <c r="AR36" s="4">
        <v>11.943</v>
      </c>
      <c r="AS36" s="4">
        <v>9.9619999999999997</v>
      </c>
      <c r="AT36" s="4">
        <v>11.884</v>
      </c>
      <c r="AU36" s="4">
        <v>13.913</v>
      </c>
      <c r="AV36" s="4">
        <v>13.699</v>
      </c>
      <c r="AW36" s="4">
        <v>13.599</v>
      </c>
      <c r="AX36" s="4">
        <v>14.061</v>
      </c>
      <c r="AY36" s="4">
        <v>14.361000000000001</v>
      </c>
      <c r="AZ36" s="4">
        <v>15.698</v>
      </c>
      <c r="BA36" s="4">
        <v>14.393000000000001</v>
      </c>
      <c r="BB36" s="4">
        <v>13.084</v>
      </c>
      <c r="BC36" s="4">
        <v>15.818</v>
      </c>
      <c r="BD36" s="4">
        <v>13.949</v>
      </c>
      <c r="BE36" s="4">
        <v>16.908000000000001</v>
      </c>
      <c r="BF36" s="4">
        <v>14.12</v>
      </c>
      <c r="BG36" s="4">
        <v>13.353999999999999</v>
      </c>
      <c r="BH36" s="4">
        <v>12.818</v>
      </c>
      <c r="BI36" s="4">
        <v>14.242000000000001</v>
      </c>
      <c r="BJ36" s="4">
        <v>13.987</v>
      </c>
      <c r="BK36" s="4">
        <v>9.8330000000000002</v>
      </c>
      <c r="BL36" s="4">
        <v>14.154999999999999</v>
      </c>
      <c r="BM36" s="4">
        <v>9.6639999999999997</v>
      </c>
      <c r="BN36" s="4">
        <v>9.1440000000000001</v>
      </c>
      <c r="BO36" s="4">
        <v>12.595000000000001</v>
      </c>
      <c r="BP36" s="4">
        <v>8.0410000000000004</v>
      </c>
      <c r="BQ36" s="4">
        <v>13.004</v>
      </c>
      <c r="BR36" s="4">
        <v>13.76</v>
      </c>
      <c r="BS36" s="4">
        <v>13.984999999999999</v>
      </c>
      <c r="BT36" s="4">
        <v>13.581</v>
      </c>
      <c r="BU36" s="4">
        <v>16.001000000000001</v>
      </c>
      <c r="BV36" s="4">
        <v>14.805</v>
      </c>
      <c r="BW36" s="4">
        <v>14.778</v>
      </c>
      <c r="BX36" s="4">
        <v>14.249000000000001</v>
      </c>
      <c r="BY36" s="4">
        <v>14.420999999999999</v>
      </c>
      <c r="BZ36" s="4">
        <v>14.461</v>
      </c>
      <c r="CA36" s="4">
        <v>13.288</v>
      </c>
      <c r="CB36" s="4">
        <v>13.128</v>
      </c>
      <c r="CC36" s="4">
        <v>14.118</v>
      </c>
      <c r="CD36" s="4">
        <v>13.795999999999999</v>
      </c>
      <c r="CE36" s="4">
        <v>14.483000000000001</v>
      </c>
      <c r="CF36" s="4">
        <v>10.629</v>
      </c>
      <c r="CG36" s="4">
        <v>13.788</v>
      </c>
      <c r="CH36" s="4">
        <v>10.01</v>
      </c>
      <c r="CI36" s="4">
        <v>11.949</v>
      </c>
      <c r="CJ36" s="4">
        <v>15.436</v>
      </c>
      <c r="CK36" s="4">
        <v>14.417999999999999</v>
      </c>
      <c r="CL36" s="4">
        <v>12.856</v>
      </c>
      <c r="CM36" s="4">
        <v>10.141</v>
      </c>
      <c r="CN36" s="4">
        <v>16.222999999999999</v>
      </c>
      <c r="CO36" s="4">
        <v>8.0860000000000003</v>
      </c>
      <c r="CP36" s="4">
        <v>14.247</v>
      </c>
      <c r="CQ36" s="4">
        <v>14.712</v>
      </c>
      <c r="CR36" s="4">
        <v>12.823</v>
      </c>
      <c r="CS36" s="4">
        <v>16.274999999999999</v>
      </c>
      <c r="CT36" s="4">
        <v>14.231</v>
      </c>
      <c r="CU36" s="4">
        <v>15.048</v>
      </c>
      <c r="CV36" s="4">
        <v>15.157999999999999</v>
      </c>
      <c r="CW36" s="4">
        <v>14.544</v>
      </c>
      <c r="CX36" s="4">
        <v>14.318</v>
      </c>
      <c r="CY36" s="4">
        <v>12.678000000000001</v>
      </c>
      <c r="CZ36" s="4">
        <v>14.042</v>
      </c>
      <c r="DA36" s="4">
        <v>13.879</v>
      </c>
      <c r="DB36" s="4">
        <v>15.035</v>
      </c>
      <c r="DC36" s="4">
        <v>8.92</v>
      </c>
      <c r="DD36" s="4">
        <v>14.038</v>
      </c>
      <c r="DE36" s="4">
        <v>10.436</v>
      </c>
      <c r="DF36" s="4">
        <v>9.8800000000000008</v>
      </c>
      <c r="DG36" s="4">
        <v>14.978999999999999</v>
      </c>
      <c r="DH36" s="4">
        <v>8.2780000000000005</v>
      </c>
      <c r="DI36" s="4">
        <v>14.864000000000001</v>
      </c>
      <c r="DJ36" s="4">
        <v>14.61</v>
      </c>
      <c r="DK36" s="4">
        <v>13.49</v>
      </c>
      <c r="DL36" s="4">
        <v>15.457000000000001</v>
      </c>
      <c r="DM36" s="4">
        <v>14.492000000000001</v>
      </c>
      <c r="DN36" s="4">
        <v>14.013999999999999</v>
      </c>
      <c r="DO36" s="4">
        <v>16.163</v>
      </c>
      <c r="DP36" s="4">
        <v>14.051</v>
      </c>
      <c r="DQ36" s="4">
        <v>14.465</v>
      </c>
      <c r="DR36" s="4">
        <v>8.125</v>
      </c>
      <c r="DS36" s="4">
        <v>13.754</v>
      </c>
      <c r="DT36" s="4">
        <v>14.891</v>
      </c>
      <c r="DU36" s="4">
        <v>14.037000000000001</v>
      </c>
      <c r="DV36" s="4">
        <v>14.122</v>
      </c>
      <c r="DW36" s="4">
        <v>12.817</v>
      </c>
      <c r="DX36" s="4">
        <v>11.352</v>
      </c>
      <c r="DY36" s="4">
        <v>14.955</v>
      </c>
      <c r="DZ36" s="4">
        <v>14.241</v>
      </c>
      <c r="EA36" s="4">
        <v>14.198</v>
      </c>
      <c r="EB36" s="4">
        <v>15.244</v>
      </c>
      <c r="EC36" s="4">
        <v>15.823</v>
      </c>
      <c r="ED36" s="4">
        <v>14.532</v>
      </c>
      <c r="EE36" s="4">
        <v>7.6890000000000001</v>
      </c>
      <c r="EF36" s="4">
        <v>16.452000000000002</v>
      </c>
      <c r="EG36" s="4">
        <v>14.175000000000001</v>
      </c>
      <c r="EH36" s="4">
        <v>13.988</v>
      </c>
      <c r="EI36" s="4">
        <v>12.692</v>
      </c>
      <c r="EJ36" s="4">
        <v>14.78</v>
      </c>
      <c r="EK36" s="4">
        <v>13.534000000000001</v>
      </c>
      <c r="EL36" s="4">
        <v>14.614000000000001</v>
      </c>
      <c r="EM36" s="4">
        <v>15.122999999999999</v>
      </c>
      <c r="EN36" s="4">
        <v>14.696</v>
      </c>
      <c r="EO36" s="4">
        <v>13.35</v>
      </c>
      <c r="EP36" s="4">
        <v>14.851000000000001</v>
      </c>
      <c r="EQ36" s="4">
        <v>13.414999999999999</v>
      </c>
      <c r="ER36" s="4">
        <v>11.926</v>
      </c>
      <c r="ES36" s="4">
        <v>16.395</v>
      </c>
      <c r="ET36" s="4">
        <v>13.097</v>
      </c>
      <c r="EU36" s="4">
        <v>10.56</v>
      </c>
      <c r="EV36" s="4">
        <v>16.151</v>
      </c>
      <c r="EW36" s="4">
        <v>9.6159999999999997</v>
      </c>
      <c r="EX36" s="4">
        <v>15.534000000000001</v>
      </c>
      <c r="EY36" s="4">
        <v>8.9250000000000007</v>
      </c>
      <c r="EZ36" s="4">
        <v>14.247</v>
      </c>
      <c r="FA36" s="4">
        <v>16.483000000000001</v>
      </c>
      <c r="FB36" s="4">
        <v>12.122999999999999</v>
      </c>
      <c r="FC36" s="4">
        <v>15.047000000000001</v>
      </c>
      <c r="FD36" s="4">
        <v>13.864000000000001</v>
      </c>
      <c r="FE36" s="4">
        <v>13.846</v>
      </c>
      <c r="FF36" s="4">
        <v>14.788</v>
      </c>
      <c r="FG36" s="4">
        <v>14.859</v>
      </c>
      <c r="FH36" s="4">
        <v>15.741</v>
      </c>
      <c r="FI36" s="4">
        <v>14.968999999999999</v>
      </c>
      <c r="FJ36" s="4">
        <v>12.956</v>
      </c>
      <c r="FK36" s="4">
        <v>15.214</v>
      </c>
      <c r="FL36" s="4">
        <v>14.805</v>
      </c>
      <c r="FM36" s="4">
        <v>13.683999999999999</v>
      </c>
      <c r="FN36" s="4">
        <v>14.536</v>
      </c>
      <c r="FO36" s="4">
        <v>13.42</v>
      </c>
      <c r="FP36" s="4">
        <v>14.646000000000001</v>
      </c>
      <c r="FQ36" s="4">
        <v>13.606</v>
      </c>
      <c r="FR36" s="4">
        <v>13.423999999999999</v>
      </c>
      <c r="FS36" s="4">
        <v>12.858000000000001</v>
      </c>
      <c r="FT36" s="4">
        <v>11.993</v>
      </c>
      <c r="FU36" s="4">
        <v>10.961</v>
      </c>
      <c r="FV36" s="4">
        <v>14.523</v>
      </c>
      <c r="FW36" s="4">
        <v>13.236000000000001</v>
      </c>
      <c r="FX36" s="4">
        <v>9.2070000000000007</v>
      </c>
      <c r="FY36" s="4">
        <v>13.965</v>
      </c>
      <c r="FZ36" s="4">
        <v>14.308</v>
      </c>
      <c r="GA36" s="4">
        <v>14.289</v>
      </c>
      <c r="GB36" s="4">
        <v>13.878</v>
      </c>
      <c r="GC36" s="4">
        <v>12.438000000000001</v>
      </c>
      <c r="GD36" s="4">
        <v>14.055</v>
      </c>
      <c r="GE36" s="4">
        <v>14.276</v>
      </c>
      <c r="GF36" s="4">
        <v>14.369</v>
      </c>
      <c r="GG36" s="4">
        <v>11.083</v>
      </c>
      <c r="GH36" s="4">
        <v>12.646000000000001</v>
      </c>
      <c r="GI36" s="4">
        <v>15.292999999999999</v>
      </c>
      <c r="GJ36" s="4">
        <v>13.821999999999999</v>
      </c>
      <c r="GK36" s="4">
        <v>14.705</v>
      </c>
      <c r="GL36" s="4">
        <v>14.3</v>
      </c>
      <c r="GM36" s="4">
        <v>14.103</v>
      </c>
      <c r="GN36" s="4">
        <v>10.846</v>
      </c>
      <c r="GO36" s="4">
        <v>12.94</v>
      </c>
      <c r="GP36" s="4">
        <v>12.95</v>
      </c>
      <c r="GQ36" s="4">
        <v>9.5579999999999998</v>
      </c>
      <c r="GR36" s="4">
        <v>9.5399999999999991</v>
      </c>
      <c r="GS36" s="4">
        <v>14.331</v>
      </c>
      <c r="GT36" s="4">
        <v>8.9359999999999999</v>
      </c>
      <c r="GU36" s="4">
        <v>15.316000000000001</v>
      </c>
      <c r="GV36" s="4">
        <v>14.214</v>
      </c>
      <c r="GW36" s="4">
        <v>10.058999999999999</v>
      </c>
      <c r="GX36" s="4">
        <v>12.643000000000001</v>
      </c>
      <c r="GY36" s="4">
        <v>8.048</v>
      </c>
      <c r="GZ36" s="4">
        <v>10.263</v>
      </c>
      <c r="HA36" s="4">
        <v>14.856999999999999</v>
      </c>
      <c r="HB36" s="4">
        <v>14.265000000000001</v>
      </c>
      <c r="HC36" s="4">
        <v>13.252000000000001</v>
      </c>
      <c r="HD36" s="4">
        <v>14.664999999999999</v>
      </c>
      <c r="HE36" s="4">
        <v>11.119</v>
      </c>
      <c r="HF36" s="4">
        <v>12.965999999999999</v>
      </c>
      <c r="HG36" s="4">
        <v>10.859</v>
      </c>
      <c r="HH36" s="4">
        <v>15.048999999999999</v>
      </c>
      <c r="HI36" s="4">
        <v>12.858000000000001</v>
      </c>
      <c r="HJ36" s="4">
        <v>13.448</v>
      </c>
      <c r="HK36" s="4">
        <v>14.324</v>
      </c>
      <c r="HL36" s="4">
        <v>16.254999999999999</v>
      </c>
      <c r="HM36" s="4">
        <v>15.368</v>
      </c>
      <c r="HN36" s="4">
        <v>14.635999999999999</v>
      </c>
      <c r="HO36" s="4">
        <v>10.362</v>
      </c>
      <c r="HP36" s="4">
        <v>13.196</v>
      </c>
      <c r="HQ36" s="4">
        <v>14.411</v>
      </c>
      <c r="HR36" s="4">
        <v>15.762</v>
      </c>
      <c r="HS36" s="4">
        <v>13.260999999999999</v>
      </c>
      <c r="HT36" s="4">
        <v>13.144</v>
      </c>
      <c r="HU36" s="4">
        <v>13.03</v>
      </c>
      <c r="HV36" s="4">
        <v>14.577</v>
      </c>
      <c r="HW36" s="4">
        <v>14.436</v>
      </c>
      <c r="HX36" s="4">
        <v>10.576000000000001</v>
      </c>
      <c r="HY36" s="4">
        <v>14.835000000000001</v>
      </c>
      <c r="HZ36" s="4">
        <v>14.986000000000001</v>
      </c>
      <c r="IA36" s="4">
        <v>15.202</v>
      </c>
      <c r="IB36" s="4">
        <v>8.7680000000000007</v>
      </c>
      <c r="IC36" s="4">
        <v>15.759</v>
      </c>
      <c r="ID36" s="4">
        <v>16.074999999999999</v>
      </c>
      <c r="IE36" s="4">
        <v>15.233000000000001</v>
      </c>
      <c r="IF36" s="4">
        <v>15.08</v>
      </c>
      <c r="IG36" s="4">
        <v>14.775</v>
      </c>
      <c r="IH36" s="4">
        <v>13.561</v>
      </c>
      <c r="II36" s="4">
        <v>9.7680000000000007</v>
      </c>
      <c r="IJ36" s="4">
        <v>9.1180000000000003</v>
      </c>
      <c r="IK36" s="4">
        <v>14.317</v>
      </c>
      <c r="IL36" s="4">
        <v>15.435</v>
      </c>
      <c r="IM36" s="4">
        <v>9.9920000000000009</v>
      </c>
      <c r="IN36" s="4">
        <v>15.028</v>
      </c>
      <c r="IO36" s="4">
        <v>12.141</v>
      </c>
      <c r="IP36" s="4">
        <v>13.641</v>
      </c>
      <c r="IQ36" s="4">
        <v>13.516999999999999</v>
      </c>
      <c r="IR36" s="4">
        <v>15.738</v>
      </c>
      <c r="IS36" s="4">
        <v>15.936999999999999</v>
      </c>
      <c r="IT36" s="4">
        <v>10.956</v>
      </c>
      <c r="IU36" s="4">
        <v>13.864000000000001</v>
      </c>
      <c r="IV36" s="4">
        <v>10.833</v>
      </c>
      <c r="IW36" s="4">
        <v>14.590999999999999</v>
      </c>
      <c r="IX36" s="4">
        <v>9.8829999999999991</v>
      </c>
      <c r="IY36" s="4">
        <v>15.045999999999999</v>
      </c>
      <c r="IZ36" s="4">
        <v>13.116</v>
      </c>
      <c r="JA36" s="4">
        <v>14.683999999999999</v>
      </c>
      <c r="JB36" s="4">
        <v>14.329000000000001</v>
      </c>
      <c r="JC36" s="4">
        <v>13.036</v>
      </c>
      <c r="JD36" s="4">
        <v>11.643000000000001</v>
      </c>
      <c r="JE36" s="4">
        <v>13.449</v>
      </c>
      <c r="JF36" s="4">
        <v>15.894</v>
      </c>
      <c r="JG36" s="4">
        <v>15.414</v>
      </c>
      <c r="JH36" s="4">
        <v>14.821</v>
      </c>
      <c r="JI36" s="4">
        <v>14.821</v>
      </c>
      <c r="JJ36" s="4">
        <v>13.48</v>
      </c>
      <c r="JK36" s="4">
        <v>14.33</v>
      </c>
      <c r="JL36" s="4">
        <v>13.708</v>
      </c>
      <c r="JM36" s="4">
        <v>16.442</v>
      </c>
      <c r="JN36" s="4">
        <v>14.744</v>
      </c>
      <c r="JO36" s="4">
        <v>14.074999999999999</v>
      </c>
      <c r="JP36" s="4">
        <v>14.242000000000001</v>
      </c>
      <c r="JQ36" s="4">
        <v>14.856999999999999</v>
      </c>
      <c r="JR36" s="4">
        <v>14.156000000000001</v>
      </c>
      <c r="JS36" s="4">
        <v>13.468</v>
      </c>
      <c r="JT36" s="4">
        <v>10.802</v>
      </c>
      <c r="JU36" s="4">
        <v>14.638</v>
      </c>
      <c r="JV36" s="4">
        <v>14.53</v>
      </c>
      <c r="JW36" s="4">
        <v>14.933</v>
      </c>
      <c r="JX36" s="4">
        <v>13.38</v>
      </c>
      <c r="JY36" s="4">
        <v>14.606999999999999</v>
      </c>
      <c r="JZ36" s="4">
        <v>13.727</v>
      </c>
      <c r="KA36" s="4">
        <v>14.882</v>
      </c>
      <c r="KB36" s="4">
        <v>10.262</v>
      </c>
      <c r="KC36" s="4">
        <v>12.651</v>
      </c>
      <c r="KD36" s="4">
        <v>14.741</v>
      </c>
      <c r="KE36" s="4">
        <v>16.102</v>
      </c>
      <c r="KF36" s="4">
        <v>14.154999999999999</v>
      </c>
      <c r="KG36" s="4">
        <v>14.242000000000001</v>
      </c>
      <c r="KH36" s="4">
        <v>13.73</v>
      </c>
      <c r="KI36" s="4">
        <v>14.194000000000001</v>
      </c>
      <c r="KJ36" s="4">
        <v>14.753</v>
      </c>
      <c r="KK36" s="4">
        <v>13.72</v>
      </c>
      <c r="KL36" s="4">
        <v>13.853999999999999</v>
      </c>
      <c r="KM36" s="4">
        <v>9.2249999999999996</v>
      </c>
      <c r="KN36" s="4">
        <v>13.84</v>
      </c>
      <c r="KO36" s="4">
        <v>9.8279999999999994</v>
      </c>
      <c r="KP36" s="4">
        <v>14.259</v>
      </c>
      <c r="KQ36" s="4">
        <v>14.42</v>
      </c>
      <c r="KR36" s="4">
        <v>13.763</v>
      </c>
      <c r="KS36" s="4">
        <v>16.042000000000002</v>
      </c>
    </row>
    <row r="37" spans="1:305" x14ac:dyDescent="0.25">
      <c r="A37" s="4">
        <v>2016</v>
      </c>
      <c r="B37" s="4">
        <v>10</v>
      </c>
      <c r="C37" s="4">
        <v>0.56699999999999995</v>
      </c>
      <c r="D37" s="4">
        <v>7.2560000000000002</v>
      </c>
      <c r="E37" s="4">
        <v>7.1260000000000003</v>
      </c>
      <c r="F37" s="4">
        <v>6.5350000000000001</v>
      </c>
      <c r="G37" s="4">
        <v>6.9420000000000002</v>
      </c>
      <c r="H37" s="4">
        <v>3.1240000000000001</v>
      </c>
      <c r="I37" s="4">
        <v>6.5460000000000003</v>
      </c>
      <c r="J37" s="4">
        <v>2.0019999999999998</v>
      </c>
      <c r="K37" s="4">
        <v>6.734</v>
      </c>
      <c r="L37" s="4">
        <v>6.0519999999999996</v>
      </c>
      <c r="M37" s="4">
        <v>8.0749999999999993</v>
      </c>
      <c r="N37" s="4">
        <v>2.524</v>
      </c>
      <c r="O37" s="4">
        <v>6.6079999999999997</v>
      </c>
      <c r="P37" s="4">
        <v>1.1579999999999999</v>
      </c>
      <c r="Q37" s="4">
        <v>5.3159999999999998</v>
      </c>
      <c r="R37" s="4">
        <v>0.82599999999999996</v>
      </c>
      <c r="S37" s="4">
        <v>1.159</v>
      </c>
      <c r="T37" s="4">
        <v>5.5250000000000004</v>
      </c>
      <c r="U37" s="4">
        <v>6.0119999999999996</v>
      </c>
      <c r="V37" s="4">
        <v>6.2030000000000003</v>
      </c>
      <c r="W37" s="4">
        <v>8.1069999999999993</v>
      </c>
      <c r="X37" s="4">
        <v>6.8559999999999999</v>
      </c>
      <c r="Y37" s="4">
        <v>5.4039999999999999</v>
      </c>
      <c r="Z37" s="4">
        <v>8.0340000000000007</v>
      </c>
      <c r="AA37" s="4">
        <v>6.077</v>
      </c>
      <c r="AB37" s="4">
        <v>2.0910000000000002</v>
      </c>
      <c r="AC37" s="4">
        <v>8.0510000000000002</v>
      </c>
      <c r="AD37" s="4">
        <v>2.5640000000000001</v>
      </c>
      <c r="AE37" s="4">
        <v>6.5810000000000004</v>
      </c>
      <c r="AF37" s="4">
        <v>4.444</v>
      </c>
      <c r="AG37" s="4">
        <v>6.19</v>
      </c>
      <c r="AH37" s="4">
        <v>8.702</v>
      </c>
      <c r="AI37" s="4">
        <v>4.8390000000000004</v>
      </c>
      <c r="AJ37" s="4">
        <v>6.9329999999999998</v>
      </c>
      <c r="AK37" s="4">
        <v>1.9750000000000001</v>
      </c>
      <c r="AL37" s="4">
        <v>7.593</v>
      </c>
      <c r="AM37" s="4">
        <v>8.3079999999999998</v>
      </c>
      <c r="AN37" s="4">
        <v>8.8290000000000006</v>
      </c>
      <c r="AO37" s="4">
        <v>4.835</v>
      </c>
      <c r="AP37" s="4">
        <v>7.1269999999999998</v>
      </c>
      <c r="AQ37" s="4">
        <v>5.7160000000000002</v>
      </c>
      <c r="AR37" s="4">
        <v>4.1950000000000003</v>
      </c>
      <c r="AS37" s="4">
        <v>1.766</v>
      </c>
      <c r="AT37" s="4">
        <v>3.6360000000000001</v>
      </c>
      <c r="AU37" s="4">
        <v>5.9370000000000003</v>
      </c>
      <c r="AV37" s="4">
        <v>5.9850000000000003</v>
      </c>
      <c r="AW37" s="4">
        <v>6.899</v>
      </c>
      <c r="AX37" s="4">
        <v>6.5460000000000003</v>
      </c>
      <c r="AY37" s="4">
        <v>6.6879999999999997</v>
      </c>
      <c r="AZ37" s="4">
        <v>8.26</v>
      </c>
      <c r="BA37" s="4">
        <v>6.5270000000000001</v>
      </c>
      <c r="BB37" s="4">
        <v>5.3520000000000003</v>
      </c>
      <c r="BC37" s="4">
        <v>8.0250000000000004</v>
      </c>
      <c r="BD37" s="4">
        <v>5.91</v>
      </c>
      <c r="BE37" s="4">
        <v>9.6539999999999999</v>
      </c>
      <c r="BF37" s="4">
        <v>6.649</v>
      </c>
      <c r="BG37" s="4">
        <v>5.1689999999999996</v>
      </c>
      <c r="BH37" s="4">
        <v>5.9429999999999996</v>
      </c>
      <c r="BI37" s="4">
        <v>6.7560000000000002</v>
      </c>
      <c r="BJ37" s="4">
        <v>6.7380000000000004</v>
      </c>
      <c r="BK37" s="4">
        <v>1.8129999999999999</v>
      </c>
      <c r="BL37" s="4">
        <v>6.0270000000000001</v>
      </c>
      <c r="BM37" s="4">
        <v>1.7769999999999999</v>
      </c>
      <c r="BN37" s="4">
        <v>0.875</v>
      </c>
      <c r="BO37" s="4">
        <v>4.2530000000000001</v>
      </c>
      <c r="BP37" s="4">
        <v>0.60499999999999998</v>
      </c>
      <c r="BQ37" s="4">
        <v>6.0590000000000002</v>
      </c>
      <c r="BR37" s="4">
        <v>6.42</v>
      </c>
      <c r="BS37" s="4">
        <v>6.8310000000000004</v>
      </c>
      <c r="BT37" s="4">
        <v>6.3339999999999996</v>
      </c>
      <c r="BU37" s="4">
        <v>7.8079999999999998</v>
      </c>
      <c r="BV37" s="4">
        <v>6.851</v>
      </c>
      <c r="BW37" s="4">
        <v>6.9930000000000003</v>
      </c>
      <c r="BX37" s="4">
        <v>6.33</v>
      </c>
      <c r="BY37" s="4">
        <v>6.6029999999999998</v>
      </c>
      <c r="BZ37" s="4">
        <v>6.8230000000000004</v>
      </c>
      <c r="CA37" s="4">
        <v>4.8120000000000003</v>
      </c>
      <c r="CB37" s="4">
        <v>4.9059999999999997</v>
      </c>
      <c r="CC37" s="4">
        <v>6.1239999999999997</v>
      </c>
      <c r="CD37" s="4">
        <v>6.19</v>
      </c>
      <c r="CE37" s="4">
        <v>6.6980000000000004</v>
      </c>
      <c r="CF37" s="4">
        <v>2.589</v>
      </c>
      <c r="CG37" s="4">
        <v>7.0060000000000002</v>
      </c>
      <c r="CH37" s="4">
        <v>3.472</v>
      </c>
      <c r="CI37" s="4">
        <v>5.1230000000000002</v>
      </c>
      <c r="CJ37" s="4">
        <v>7.3179999999999996</v>
      </c>
      <c r="CK37" s="4">
        <v>7.6120000000000001</v>
      </c>
      <c r="CL37" s="4">
        <v>5.1360000000000001</v>
      </c>
      <c r="CM37" s="4">
        <v>0.73499999999999999</v>
      </c>
      <c r="CN37" s="4">
        <v>8.407</v>
      </c>
      <c r="CO37" s="4">
        <v>0.20899999999999999</v>
      </c>
      <c r="CP37" s="4">
        <v>6.2350000000000003</v>
      </c>
      <c r="CQ37" s="4">
        <v>6.9939999999999998</v>
      </c>
      <c r="CR37" s="4">
        <v>5.0579999999999998</v>
      </c>
      <c r="CS37" s="4">
        <v>8.6769999999999996</v>
      </c>
      <c r="CT37" s="4">
        <v>7.1920000000000002</v>
      </c>
      <c r="CU37" s="4">
        <v>7.8730000000000002</v>
      </c>
      <c r="CV37" s="4">
        <v>7.8520000000000003</v>
      </c>
      <c r="CW37" s="4">
        <v>6.6</v>
      </c>
      <c r="CX37" s="4">
        <v>7.0609999999999999</v>
      </c>
      <c r="CY37" s="4">
        <v>5.3570000000000002</v>
      </c>
      <c r="CZ37" s="4">
        <v>6.9029999999999996</v>
      </c>
      <c r="DA37" s="4">
        <v>6.7969999999999997</v>
      </c>
      <c r="DB37" s="4">
        <v>7.2169999999999996</v>
      </c>
      <c r="DC37" s="4">
        <v>1.0820000000000001</v>
      </c>
      <c r="DD37" s="4">
        <v>6.4710000000000001</v>
      </c>
      <c r="DE37" s="4">
        <v>2.387</v>
      </c>
      <c r="DF37" s="4">
        <v>2.9</v>
      </c>
      <c r="DG37" s="4">
        <v>8.4619999999999997</v>
      </c>
      <c r="DH37" s="4">
        <v>0.68600000000000005</v>
      </c>
      <c r="DI37" s="4">
        <v>7.335</v>
      </c>
      <c r="DJ37" s="4">
        <v>8.0399999999999991</v>
      </c>
      <c r="DK37" s="4">
        <v>5.4909999999999997</v>
      </c>
      <c r="DL37" s="4">
        <v>8.6180000000000003</v>
      </c>
      <c r="DM37" s="4">
        <v>6.5039999999999996</v>
      </c>
      <c r="DN37" s="4">
        <v>6.7539999999999996</v>
      </c>
      <c r="DO37" s="4">
        <v>8.5820000000000007</v>
      </c>
      <c r="DP37" s="4">
        <v>6.0110000000000001</v>
      </c>
      <c r="DQ37" s="4">
        <v>6.8479999999999999</v>
      </c>
      <c r="DR37" s="4">
        <v>0.13300000000000001</v>
      </c>
      <c r="DS37" s="4">
        <v>6.6349999999999998</v>
      </c>
      <c r="DT37" s="4">
        <v>7.7380000000000004</v>
      </c>
      <c r="DU37" s="4">
        <v>6.4089999999999998</v>
      </c>
      <c r="DV37" s="4">
        <v>6.4039999999999999</v>
      </c>
      <c r="DW37" s="4">
        <v>4.7089999999999996</v>
      </c>
      <c r="DX37" s="4">
        <v>3.8959999999999999</v>
      </c>
      <c r="DY37" s="4">
        <v>8.3130000000000006</v>
      </c>
      <c r="DZ37" s="4">
        <v>6.2869999999999999</v>
      </c>
      <c r="EA37" s="4">
        <v>6.242</v>
      </c>
      <c r="EB37" s="4">
        <v>7.327</v>
      </c>
      <c r="EC37" s="4">
        <v>7.851</v>
      </c>
      <c r="ED37" s="4">
        <v>6.6509999999999998</v>
      </c>
      <c r="EE37" s="4">
        <v>-0.2</v>
      </c>
      <c r="EF37" s="4">
        <v>8.7409999999999997</v>
      </c>
      <c r="EG37" s="4">
        <v>6.0209999999999999</v>
      </c>
      <c r="EH37" s="4">
        <v>6.0720000000000001</v>
      </c>
      <c r="EI37" s="4">
        <v>4.2850000000000001</v>
      </c>
      <c r="EJ37" s="4">
        <v>6.8630000000000004</v>
      </c>
      <c r="EK37" s="4">
        <v>6.5720000000000001</v>
      </c>
      <c r="EL37" s="4">
        <v>7.1680000000000001</v>
      </c>
      <c r="EM37" s="4">
        <v>7.3129999999999997</v>
      </c>
      <c r="EN37" s="4">
        <v>6.9619999999999997</v>
      </c>
      <c r="EO37" s="4">
        <v>5.5220000000000002</v>
      </c>
      <c r="EP37" s="4">
        <v>7.0309999999999997</v>
      </c>
      <c r="EQ37" s="4">
        <v>6.7279999999999998</v>
      </c>
      <c r="ER37" s="4">
        <v>3.7429999999999999</v>
      </c>
      <c r="ES37" s="4">
        <v>8.8460000000000001</v>
      </c>
      <c r="ET37" s="4">
        <v>4.6879999999999997</v>
      </c>
      <c r="EU37" s="4">
        <v>3.6469999999999998</v>
      </c>
      <c r="EV37" s="4">
        <v>8.593</v>
      </c>
      <c r="EW37" s="4">
        <v>1.637</v>
      </c>
      <c r="EX37" s="4">
        <v>7.7690000000000001</v>
      </c>
      <c r="EY37" s="4">
        <v>1.2450000000000001</v>
      </c>
      <c r="EZ37" s="4">
        <v>6.4550000000000001</v>
      </c>
      <c r="FA37" s="4">
        <v>8.9209999999999994</v>
      </c>
      <c r="FB37" s="4">
        <v>3.2090000000000001</v>
      </c>
      <c r="FC37" s="4">
        <v>7.2889999999999997</v>
      </c>
      <c r="FD37" s="4">
        <v>7.05</v>
      </c>
      <c r="FE37" s="4">
        <v>6.3310000000000004</v>
      </c>
      <c r="FF37" s="4">
        <v>7.327</v>
      </c>
      <c r="FG37" s="4">
        <v>6.8029999999999999</v>
      </c>
      <c r="FH37" s="4">
        <v>7.577</v>
      </c>
      <c r="FI37" s="4">
        <v>8.2650000000000006</v>
      </c>
      <c r="FJ37" s="4">
        <v>4.4039999999999999</v>
      </c>
      <c r="FK37" s="4">
        <v>8.5419999999999998</v>
      </c>
      <c r="FL37" s="4">
        <v>6.8710000000000004</v>
      </c>
      <c r="FM37" s="4">
        <v>5.7779999999999996</v>
      </c>
      <c r="FN37" s="4">
        <v>6.9550000000000001</v>
      </c>
      <c r="FO37" s="4">
        <v>5.2119999999999997</v>
      </c>
      <c r="FP37" s="4">
        <v>7.2539999999999996</v>
      </c>
      <c r="FQ37" s="4">
        <v>5.766</v>
      </c>
      <c r="FR37" s="4">
        <v>5.4260000000000002</v>
      </c>
      <c r="FS37" s="4">
        <v>4.7590000000000003</v>
      </c>
      <c r="FT37" s="4">
        <v>4.4550000000000001</v>
      </c>
      <c r="FU37" s="4">
        <v>3.7959999999999998</v>
      </c>
      <c r="FV37" s="4">
        <v>7.0449999999999999</v>
      </c>
      <c r="FW37" s="4">
        <v>6.6120000000000001</v>
      </c>
      <c r="FX37" s="4">
        <v>1.748</v>
      </c>
      <c r="FY37" s="4">
        <v>7.2789999999999999</v>
      </c>
      <c r="FZ37" s="4">
        <v>7.234</v>
      </c>
      <c r="GA37" s="4">
        <v>6.8949999999999996</v>
      </c>
      <c r="GB37" s="4">
        <v>7.42</v>
      </c>
      <c r="GC37" s="4">
        <v>4.9429999999999996</v>
      </c>
      <c r="GD37" s="4">
        <v>7.4029999999999996</v>
      </c>
      <c r="GE37" s="4">
        <v>6.4489999999999998</v>
      </c>
      <c r="GF37" s="4">
        <v>7.3760000000000003</v>
      </c>
      <c r="GG37" s="4">
        <v>3.931</v>
      </c>
      <c r="GH37" s="4">
        <v>4.0819999999999999</v>
      </c>
      <c r="GI37" s="4">
        <v>7.4809999999999999</v>
      </c>
      <c r="GJ37" s="4">
        <v>7.2460000000000004</v>
      </c>
      <c r="GK37" s="4">
        <v>7.9669999999999996</v>
      </c>
      <c r="GL37" s="4">
        <v>7.1059999999999999</v>
      </c>
      <c r="GM37" s="4">
        <v>6.8470000000000004</v>
      </c>
      <c r="GN37" s="4">
        <v>2.1930000000000001</v>
      </c>
      <c r="GO37" s="4">
        <v>6.4740000000000002</v>
      </c>
      <c r="GP37" s="4">
        <v>3.9870000000000001</v>
      </c>
      <c r="GQ37" s="4">
        <v>2.0760000000000001</v>
      </c>
      <c r="GR37" s="4">
        <v>2.306</v>
      </c>
      <c r="GS37" s="4">
        <v>7.6260000000000003</v>
      </c>
      <c r="GT37" s="4">
        <v>1.4430000000000001</v>
      </c>
      <c r="GU37" s="4">
        <v>7.2309999999999999</v>
      </c>
      <c r="GV37" s="4">
        <v>7.4249999999999998</v>
      </c>
      <c r="GW37" s="4">
        <v>3.1320000000000001</v>
      </c>
      <c r="GX37" s="4">
        <v>4.1900000000000004</v>
      </c>
      <c r="GY37" s="4">
        <v>0.97899999999999998</v>
      </c>
      <c r="GZ37" s="4">
        <v>3.41</v>
      </c>
      <c r="HA37" s="4">
        <v>8.2240000000000002</v>
      </c>
      <c r="HB37" s="4">
        <v>6.6260000000000003</v>
      </c>
      <c r="HC37" s="4">
        <v>5.71</v>
      </c>
      <c r="HD37" s="4">
        <v>7.0979999999999999</v>
      </c>
      <c r="HE37" s="4">
        <v>1.879</v>
      </c>
      <c r="HF37" s="4">
        <v>5.6319999999999997</v>
      </c>
      <c r="HG37" s="4">
        <v>1.0649999999999999</v>
      </c>
      <c r="HH37" s="4">
        <v>7.41</v>
      </c>
      <c r="HI37" s="4">
        <v>4.8860000000000001</v>
      </c>
      <c r="HJ37" s="4">
        <v>5.9240000000000004</v>
      </c>
      <c r="HK37" s="4">
        <v>6.6260000000000003</v>
      </c>
      <c r="HL37" s="4">
        <v>9.6910000000000007</v>
      </c>
      <c r="HM37" s="4">
        <v>8.1029999999999998</v>
      </c>
      <c r="HN37" s="4">
        <v>6.4829999999999997</v>
      </c>
      <c r="HO37" s="4">
        <v>3.4359999999999999</v>
      </c>
      <c r="HP37" s="4">
        <v>5.3159999999999998</v>
      </c>
      <c r="HQ37" s="4">
        <v>6.2779999999999996</v>
      </c>
      <c r="HR37" s="4">
        <v>8.51</v>
      </c>
      <c r="HS37" s="4">
        <v>6.5949999999999998</v>
      </c>
      <c r="HT37" s="4">
        <v>4.9550000000000001</v>
      </c>
      <c r="HU37" s="4">
        <v>5.9569999999999999</v>
      </c>
      <c r="HV37" s="4">
        <v>7.21</v>
      </c>
      <c r="HW37" s="4">
        <v>6.9829999999999997</v>
      </c>
      <c r="HX37" s="4">
        <v>2.6080000000000001</v>
      </c>
      <c r="HY37" s="4">
        <v>7.06</v>
      </c>
      <c r="HZ37" s="4">
        <v>7.2679999999999998</v>
      </c>
      <c r="IA37" s="4">
        <v>8.5640000000000001</v>
      </c>
      <c r="IB37" s="4">
        <v>0.92800000000000005</v>
      </c>
      <c r="IC37" s="4">
        <v>8.0500000000000007</v>
      </c>
      <c r="ID37" s="4">
        <v>8.5690000000000008</v>
      </c>
      <c r="IE37" s="4">
        <v>7.3129999999999997</v>
      </c>
      <c r="IF37" s="4">
        <v>7.2969999999999997</v>
      </c>
      <c r="IG37" s="4">
        <v>7.2270000000000003</v>
      </c>
      <c r="IH37" s="4">
        <v>5.5149999999999997</v>
      </c>
      <c r="II37" s="4">
        <v>0.66500000000000004</v>
      </c>
      <c r="IJ37" s="4">
        <v>1.135</v>
      </c>
      <c r="IK37" s="4">
        <v>6.7549999999999999</v>
      </c>
      <c r="IL37" s="4">
        <v>7.4029999999999996</v>
      </c>
      <c r="IM37" s="4">
        <v>2.0219999999999998</v>
      </c>
      <c r="IN37" s="4">
        <v>7.2519999999999998</v>
      </c>
      <c r="IO37" s="4">
        <v>4.742</v>
      </c>
      <c r="IP37" s="4">
        <v>5.3630000000000004</v>
      </c>
      <c r="IQ37" s="4">
        <v>5.9139999999999997</v>
      </c>
      <c r="IR37" s="4">
        <v>8.2059999999999995</v>
      </c>
      <c r="IS37" s="4">
        <v>8.4740000000000002</v>
      </c>
      <c r="IT37" s="4">
        <v>1.534</v>
      </c>
      <c r="IU37" s="4">
        <v>6.3460000000000001</v>
      </c>
      <c r="IV37" s="4">
        <v>1.885</v>
      </c>
      <c r="IW37" s="4">
        <v>6.9790000000000001</v>
      </c>
      <c r="IX37" s="4">
        <v>0.47599999999999998</v>
      </c>
      <c r="IY37" s="4">
        <v>7.0780000000000003</v>
      </c>
      <c r="IZ37" s="4">
        <v>5.7649999999999997</v>
      </c>
      <c r="JA37" s="4">
        <v>6.7649999999999997</v>
      </c>
      <c r="JB37" s="4">
        <v>6.242</v>
      </c>
      <c r="JC37" s="4">
        <v>5.9470000000000001</v>
      </c>
      <c r="JD37" s="4">
        <v>4.391</v>
      </c>
      <c r="JE37" s="4">
        <v>6.8970000000000002</v>
      </c>
      <c r="JF37" s="4">
        <v>8.032</v>
      </c>
      <c r="JG37" s="4">
        <v>8.34</v>
      </c>
      <c r="JH37" s="4">
        <v>6.9530000000000003</v>
      </c>
      <c r="JI37" s="4">
        <v>8.1460000000000008</v>
      </c>
      <c r="JJ37" s="4">
        <v>4.8179999999999996</v>
      </c>
      <c r="JK37" s="4">
        <v>6.3040000000000003</v>
      </c>
      <c r="JL37" s="4">
        <v>6.2759999999999998</v>
      </c>
      <c r="JM37" s="4">
        <v>9.1489999999999991</v>
      </c>
      <c r="JN37" s="4">
        <v>7.1369999999999996</v>
      </c>
      <c r="JO37" s="4">
        <v>7.1920000000000002</v>
      </c>
      <c r="JP37" s="4">
        <v>7.2439999999999998</v>
      </c>
      <c r="JQ37" s="4">
        <v>7.2460000000000004</v>
      </c>
      <c r="JR37" s="4">
        <v>7.07</v>
      </c>
      <c r="JS37" s="4">
        <v>5.7839999999999998</v>
      </c>
      <c r="JT37" s="4">
        <v>3.6560000000000001</v>
      </c>
      <c r="JU37" s="4">
        <v>6.9470000000000001</v>
      </c>
      <c r="JV37" s="4">
        <v>6.8070000000000004</v>
      </c>
      <c r="JW37" s="4">
        <v>7.1189999999999998</v>
      </c>
      <c r="JX37" s="4">
        <v>6.2439999999999998</v>
      </c>
      <c r="JY37" s="4">
        <v>7.5739999999999998</v>
      </c>
      <c r="JZ37" s="4">
        <v>6.3630000000000004</v>
      </c>
      <c r="KA37" s="4">
        <v>7.3120000000000003</v>
      </c>
      <c r="KB37" s="4">
        <v>2.7069999999999999</v>
      </c>
      <c r="KC37" s="4">
        <v>3.8010000000000002</v>
      </c>
      <c r="KD37" s="4">
        <v>6.7080000000000002</v>
      </c>
      <c r="KE37" s="4">
        <v>8.1069999999999993</v>
      </c>
      <c r="KF37" s="4">
        <v>6.2469999999999999</v>
      </c>
      <c r="KG37" s="4">
        <v>7.2530000000000001</v>
      </c>
      <c r="KH37" s="4">
        <v>6.47</v>
      </c>
      <c r="KI37" s="4">
        <v>6.4729999999999999</v>
      </c>
      <c r="KJ37" s="4">
        <v>8.1679999999999993</v>
      </c>
      <c r="KK37" s="4">
        <v>6.52</v>
      </c>
      <c r="KL37" s="4">
        <v>6.08</v>
      </c>
      <c r="KM37" s="4">
        <v>0.874</v>
      </c>
      <c r="KN37" s="4">
        <v>6.7789999999999999</v>
      </c>
      <c r="KO37" s="4">
        <v>2.0739999999999998</v>
      </c>
      <c r="KP37" s="4">
        <v>6.6589999999999998</v>
      </c>
      <c r="KQ37" s="4">
        <v>7.6150000000000002</v>
      </c>
      <c r="KR37" s="4">
        <v>6.1539999999999999</v>
      </c>
      <c r="KS37" s="4">
        <v>9.125</v>
      </c>
    </row>
    <row r="38" spans="1:305" x14ac:dyDescent="0.25">
      <c r="A38" s="4">
        <v>2016</v>
      </c>
      <c r="B38" s="4">
        <v>11</v>
      </c>
      <c r="C38" s="4">
        <v>-5.1859999999999999</v>
      </c>
      <c r="D38" s="4">
        <v>1.8480000000000001</v>
      </c>
      <c r="E38" s="4">
        <v>2.4630000000000001</v>
      </c>
      <c r="F38" s="4">
        <v>1.821</v>
      </c>
      <c r="G38" s="4">
        <v>1.9419999999999999</v>
      </c>
      <c r="H38" s="4">
        <v>-1.913</v>
      </c>
      <c r="I38" s="4">
        <v>1.57</v>
      </c>
      <c r="J38" s="4">
        <v>-4.9039999999999999</v>
      </c>
      <c r="K38" s="4">
        <v>1.59</v>
      </c>
      <c r="L38" s="4">
        <v>1.3220000000000001</v>
      </c>
      <c r="M38" s="4">
        <v>3.5219999999999998</v>
      </c>
      <c r="N38" s="4">
        <v>-2.8530000000000002</v>
      </c>
      <c r="O38" s="4">
        <v>1.288</v>
      </c>
      <c r="P38" s="4">
        <v>-3.4</v>
      </c>
      <c r="Q38" s="4">
        <v>0.36799999999999999</v>
      </c>
      <c r="R38" s="4">
        <v>-6.694</v>
      </c>
      <c r="S38" s="4">
        <v>-5.8220000000000001</v>
      </c>
      <c r="T38" s="4">
        <v>0.32400000000000001</v>
      </c>
      <c r="U38" s="4">
        <v>1.181</v>
      </c>
      <c r="V38" s="4">
        <v>1.427</v>
      </c>
      <c r="W38" s="4">
        <v>3.569</v>
      </c>
      <c r="X38" s="4">
        <v>1.7669999999999999</v>
      </c>
      <c r="Y38" s="4">
        <v>0.14000000000000001</v>
      </c>
      <c r="Z38" s="4">
        <v>3.6379999999999999</v>
      </c>
      <c r="AA38" s="4">
        <v>1.107</v>
      </c>
      <c r="AB38" s="4">
        <v>-2.831</v>
      </c>
      <c r="AC38" s="4">
        <v>3.5369999999999999</v>
      </c>
      <c r="AD38" s="4">
        <v>-4.609</v>
      </c>
      <c r="AE38" s="4">
        <v>1.651</v>
      </c>
      <c r="AF38" s="4">
        <v>-0.80400000000000005</v>
      </c>
      <c r="AG38" s="4">
        <v>1.3520000000000001</v>
      </c>
      <c r="AH38" s="4">
        <v>3.6829999999999998</v>
      </c>
      <c r="AI38" s="4">
        <v>-3.1E-2</v>
      </c>
      <c r="AJ38" s="4">
        <v>1.663</v>
      </c>
      <c r="AK38" s="4">
        <v>-3.165</v>
      </c>
      <c r="AL38" s="4">
        <v>2.4079999999999999</v>
      </c>
      <c r="AM38" s="4">
        <v>3.113</v>
      </c>
      <c r="AN38" s="4">
        <v>4.3470000000000004</v>
      </c>
      <c r="AO38" s="4">
        <v>-0.24299999999999999</v>
      </c>
      <c r="AP38" s="4">
        <v>1.9359999999999999</v>
      </c>
      <c r="AQ38" s="4">
        <v>0.874</v>
      </c>
      <c r="AR38" s="4">
        <v>-1.1559999999999999</v>
      </c>
      <c r="AS38" s="4">
        <v>-3.282</v>
      </c>
      <c r="AT38" s="4">
        <v>-1.0680000000000001</v>
      </c>
      <c r="AU38" s="4">
        <v>1.075</v>
      </c>
      <c r="AV38" s="4">
        <v>1.163</v>
      </c>
      <c r="AW38" s="4">
        <v>1.94</v>
      </c>
      <c r="AX38" s="4">
        <v>0.91900000000000004</v>
      </c>
      <c r="AY38" s="4">
        <v>1.3009999999999999</v>
      </c>
      <c r="AZ38" s="4">
        <v>3.4220000000000002</v>
      </c>
      <c r="BA38" s="4">
        <v>1.671</v>
      </c>
      <c r="BB38" s="4">
        <v>0.187</v>
      </c>
      <c r="BC38" s="4">
        <v>3.6930000000000001</v>
      </c>
      <c r="BD38" s="4">
        <v>1.208</v>
      </c>
      <c r="BE38" s="4">
        <v>5.4729999999999999</v>
      </c>
      <c r="BF38" s="4">
        <v>1.665</v>
      </c>
      <c r="BG38" s="4">
        <v>5.6000000000000001E-2</v>
      </c>
      <c r="BH38" s="4">
        <v>0.69599999999999995</v>
      </c>
      <c r="BI38" s="4">
        <v>1.569</v>
      </c>
      <c r="BJ38" s="4">
        <v>1.325</v>
      </c>
      <c r="BK38" s="4">
        <v>-3.4060000000000001</v>
      </c>
      <c r="BL38" s="4">
        <v>0.82299999999999995</v>
      </c>
      <c r="BM38" s="4">
        <v>-3.2850000000000001</v>
      </c>
      <c r="BN38" s="4">
        <v>-4.4320000000000004</v>
      </c>
      <c r="BO38" s="4">
        <v>-0.59499999999999997</v>
      </c>
      <c r="BP38" s="4">
        <v>-8.0690000000000008</v>
      </c>
      <c r="BQ38" s="4">
        <v>0.81699999999999995</v>
      </c>
      <c r="BR38" s="4">
        <v>1.369</v>
      </c>
      <c r="BS38" s="4">
        <v>1.351</v>
      </c>
      <c r="BT38" s="4">
        <v>1.306</v>
      </c>
      <c r="BU38" s="4">
        <v>3.3010000000000002</v>
      </c>
      <c r="BV38" s="4">
        <v>2.004</v>
      </c>
      <c r="BW38" s="4">
        <v>1.96</v>
      </c>
      <c r="BX38" s="4">
        <v>1.179</v>
      </c>
      <c r="BY38" s="4">
        <v>1.78</v>
      </c>
      <c r="BZ38" s="4">
        <v>1.357</v>
      </c>
      <c r="CA38" s="4">
        <v>-0.436</v>
      </c>
      <c r="CB38" s="4">
        <v>5.0000000000000001E-3</v>
      </c>
      <c r="CC38" s="4">
        <v>1.2849999999999999</v>
      </c>
      <c r="CD38" s="4">
        <v>0.71699999999999997</v>
      </c>
      <c r="CE38" s="4">
        <v>1.778</v>
      </c>
      <c r="CF38" s="4">
        <v>-2.8279999999999998</v>
      </c>
      <c r="CG38" s="4">
        <v>1.7529999999999999</v>
      </c>
      <c r="CH38" s="4">
        <v>-3.73</v>
      </c>
      <c r="CI38" s="4">
        <v>7.0999999999999994E-2</v>
      </c>
      <c r="CJ38" s="4">
        <v>2.6680000000000001</v>
      </c>
      <c r="CK38" s="4">
        <v>2.5390000000000001</v>
      </c>
      <c r="CL38" s="4">
        <v>4.5999999999999999E-2</v>
      </c>
      <c r="CM38" s="4">
        <v>-4.1180000000000003</v>
      </c>
      <c r="CN38" s="4">
        <v>4.0570000000000004</v>
      </c>
      <c r="CO38" s="4">
        <v>-4.6239999999999997</v>
      </c>
      <c r="CP38" s="4">
        <v>1.5169999999999999</v>
      </c>
      <c r="CQ38" s="4">
        <v>2.407</v>
      </c>
      <c r="CR38" s="4">
        <v>-0.17199999999999999</v>
      </c>
      <c r="CS38" s="4">
        <v>4.2629999999999999</v>
      </c>
      <c r="CT38" s="4">
        <v>1.8759999999999999</v>
      </c>
      <c r="CU38" s="4">
        <v>3.0019999999999998</v>
      </c>
      <c r="CV38" s="4">
        <v>3.0219999999999998</v>
      </c>
      <c r="CW38" s="4">
        <v>1.66</v>
      </c>
      <c r="CX38" s="4">
        <v>1.8120000000000001</v>
      </c>
      <c r="CY38" s="4">
        <v>0.127</v>
      </c>
      <c r="CZ38" s="4">
        <v>1.6459999999999999</v>
      </c>
      <c r="DA38" s="4">
        <v>1.8819999999999999</v>
      </c>
      <c r="DB38" s="4">
        <v>1.946</v>
      </c>
      <c r="DC38" s="4">
        <v>-7.7439999999999998</v>
      </c>
      <c r="DD38" s="4">
        <v>1.554</v>
      </c>
      <c r="DE38" s="4">
        <v>-2.74</v>
      </c>
      <c r="DF38" s="4">
        <v>-3.794</v>
      </c>
      <c r="DG38" s="4">
        <v>3.1779999999999999</v>
      </c>
      <c r="DH38" s="4">
        <v>-8.7780000000000005</v>
      </c>
      <c r="DI38" s="4">
        <v>2.516</v>
      </c>
      <c r="DJ38" s="4">
        <v>2.9550000000000001</v>
      </c>
      <c r="DK38" s="4">
        <v>0.59899999999999998</v>
      </c>
      <c r="DL38" s="4">
        <v>3.6859999999999999</v>
      </c>
      <c r="DM38" s="4">
        <v>1.4750000000000001</v>
      </c>
      <c r="DN38" s="4">
        <v>1.415</v>
      </c>
      <c r="DO38" s="4">
        <v>3.931</v>
      </c>
      <c r="DP38" s="4">
        <v>0.82599999999999996</v>
      </c>
      <c r="DQ38" s="4">
        <v>1.837</v>
      </c>
      <c r="DR38" s="4">
        <v>-8.1379999999999999</v>
      </c>
      <c r="DS38" s="4">
        <v>1.5029999999999999</v>
      </c>
      <c r="DT38" s="4">
        <v>3.0350000000000001</v>
      </c>
      <c r="DU38" s="4">
        <v>1.099</v>
      </c>
      <c r="DV38" s="4">
        <v>0.96699999999999997</v>
      </c>
      <c r="DW38" s="4">
        <v>-0.40799999999999997</v>
      </c>
      <c r="DX38" s="4">
        <v>-1.071</v>
      </c>
      <c r="DY38" s="4">
        <v>3.1030000000000002</v>
      </c>
      <c r="DZ38" s="4">
        <v>1.351</v>
      </c>
      <c r="EA38" s="4">
        <v>1.33</v>
      </c>
      <c r="EB38" s="4">
        <v>2.7330000000000001</v>
      </c>
      <c r="EC38" s="4">
        <v>3.2320000000000002</v>
      </c>
      <c r="ED38" s="4">
        <v>1.3069999999999999</v>
      </c>
      <c r="EE38" s="4">
        <v>-7.69</v>
      </c>
      <c r="EF38" s="4">
        <v>4.375</v>
      </c>
      <c r="EG38" s="4">
        <v>1.2450000000000001</v>
      </c>
      <c r="EH38" s="4">
        <v>1.135</v>
      </c>
      <c r="EI38" s="4">
        <v>-0.47599999999999998</v>
      </c>
      <c r="EJ38" s="4">
        <v>2.1880000000000002</v>
      </c>
      <c r="EK38" s="4">
        <v>1.639</v>
      </c>
      <c r="EL38" s="4">
        <v>1.9750000000000001</v>
      </c>
      <c r="EM38" s="4">
        <v>2.3010000000000002</v>
      </c>
      <c r="EN38" s="4">
        <v>2.0790000000000002</v>
      </c>
      <c r="EO38" s="4">
        <v>0.32400000000000001</v>
      </c>
      <c r="EP38" s="4">
        <v>2.1030000000000002</v>
      </c>
      <c r="EQ38" s="4">
        <v>1.792</v>
      </c>
      <c r="ER38" s="4">
        <v>-1.6879999999999999</v>
      </c>
      <c r="ES38" s="4">
        <v>4.3440000000000003</v>
      </c>
      <c r="ET38" s="4">
        <v>-0.19800000000000001</v>
      </c>
      <c r="EU38" s="4">
        <v>-3.125</v>
      </c>
      <c r="EV38" s="4">
        <v>3.9279999999999999</v>
      </c>
      <c r="EW38" s="4">
        <v>-3.6819999999999999</v>
      </c>
      <c r="EX38" s="4">
        <v>3.3370000000000002</v>
      </c>
      <c r="EY38" s="4">
        <v>-5.0579999999999998</v>
      </c>
      <c r="EZ38" s="4">
        <v>1.7010000000000001</v>
      </c>
      <c r="FA38" s="4">
        <v>4.5270000000000001</v>
      </c>
      <c r="FB38" s="4">
        <v>-1.679</v>
      </c>
      <c r="FC38" s="4">
        <v>2.46</v>
      </c>
      <c r="FD38" s="4">
        <v>2.21</v>
      </c>
      <c r="FE38" s="4">
        <v>1.022</v>
      </c>
      <c r="FF38" s="4">
        <v>2.1949999999999998</v>
      </c>
      <c r="FG38" s="4">
        <v>2.0550000000000002</v>
      </c>
      <c r="FH38" s="4">
        <v>2.9849999999999999</v>
      </c>
      <c r="FI38" s="4">
        <v>2.8159999999999998</v>
      </c>
      <c r="FJ38" s="4">
        <v>-0.371</v>
      </c>
      <c r="FK38" s="4">
        <v>3.4620000000000002</v>
      </c>
      <c r="FL38" s="4">
        <v>2.0790000000000002</v>
      </c>
      <c r="FM38" s="4">
        <v>1.0589999999999999</v>
      </c>
      <c r="FN38" s="4">
        <v>2.0710000000000002</v>
      </c>
      <c r="FO38" s="4">
        <v>4.9000000000000002E-2</v>
      </c>
      <c r="FP38" s="4">
        <v>2.0329999999999999</v>
      </c>
      <c r="FQ38" s="4">
        <v>0.98399999999999999</v>
      </c>
      <c r="FR38" s="4">
        <v>0.47299999999999998</v>
      </c>
      <c r="FS38" s="4">
        <v>-7.8E-2</v>
      </c>
      <c r="FT38" s="4">
        <v>-0.752</v>
      </c>
      <c r="FU38" s="4">
        <v>-1.1559999999999999</v>
      </c>
      <c r="FV38" s="4">
        <v>1.9239999999999999</v>
      </c>
      <c r="FW38" s="4">
        <v>1.32</v>
      </c>
      <c r="FX38" s="4">
        <v>-4.2850000000000001</v>
      </c>
      <c r="FY38" s="4">
        <v>2.2120000000000002</v>
      </c>
      <c r="FZ38" s="4">
        <v>1.7529999999999999</v>
      </c>
      <c r="GA38" s="4">
        <v>1.4379999999999999</v>
      </c>
      <c r="GB38" s="4">
        <v>2.3719999999999999</v>
      </c>
      <c r="GC38" s="4">
        <v>-0.19900000000000001</v>
      </c>
      <c r="GD38" s="4">
        <v>2.242</v>
      </c>
      <c r="GE38" s="4">
        <v>1.3149999999999999</v>
      </c>
      <c r="GF38" s="4">
        <v>2.65</v>
      </c>
      <c r="GG38" s="4">
        <v>-0.86399999999999999</v>
      </c>
      <c r="GH38" s="4">
        <v>-0.75</v>
      </c>
      <c r="GI38" s="4">
        <v>2.8210000000000002</v>
      </c>
      <c r="GJ38" s="4">
        <v>2.1989999999999998</v>
      </c>
      <c r="GK38" s="4">
        <v>2.5169999999999999</v>
      </c>
      <c r="GL38" s="4">
        <v>1.911</v>
      </c>
      <c r="GM38" s="4">
        <v>1.6859999999999999</v>
      </c>
      <c r="GN38" s="4">
        <v>-2.7469999999999999</v>
      </c>
      <c r="GO38" s="4">
        <v>0.999</v>
      </c>
      <c r="GP38" s="4">
        <v>-1.0549999999999999</v>
      </c>
      <c r="GQ38" s="4">
        <v>-5.1159999999999997</v>
      </c>
      <c r="GR38" s="4">
        <v>-5.0289999999999999</v>
      </c>
      <c r="GS38" s="4">
        <v>2.246</v>
      </c>
      <c r="GT38" s="4">
        <v>-6.51</v>
      </c>
      <c r="GU38" s="4">
        <v>2.6259999999999999</v>
      </c>
      <c r="GV38" s="4">
        <v>2.5680000000000001</v>
      </c>
      <c r="GW38" s="4">
        <v>-3.2269999999999999</v>
      </c>
      <c r="GX38" s="4">
        <v>-0.53300000000000003</v>
      </c>
      <c r="GY38" s="4">
        <v>-4.0890000000000004</v>
      </c>
      <c r="GZ38" s="4">
        <v>-1.913</v>
      </c>
      <c r="HA38" s="4">
        <v>3.2770000000000001</v>
      </c>
      <c r="HB38" s="4">
        <v>1.462</v>
      </c>
      <c r="HC38" s="4">
        <v>0.28499999999999998</v>
      </c>
      <c r="HD38" s="4">
        <v>1.754</v>
      </c>
      <c r="HE38" s="4">
        <v>-3.153</v>
      </c>
      <c r="HF38" s="4">
        <v>0.32800000000000001</v>
      </c>
      <c r="HG38" s="4">
        <v>-4.2140000000000004</v>
      </c>
      <c r="HH38" s="4">
        <v>2.3180000000000001</v>
      </c>
      <c r="HI38" s="4">
        <v>-1.2999999999999999E-2</v>
      </c>
      <c r="HJ38" s="4">
        <v>1.0229999999999999</v>
      </c>
      <c r="HK38" s="4">
        <v>1.2729999999999999</v>
      </c>
      <c r="HL38" s="4">
        <v>4.87</v>
      </c>
      <c r="HM38" s="4">
        <v>3.43</v>
      </c>
      <c r="HN38" s="4">
        <v>1.71</v>
      </c>
      <c r="HO38" s="4">
        <v>-2.7930000000000001</v>
      </c>
      <c r="HP38" s="4">
        <v>0.14099999999999999</v>
      </c>
      <c r="HQ38" s="4">
        <v>1.5529999999999999</v>
      </c>
      <c r="HR38" s="4">
        <v>3.9820000000000002</v>
      </c>
      <c r="HS38" s="4">
        <v>1.302</v>
      </c>
      <c r="HT38" s="4">
        <v>4.0000000000000001E-3</v>
      </c>
      <c r="HU38" s="4">
        <v>0.71</v>
      </c>
      <c r="HV38" s="4">
        <v>2.1080000000000001</v>
      </c>
      <c r="HW38" s="4">
        <v>1.601</v>
      </c>
      <c r="HX38" s="4">
        <v>-2.48</v>
      </c>
      <c r="HY38" s="4">
        <v>1.823</v>
      </c>
      <c r="HZ38" s="4">
        <v>2.04</v>
      </c>
      <c r="IA38" s="4">
        <v>3.4929999999999999</v>
      </c>
      <c r="IB38" s="4">
        <v>-6.1619999999999999</v>
      </c>
      <c r="IC38" s="4">
        <v>3.8159999999999998</v>
      </c>
      <c r="ID38" s="4">
        <v>3.9609999999999999</v>
      </c>
      <c r="IE38" s="4">
        <v>2.6629999999999998</v>
      </c>
      <c r="IF38" s="4">
        <v>2.0489999999999999</v>
      </c>
      <c r="IG38" s="4">
        <v>1.9990000000000001</v>
      </c>
      <c r="IH38" s="4">
        <v>0.44400000000000001</v>
      </c>
      <c r="II38" s="4">
        <v>-3.391</v>
      </c>
      <c r="IJ38" s="4">
        <v>-4.915</v>
      </c>
      <c r="IK38" s="4">
        <v>1.1399999999999999</v>
      </c>
      <c r="IL38" s="4">
        <v>2.742</v>
      </c>
      <c r="IM38" s="4">
        <v>-3.044</v>
      </c>
      <c r="IN38" s="4">
        <v>2.012</v>
      </c>
      <c r="IO38" s="4">
        <v>-0.66200000000000003</v>
      </c>
      <c r="IP38" s="4">
        <v>0.35</v>
      </c>
      <c r="IQ38" s="4">
        <v>0.52300000000000002</v>
      </c>
      <c r="IR38" s="4">
        <v>3.5390000000000001</v>
      </c>
      <c r="IS38" s="4">
        <v>3.97</v>
      </c>
      <c r="IT38" s="4">
        <v>-3.323</v>
      </c>
      <c r="IU38" s="4">
        <v>1.333</v>
      </c>
      <c r="IV38" s="4">
        <v>-3.0960000000000001</v>
      </c>
      <c r="IW38" s="4">
        <v>1.7969999999999999</v>
      </c>
      <c r="IX38" s="4">
        <v>-4.569</v>
      </c>
      <c r="IY38" s="4">
        <v>2.4039999999999999</v>
      </c>
      <c r="IZ38" s="4">
        <v>0.36399999999999999</v>
      </c>
      <c r="JA38" s="4">
        <v>2.0310000000000001</v>
      </c>
      <c r="JB38" s="4">
        <v>1.53</v>
      </c>
      <c r="JC38" s="4">
        <v>0.62</v>
      </c>
      <c r="JD38" s="4">
        <v>-1.1299999999999999</v>
      </c>
      <c r="JE38" s="4">
        <v>1.974</v>
      </c>
      <c r="JF38" s="4">
        <v>3.7349999999999999</v>
      </c>
      <c r="JG38" s="4">
        <v>3.59</v>
      </c>
      <c r="JH38" s="4">
        <v>1.8740000000000001</v>
      </c>
      <c r="JI38" s="4">
        <v>3.0640000000000001</v>
      </c>
      <c r="JJ38" s="4">
        <v>-0.23499999999999999</v>
      </c>
      <c r="JK38" s="4">
        <v>1.631</v>
      </c>
      <c r="JL38" s="4">
        <v>1.2070000000000001</v>
      </c>
      <c r="JM38" s="4">
        <v>4.8719999999999999</v>
      </c>
      <c r="JN38" s="4">
        <v>1.9830000000000001</v>
      </c>
      <c r="JO38" s="4">
        <v>1.8540000000000001</v>
      </c>
      <c r="JP38" s="4">
        <v>2.0150000000000001</v>
      </c>
      <c r="JQ38" s="4">
        <v>2.403</v>
      </c>
      <c r="JR38" s="4">
        <v>2.2109999999999999</v>
      </c>
      <c r="JS38" s="4">
        <v>0.97599999999999998</v>
      </c>
      <c r="JT38" s="4">
        <v>-1.3</v>
      </c>
      <c r="JU38" s="4">
        <v>1.546</v>
      </c>
      <c r="JV38" s="4">
        <v>1.5569999999999999</v>
      </c>
      <c r="JW38" s="4">
        <v>2.4369999999999998</v>
      </c>
      <c r="JX38" s="4">
        <v>1.1339999999999999</v>
      </c>
      <c r="JY38" s="4">
        <v>2.2519999999999998</v>
      </c>
      <c r="JZ38" s="4">
        <v>1.2290000000000001</v>
      </c>
      <c r="KA38" s="4">
        <v>2.044</v>
      </c>
      <c r="KB38" s="4">
        <v>-2.2410000000000001</v>
      </c>
      <c r="KC38" s="4">
        <v>-1.0880000000000001</v>
      </c>
      <c r="KD38" s="4">
        <v>1.8680000000000001</v>
      </c>
      <c r="KE38" s="4">
        <v>3.738</v>
      </c>
      <c r="KF38" s="4">
        <v>1.5489999999999999</v>
      </c>
      <c r="KG38" s="4">
        <v>2.0409999999999999</v>
      </c>
      <c r="KH38" s="4">
        <v>1.4970000000000001</v>
      </c>
      <c r="KI38" s="4">
        <v>0.98899999999999999</v>
      </c>
      <c r="KJ38" s="4">
        <v>2.8610000000000002</v>
      </c>
      <c r="KK38" s="4">
        <v>1.5649999999999999</v>
      </c>
      <c r="KL38" s="4">
        <v>1.2010000000000001</v>
      </c>
      <c r="KM38" s="4">
        <v>-4.26</v>
      </c>
      <c r="KN38" s="4">
        <v>1.51</v>
      </c>
      <c r="KO38" s="4">
        <v>-2.923</v>
      </c>
      <c r="KP38" s="4">
        <v>1.393</v>
      </c>
      <c r="KQ38" s="4">
        <v>3.5529999999999999</v>
      </c>
      <c r="KR38" s="4">
        <v>1.35</v>
      </c>
      <c r="KS38" s="4">
        <v>4.5759999999999996</v>
      </c>
    </row>
    <row r="39" spans="1:305" x14ac:dyDescent="0.25">
      <c r="A39" s="4">
        <v>2016</v>
      </c>
      <c r="B39" s="4">
        <v>12</v>
      </c>
      <c r="C39" s="4">
        <v>-3.101</v>
      </c>
      <c r="D39" s="4">
        <v>2.0609999999999999</v>
      </c>
      <c r="E39" s="4">
        <v>3.2850000000000001</v>
      </c>
      <c r="F39" s="4">
        <v>2.6240000000000001</v>
      </c>
      <c r="G39" s="4">
        <v>2.3340000000000001</v>
      </c>
      <c r="H39" s="4">
        <v>-2.839</v>
      </c>
      <c r="I39" s="4">
        <v>2.0129999999999999</v>
      </c>
      <c r="J39" s="4">
        <v>-6.6319999999999997</v>
      </c>
      <c r="K39" s="4">
        <v>2.6949999999999998</v>
      </c>
      <c r="L39" s="4">
        <v>1.5489999999999999</v>
      </c>
      <c r="M39" s="4">
        <v>3.85</v>
      </c>
      <c r="N39" s="4">
        <v>-3.254</v>
      </c>
      <c r="O39" s="4">
        <v>1.669</v>
      </c>
      <c r="P39" s="4">
        <v>-1.0649999999999999</v>
      </c>
      <c r="Q39" s="4">
        <v>1.2290000000000001</v>
      </c>
      <c r="R39" s="4">
        <v>-5.7060000000000004</v>
      </c>
      <c r="S39" s="4">
        <v>-5.0510000000000002</v>
      </c>
      <c r="T39" s="4">
        <v>0.45200000000000001</v>
      </c>
      <c r="U39" s="4">
        <v>1.49</v>
      </c>
      <c r="V39" s="4">
        <v>1.73</v>
      </c>
      <c r="W39" s="4">
        <v>3.9140000000000001</v>
      </c>
      <c r="X39" s="4">
        <v>1.831</v>
      </c>
      <c r="Y39" s="4">
        <v>0.56399999999999995</v>
      </c>
      <c r="Z39" s="4">
        <v>3.79</v>
      </c>
      <c r="AA39" s="4">
        <v>2.121</v>
      </c>
      <c r="AB39" s="4">
        <v>-3.89</v>
      </c>
      <c r="AC39" s="4">
        <v>3.8570000000000002</v>
      </c>
      <c r="AD39" s="4">
        <v>-7.2770000000000001</v>
      </c>
      <c r="AE39" s="4">
        <v>2.4790000000000001</v>
      </c>
      <c r="AF39" s="4">
        <v>-0.78700000000000003</v>
      </c>
      <c r="AG39" s="4">
        <v>2.0569999999999999</v>
      </c>
      <c r="AH39" s="4">
        <v>3.1509999999999998</v>
      </c>
      <c r="AI39" s="4">
        <v>0.48099999999999998</v>
      </c>
      <c r="AJ39" s="4">
        <v>1.655</v>
      </c>
      <c r="AK39" s="4">
        <v>-2.8439999999999999</v>
      </c>
      <c r="AL39" s="4">
        <v>2.794</v>
      </c>
      <c r="AM39" s="4">
        <v>3.3050000000000002</v>
      </c>
      <c r="AN39" s="4">
        <v>4.4029999999999996</v>
      </c>
      <c r="AO39" s="4">
        <v>-0.66500000000000004</v>
      </c>
      <c r="AP39" s="4">
        <v>1.9870000000000001</v>
      </c>
      <c r="AQ39" s="4">
        <v>1.05</v>
      </c>
      <c r="AR39" s="4">
        <v>-1.25</v>
      </c>
      <c r="AS39" s="4">
        <v>-6.0449999999999999</v>
      </c>
      <c r="AT39" s="4">
        <v>-1.331</v>
      </c>
      <c r="AU39" s="4">
        <v>2.0209999999999999</v>
      </c>
      <c r="AV39" s="4">
        <v>1.419</v>
      </c>
      <c r="AW39" s="4">
        <v>1.972</v>
      </c>
      <c r="AX39" s="4">
        <v>0.99</v>
      </c>
      <c r="AY39" s="4">
        <v>1.6579999999999999</v>
      </c>
      <c r="AZ39" s="4">
        <v>3.6240000000000001</v>
      </c>
      <c r="BA39" s="4">
        <v>2.4660000000000002</v>
      </c>
      <c r="BB39" s="4">
        <v>0.73799999999999999</v>
      </c>
      <c r="BC39" s="4">
        <v>3.7959999999999998</v>
      </c>
      <c r="BD39" s="4">
        <v>1.732</v>
      </c>
      <c r="BE39" s="4">
        <v>5.0069999999999997</v>
      </c>
      <c r="BF39" s="4">
        <v>2.5529999999999999</v>
      </c>
      <c r="BG39" s="4">
        <v>-0.17</v>
      </c>
      <c r="BH39" s="4">
        <v>0.59</v>
      </c>
      <c r="BI39" s="4">
        <v>1.619</v>
      </c>
      <c r="BJ39" s="4">
        <v>1.4950000000000001</v>
      </c>
      <c r="BK39" s="4">
        <v>-2.8319999999999999</v>
      </c>
      <c r="BL39" s="4">
        <v>0.84699999999999998</v>
      </c>
      <c r="BM39" s="4">
        <v>-4.6580000000000004</v>
      </c>
      <c r="BN39" s="4">
        <v>-6.61</v>
      </c>
      <c r="BO39" s="4">
        <v>-0.17299999999999999</v>
      </c>
      <c r="BP39" s="4">
        <v>-6.8380000000000001</v>
      </c>
      <c r="BQ39" s="4">
        <v>1.042</v>
      </c>
      <c r="BR39" s="4">
        <v>2.0350000000000001</v>
      </c>
      <c r="BS39" s="4">
        <v>1.4890000000000001</v>
      </c>
      <c r="BT39" s="4">
        <v>1.952</v>
      </c>
      <c r="BU39" s="4">
        <v>3.944</v>
      </c>
      <c r="BV39" s="4">
        <v>2.508</v>
      </c>
      <c r="BW39" s="4">
        <v>2.7290000000000001</v>
      </c>
      <c r="BX39" s="4">
        <v>1.6839999999999999</v>
      </c>
      <c r="BY39" s="4">
        <v>2.3109999999999999</v>
      </c>
      <c r="BZ39" s="4">
        <v>1.4239999999999999</v>
      </c>
      <c r="CA39" s="4">
        <v>-0.99</v>
      </c>
      <c r="CB39" s="4">
        <v>8.7999999999999995E-2</v>
      </c>
      <c r="CC39" s="4">
        <v>1.657</v>
      </c>
      <c r="CD39" s="4">
        <v>1.028</v>
      </c>
      <c r="CE39" s="4">
        <v>2.3639999999999999</v>
      </c>
      <c r="CF39" s="4">
        <v>-3.802</v>
      </c>
      <c r="CG39" s="4">
        <v>1.639</v>
      </c>
      <c r="CH39" s="4">
        <v>-5.9820000000000002</v>
      </c>
      <c r="CI39" s="4">
        <v>-0.70699999999999996</v>
      </c>
      <c r="CJ39" s="4">
        <v>3.383</v>
      </c>
      <c r="CK39" s="4">
        <v>2.9630000000000001</v>
      </c>
      <c r="CL39" s="4">
        <v>0.40799999999999997</v>
      </c>
      <c r="CM39" s="4">
        <v>-2.9529999999999998</v>
      </c>
      <c r="CN39" s="4">
        <v>4.2910000000000004</v>
      </c>
      <c r="CO39" s="4">
        <v>-4.0940000000000003</v>
      </c>
      <c r="CP39" s="4">
        <v>2.1269999999999998</v>
      </c>
      <c r="CQ39" s="4">
        <v>2.891</v>
      </c>
      <c r="CR39" s="4">
        <v>0.28199999999999997</v>
      </c>
      <c r="CS39" s="4">
        <v>4.3520000000000003</v>
      </c>
      <c r="CT39" s="4">
        <v>2.202</v>
      </c>
      <c r="CU39" s="4">
        <v>3.1960000000000002</v>
      </c>
      <c r="CV39" s="4">
        <v>3.1920000000000002</v>
      </c>
      <c r="CW39" s="4">
        <v>2.0179999999999998</v>
      </c>
      <c r="CX39" s="4">
        <v>1.786</v>
      </c>
      <c r="CY39" s="4">
        <v>0.49199999999999999</v>
      </c>
      <c r="CZ39" s="4">
        <v>1.829</v>
      </c>
      <c r="DA39" s="4">
        <v>2.4750000000000001</v>
      </c>
      <c r="DB39" s="4">
        <v>2.0289999999999999</v>
      </c>
      <c r="DC39" s="4">
        <v>-7.5490000000000004</v>
      </c>
      <c r="DD39" s="4">
        <v>2.069</v>
      </c>
      <c r="DE39" s="4">
        <v>-5.609</v>
      </c>
      <c r="DF39" s="4">
        <v>-6.4039999999999999</v>
      </c>
      <c r="DG39" s="4">
        <v>2.9369999999999998</v>
      </c>
      <c r="DH39" s="4">
        <v>-6.9980000000000002</v>
      </c>
      <c r="DI39" s="4">
        <v>2.7109999999999999</v>
      </c>
      <c r="DJ39" s="4">
        <v>3.0139999999999998</v>
      </c>
      <c r="DK39" s="4">
        <v>0.77</v>
      </c>
      <c r="DL39" s="4">
        <v>3.4020000000000001</v>
      </c>
      <c r="DM39" s="4">
        <v>1.8180000000000001</v>
      </c>
      <c r="DN39" s="4">
        <v>1.599</v>
      </c>
      <c r="DO39" s="4">
        <v>4.0979999999999999</v>
      </c>
      <c r="DP39" s="4">
        <v>0.98699999999999999</v>
      </c>
      <c r="DQ39" s="4">
        <v>2.5640000000000001</v>
      </c>
      <c r="DR39" s="4">
        <v>-5.7839999999999998</v>
      </c>
      <c r="DS39" s="4">
        <v>1.639</v>
      </c>
      <c r="DT39" s="4">
        <v>3.3690000000000002</v>
      </c>
      <c r="DU39" s="4">
        <v>1.0669999999999999</v>
      </c>
      <c r="DV39" s="4">
        <v>1.2869999999999999</v>
      </c>
      <c r="DW39" s="4">
        <v>4.3999999999999997E-2</v>
      </c>
      <c r="DX39" s="4">
        <v>-2.8849999999999998</v>
      </c>
      <c r="DY39" s="4">
        <v>3.464</v>
      </c>
      <c r="DZ39" s="4">
        <v>1.365</v>
      </c>
      <c r="EA39" s="4">
        <v>1.748</v>
      </c>
      <c r="EB39" s="4">
        <v>3.508</v>
      </c>
      <c r="EC39" s="4">
        <v>3.8359999999999999</v>
      </c>
      <c r="ED39" s="4">
        <v>1.627</v>
      </c>
      <c r="EE39" s="4">
        <v>-4.3440000000000003</v>
      </c>
      <c r="EF39" s="4">
        <v>4.4820000000000002</v>
      </c>
      <c r="EG39" s="4">
        <v>1.667</v>
      </c>
      <c r="EH39" s="4">
        <v>1.5569999999999999</v>
      </c>
      <c r="EI39" s="4">
        <v>-0.22500000000000001</v>
      </c>
      <c r="EJ39" s="4">
        <v>2.99</v>
      </c>
      <c r="EK39" s="4">
        <v>1.7529999999999999</v>
      </c>
      <c r="EL39" s="4">
        <v>1.9890000000000001</v>
      </c>
      <c r="EM39" s="4">
        <v>2.8109999999999999</v>
      </c>
      <c r="EN39" s="4">
        <v>3.036</v>
      </c>
      <c r="EO39" s="4">
        <v>0.98599999999999999</v>
      </c>
      <c r="EP39" s="4">
        <v>2.2639999999999998</v>
      </c>
      <c r="EQ39" s="4">
        <v>2.2829999999999999</v>
      </c>
      <c r="ER39" s="4">
        <v>-2.6259999999999999</v>
      </c>
      <c r="ES39" s="4">
        <v>4.4020000000000001</v>
      </c>
      <c r="ET39" s="4">
        <v>0.47599999999999998</v>
      </c>
      <c r="EU39" s="4">
        <v>-5.2329999999999997</v>
      </c>
      <c r="EV39" s="4">
        <v>4.0629999999999997</v>
      </c>
      <c r="EW39" s="4">
        <v>-5.6470000000000002</v>
      </c>
      <c r="EX39" s="4">
        <v>4.3029999999999999</v>
      </c>
      <c r="EY39" s="4">
        <v>-5.4649999999999999</v>
      </c>
      <c r="EZ39" s="4">
        <v>1.8979999999999999</v>
      </c>
      <c r="FA39" s="4">
        <v>4.5419999999999998</v>
      </c>
      <c r="FB39" s="4">
        <v>-1.595</v>
      </c>
      <c r="FC39" s="4">
        <v>2.9689999999999999</v>
      </c>
      <c r="FD39" s="4">
        <v>2.649</v>
      </c>
      <c r="FE39" s="4">
        <v>0.89100000000000001</v>
      </c>
      <c r="FF39" s="4">
        <v>3.1040000000000001</v>
      </c>
      <c r="FG39" s="4">
        <v>2.359</v>
      </c>
      <c r="FH39" s="4">
        <v>3.66</v>
      </c>
      <c r="FI39" s="4">
        <v>2.74</v>
      </c>
      <c r="FJ39" s="4">
        <v>-0.50600000000000001</v>
      </c>
      <c r="FK39" s="4">
        <v>2.9910000000000001</v>
      </c>
      <c r="FL39" s="4">
        <v>2.4359999999999999</v>
      </c>
      <c r="FM39" s="4">
        <v>1.5669999999999999</v>
      </c>
      <c r="FN39" s="4">
        <v>2.9060000000000001</v>
      </c>
      <c r="FO39" s="4">
        <v>-0.17</v>
      </c>
      <c r="FP39" s="4">
        <v>2.0379999999999998</v>
      </c>
      <c r="FQ39" s="4">
        <v>1.329</v>
      </c>
      <c r="FR39" s="4">
        <v>1.169</v>
      </c>
      <c r="FS39" s="4">
        <v>0.55200000000000005</v>
      </c>
      <c r="FT39" s="4">
        <v>-0.06</v>
      </c>
      <c r="FU39" s="4">
        <v>-2.2349999999999999</v>
      </c>
      <c r="FV39" s="4">
        <v>1.9119999999999999</v>
      </c>
      <c r="FW39" s="4">
        <v>1.129</v>
      </c>
      <c r="FX39" s="4">
        <v>-5.1630000000000003</v>
      </c>
      <c r="FY39" s="4">
        <v>2.4060000000000001</v>
      </c>
      <c r="FZ39" s="4">
        <v>1.8140000000000001</v>
      </c>
      <c r="GA39" s="4">
        <v>1.625</v>
      </c>
      <c r="GB39" s="4">
        <v>2.1160000000000001</v>
      </c>
      <c r="GC39" s="4">
        <v>0.51100000000000001</v>
      </c>
      <c r="GD39" s="4">
        <v>2.5870000000000002</v>
      </c>
      <c r="GE39" s="4">
        <v>1.9219999999999999</v>
      </c>
      <c r="GF39" s="4">
        <v>3.0190000000000001</v>
      </c>
      <c r="GG39" s="4">
        <v>-2.202</v>
      </c>
      <c r="GH39" s="4">
        <v>-1.2290000000000001</v>
      </c>
      <c r="GI39" s="4">
        <v>3.76</v>
      </c>
      <c r="GJ39" s="4">
        <v>2.609</v>
      </c>
      <c r="GK39" s="4">
        <v>2.4990000000000001</v>
      </c>
      <c r="GL39" s="4">
        <v>1.8580000000000001</v>
      </c>
      <c r="GM39" s="4">
        <v>1.6339999999999999</v>
      </c>
      <c r="GN39" s="4">
        <v>-1.478</v>
      </c>
      <c r="GO39" s="4">
        <v>0.92800000000000005</v>
      </c>
      <c r="GP39" s="4">
        <v>-1.4319999999999999</v>
      </c>
      <c r="GQ39" s="4">
        <v>-8.4529999999999994</v>
      </c>
      <c r="GR39" s="4">
        <v>-7.726</v>
      </c>
      <c r="GS39" s="4">
        <v>2.1259999999999999</v>
      </c>
      <c r="GT39" s="4">
        <v>-7.6280000000000001</v>
      </c>
      <c r="GU39" s="4">
        <v>3.35</v>
      </c>
      <c r="GV39" s="4">
        <v>2.903</v>
      </c>
      <c r="GW39" s="4">
        <v>-4.4379999999999997</v>
      </c>
      <c r="GX39" s="4">
        <v>-0.52700000000000002</v>
      </c>
      <c r="GY39" s="4">
        <v>-3.0449999999999999</v>
      </c>
      <c r="GZ39" s="4">
        <v>-2.7949999999999999</v>
      </c>
      <c r="HA39" s="4">
        <v>3.1469999999999998</v>
      </c>
      <c r="HB39" s="4">
        <v>2.3220000000000001</v>
      </c>
      <c r="HC39" s="4">
        <v>0.51900000000000002</v>
      </c>
      <c r="HD39" s="4">
        <v>1.8660000000000001</v>
      </c>
      <c r="HE39" s="4">
        <v>-2.3149999999999999</v>
      </c>
      <c r="HF39" s="4">
        <v>0.81499999999999995</v>
      </c>
      <c r="HG39" s="4">
        <v>-5.0880000000000001</v>
      </c>
      <c r="HH39" s="4">
        <v>2.9620000000000002</v>
      </c>
      <c r="HI39" s="4">
        <v>0.45300000000000001</v>
      </c>
      <c r="HJ39" s="4">
        <v>1.4450000000000001</v>
      </c>
      <c r="HK39" s="4">
        <v>1.319</v>
      </c>
      <c r="HL39" s="4">
        <v>4.3129999999999997</v>
      </c>
      <c r="HM39" s="4">
        <v>3.4220000000000002</v>
      </c>
      <c r="HN39" s="4">
        <v>2.1789999999999998</v>
      </c>
      <c r="HO39" s="4">
        <v>-3.0840000000000001</v>
      </c>
      <c r="HP39" s="4">
        <v>0.76100000000000001</v>
      </c>
      <c r="HQ39" s="4">
        <v>2.0920000000000001</v>
      </c>
      <c r="HR39" s="4">
        <v>3.847</v>
      </c>
      <c r="HS39" s="4">
        <v>1.33</v>
      </c>
      <c r="HT39" s="4">
        <v>0.64900000000000002</v>
      </c>
      <c r="HU39" s="4">
        <v>0.74</v>
      </c>
      <c r="HV39" s="4">
        <v>2.101</v>
      </c>
      <c r="HW39" s="4">
        <v>1.7270000000000001</v>
      </c>
      <c r="HX39" s="4">
        <v>-4.4589999999999996</v>
      </c>
      <c r="HY39" s="4">
        <v>1.8919999999999999</v>
      </c>
      <c r="HZ39" s="4">
        <v>2.0979999999999999</v>
      </c>
      <c r="IA39" s="4">
        <v>3.5390000000000001</v>
      </c>
      <c r="IB39" s="4">
        <v>-6.2080000000000002</v>
      </c>
      <c r="IC39" s="4">
        <v>4.8689999999999998</v>
      </c>
      <c r="ID39" s="4">
        <v>4.0599999999999996</v>
      </c>
      <c r="IE39" s="4">
        <v>3.6240000000000001</v>
      </c>
      <c r="IF39" s="4">
        <v>2.1139999999999999</v>
      </c>
      <c r="IG39" s="4">
        <v>2.0270000000000001</v>
      </c>
      <c r="IH39" s="4">
        <v>0.29699999999999999</v>
      </c>
      <c r="II39" s="4">
        <v>-1.04</v>
      </c>
      <c r="IJ39" s="4">
        <v>-5.5389999999999997</v>
      </c>
      <c r="IK39" s="4">
        <v>1.488</v>
      </c>
      <c r="IL39" s="4">
        <v>3.552</v>
      </c>
      <c r="IM39" s="4">
        <v>-3.754</v>
      </c>
      <c r="IN39" s="4">
        <v>2.0739999999999998</v>
      </c>
      <c r="IO39" s="4">
        <v>-0.74099999999999999</v>
      </c>
      <c r="IP39" s="4">
        <v>0.37</v>
      </c>
      <c r="IQ39" s="4">
        <v>0.86899999999999999</v>
      </c>
      <c r="IR39" s="4">
        <v>3.7930000000000001</v>
      </c>
      <c r="IS39" s="4">
        <v>4.0350000000000001</v>
      </c>
      <c r="IT39" s="4">
        <v>-3.0619999999999998</v>
      </c>
      <c r="IU39" s="4">
        <v>2.0219999999999998</v>
      </c>
      <c r="IV39" s="4">
        <v>-2.0379999999999998</v>
      </c>
      <c r="IW39" s="4">
        <v>1.84</v>
      </c>
      <c r="IX39" s="4">
        <v>-2.59</v>
      </c>
      <c r="IY39" s="4">
        <v>3.2759999999999998</v>
      </c>
      <c r="IZ39" s="4">
        <v>0.439</v>
      </c>
      <c r="JA39" s="4">
        <v>2.4049999999999998</v>
      </c>
      <c r="JB39" s="4">
        <v>1.925</v>
      </c>
      <c r="JC39" s="4">
        <v>0.57699999999999996</v>
      </c>
      <c r="JD39" s="4">
        <v>-1.8959999999999999</v>
      </c>
      <c r="JE39" s="4">
        <v>2.1789999999999998</v>
      </c>
      <c r="JF39" s="4">
        <v>4.726</v>
      </c>
      <c r="JG39" s="4">
        <v>3.4119999999999999</v>
      </c>
      <c r="JH39" s="4">
        <v>2.2080000000000002</v>
      </c>
      <c r="JI39" s="4">
        <v>2.8679999999999999</v>
      </c>
      <c r="JJ39" s="4">
        <v>-0.64500000000000002</v>
      </c>
      <c r="JK39" s="4">
        <v>1.8939999999999999</v>
      </c>
      <c r="JL39" s="4">
        <v>1.853</v>
      </c>
      <c r="JM39" s="4">
        <v>4.5910000000000002</v>
      </c>
      <c r="JN39" s="4">
        <v>2.8740000000000001</v>
      </c>
      <c r="JO39" s="4">
        <v>1.8080000000000001</v>
      </c>
      <c r="JP39" s="4">
        <v>1.931</v>
      </c>
      <c r="JQ39" s="4">
        <v>3.274</v>
      </c>
      <c r="JR39" s="4">
        <v>2.758</v>
      </c>
      <c r="JS39" s="4">
        <v>1.5129999999999999</v>
      </c>
      <c r="JT39" s="4">
        <v>-2.665</v>
      </c>
      <c r="JU39" s="4">
        <v>1.647</v>
      </c>
      <c r="JV39" s="4">
        <v>1.623</v>
      </c>
      <c r="JW39" s="4">
        <v>2.8170000000000002</v>
      </c>
      <c r="JX39" s="4">
        <v>1.623</v>
      </c>
      <c r="JY39" s="4">
        <v>2.198</v>
      </c>
      <c r="JZ39" s="4">
        <v>1.1739999999999999</v>
      </c>
      <c r="KA39" s="4">
        <v>2.8759999999999999</v>
      </c>
      <c r="KB39" s="4">
        <v>-3.5289999999999999</v>
      </c>
      <c r="KC39" s="4">
        <v>-0.93799999999999994</v>
      </c>
      <c r="KD39" s="4">
        <v>2.5070000000000001</v>
      </c>
      <c r="KE39" s="4">
        <v>4.0439999999999996</v>
      </c>
      <c r="KF39" s="4">
        <v>2.2759999999999998</v>
      </c>
      <c r="KG39" s="4">
        <v>1.929</v>
      </c>
      <c r="KH39" s="4">
        <v>2.0409999999999999</v>
      </c>
      <c r="KI39" s="4">
        <v>1.329</v>
      </c>
      <c r="KJ39" s="4">
        <v>2.5790000000000002</v>
      </c>
      <c r="KK39" s="4">
        <v>1.9319999999999999</v>
      </c>
      <c r="KL39" s="4">
        <v>1.4850000000000001</v>
      </c>
      <c r="KM39" s="4">
        <v>-6.7809999999999997</v>
      </c>
      <c r="KN39" s="4">
        <v>1.633</v>
      </c>
      <c r="KO39" s="4">
        <v>-5.2640000000000002</v>
      </c>
      <c r="KP39" s="4">
        <v>1.673</v>
      </c>
      <c r="KQ39" s="4">
        <v>3.089</v>
      </c>
      <c r="KR39" s="4">
        <v>1.526</v>
      </c>
      <c r="KS39" s="4">
        <v>4.202</v>
      </c>
    </row>
    <row r="40" spans="1:305" x14ac:dyDescent="0.25">
      <c r="A40" s="4">
        <v>2017</v>
      </c>
      <c r="B40" s="4">
        <v>1</v>
      </c>
      <c r="C40" s="4">
        <v>-6.5149999999999997</v>
      </c>
      <c r="D40" s="4">
        <v>-0.68500000000000005</v>
      </c>
      <c r="E40" s="4">
        <v>0.255</v>
      </c>
      <c r="F40" s="4">
        <v>-0.33400000000000002</v>
      </c>
      <c r="G40" s="4">
        <v>-1.0029999999999999</v>
      </c>
      <c r="H40" s="4">
        <v>-7.7190000000000003</v>
      </c>
      <c r="I40" s="4">
        <v>-1.4159999999999999</v>
      </c>
      <c r="J40" s="4">
        <v>-6.5990000000000002</v>
      </c>
      <c r="K40" s="4">
        <v>-0.185</v>
      </c>
      <c r="L40" s="4">
        <v>0.33800000000000002</v>
      </c>
      <c r="M40" s="4">
        <v>-6.3579999999999997</v>
      </c>
      <c r="N40" s="4">
        <v>-1.3979999999999999</v>
      </c>
      <c r="O40" s="4">
        <v>-2.5579999999999998</v>
      </c>
      <c r="P40" s="4">
        <v>-1.5920000000000001</v>
      </c>
      <c r="Q40" s="4">
        <v>-7.81</v>
      </c>
      <c r="R40" s="4">
        <v>-6.6849999999999996</v>
      </c>
      <c r="S40" s="4">
        <v>-2.3740000000000001</v>
      </c>
      <c r="T40" s="4">
        <v>-1.7729999999999999</v>
      </c>
      <c r="U40" s="4">
        <v>-1.153</v>
      </c>
      <c r="V40" s="4">
        <v>-1.1779999999999999</v>
      </c>
      <c r="W40" s="4">
        <v>-3.355</v>
      </c>
      <c r="X40" s="4">
        <v>0.38100000000000001</v>
      </c>
      <c r="Y40" s="4">
        <v>-0.69799999999999995</v>
      </c>
      <c r="Z40" s="4">
        <v>-5.3810000000000002</v>
      </c>
      <c r="AA40" s="4">
        <v>0.30199999999999999</v>
      </c>
      <c r="AB40" s="4">
        <v>-7.3719999999999999</v>
      </c>
      <c r="AC40" s="4">
        <v>-0.67600000000000005</v>
      </c>
      <c r="AD40" s="4">
        <v>-4.5339999999999998</v>
      </c>
      <c r="AE40" s="4">
        <v>-1.0660000000000001</v>
      </c>
      <c r="AF40" s="4">
        <v>-1.4999999999999999E-2</v>
      </c>
      <c r="AG40" s="4">
        <v>-3.48</v>
      </c>
      <c r="AH40" s="4">
        <v>-0.99299999999999999</v>
      </c>
      <c r="AI40" s="4">
        <v>-5.3369999999999997</v>
      </c>
      <c r="AJ40" s="4">
        <v>-0.48299999999999998</v>
      </c>
      <c r="AK40" s="4">
        <v>8.0000000000000002E-3</v>
      </c>
      <c r="AL40" s="4">
        <v>0.81399999999999995</v>
      </c>
      <c r="AM40" s="4">
        <v>-3.2610000000000001</v>
      </c>
      <c r="AN40" s="4">
        <v>-0.627</v>
      </c>
      <c r="AO40" s="4">
        <v>-1.758</v>
      </c>
      <c r="AP40" s="4">
        <v>-4.8410000000000002</v>
      </c>
      <c r="AQ40" s="4">
        <v>-6.7489999999999997</v>
      </c>
      <c r="AR40" s="4">
        <v>-5.1449999999999996</v>
      </c>
      <c r="AS40" s="4">
        <v>-0.73499999999999999</v>
      </c>
      <c r="AT40" s="4">
        <v>-1.7290000000000001</v>
      </c>
      <c r="AU40" s="4">
        <v>-1.218</v>
      </c>
      <c r="AV40" s="4">
        <v>-1.6819999999999999</v>
      </c>
      <c r="AW40" s="4">
        <v>-1.3169999999999999</v>
      </c>
      <c r="AX40" s="4">
        <v>0.19700000000000001</v>
      </c>
      <c r="AY40" s="4">
        <v>-0.374</v>
      </c>
      <c r="AZ40" s="4">
        <v>-3.242</v>
      </c>
      <c r="BA40" s="4">
        <v>0.57199999999999995</v>
      </c>
      <c r="BB40" s="4">
        <v>-1.1479999999999999</v>
      </c>
      <c r="BC40" s="4">
        <v>1.63</v>
      </c>
      <c r="BD40" s="4">
        <v>-3.8860000000000001</v>
      </c>
      <c r="BE40" s="4">
        <v>-0.25800000000000001</v>
      </c>
      <c r="BF40" s="4">
        <v>-2.99</v>
      </c>
      <c r="BG40" s="4">
        <v>-2.04</v>
      </c>
      <c r="BH40" s="4">
        <v>-1.165</v>
      </c>
      <c r="BI40" s="4">
        <v>-1.5169999999999999</v>
      </c>
      <c r="BJ40" s="4">
        <v>-4.2409999999999997</v>
      </c>
      <c r="BK40" s="4">
        <v>-1.9039999999999999</v>
      </c>
      <c r="BL40" s="4">
        <v>-5.7990000000000004</v>
      </c>
      <c r="BM40" s="4">
        <v>-7.242</v>
      </c>
      <c r="BN40" s="4">
        <v>-3.9740000000000002</v>
      </c>
      <c r="BO40" s="4">
        <v>-9.1059999999999999</v>
      </c>
      <c r="BP40" s="4">
        <v>-2.153</v>
      </c>
      <c r="BQ40" s="4">
        <v>-1.2869999999999999</v>
      </c>
      <c r="BR40" s="4">
        <v>-1.4</v>
      </c>
      <c r="BS40" s="4">
        <v>0.874</v>
      </c>
      <c r="BT40" s="4">
        <v>-0.16300000000000001</v>
      </c>
      <c r="BU40" s="4">
        <v>-8.1000000000000003E-2</v>
      </c>
      <c r="BV40" s="4">
        <v>-1.1970000000000001</v>
      </c>
      <c r="BW40" s="4">
        <v>-4.3760000000000003</v>
      </c>
      <c r="BX40" s="4">
        <v>-2.8809999999999998</v>
      </c>
      <c r="BY40" s="4">
        <v>-1.2569999999999999</v>
      </c>
      <c r="BZ40" s="4">
        <v>-2.0299999999999998</v>
      </c>
      <c r="CA40" s="4">
        <v>0.34399999999999997</v>
      </c>
      <c r="CB40" s="4">
        <v>-0.44600000000000001</v>
      </c>
      <c r="CC40" s="4">
        <v>-5.4880000000000004</v>
      </c>
      <c r="CD40" s="4">
        <v>-0.86599999999999999</v>
      </c>
      <c r="CE40" s="4">
        <v>-7.0650000000000004</v>
      </c>
      <c r="CF40" s="4">
        <v>-2.7669999999999999</v>
      </c>
      <c r="CG40" s="4">
        <v>0.26500000000000001</v>
      </c>
      <c r="CH40" s="4">
        <v>-0.40300000000000002</v>
      </c>
      <c r="CI40" s="4">
        <v>-3.6859999999999999</v>
      </c>
      <c r="CJ40" s="4">
        <v>-5.883</v>
      </c>
      <c r="CK40" s="4">
        <v>0.72</v>
      </c>
      <c r="CL40" s="4">
        <v>-5.5330000000000004</v>
      </c>
      <c r="CM40" s="4">
        <v>6.7000000000000004E-2</v>
      </c>
      <c r="CN40" s="4">
        <v>-0.70499999999999996</v>
      </c>
      <c r="CO40" s="4">
        <v>4.4999999999999998E-2</v>
      </c>
      <c r="CP40" s="4">
        <v>-3.32</v>
      </c>
      <c r="CQ40" s="4">
        <v>0.95499999999999996</v>
      </c>
      <c r="CR40" s="4">
        <v>-0.995</v>
      </c>
      <c r="CS40" s="4">
        <v>-0.223</v>
      </c>
      <c r="CT40" s="4">
        <v>-0.28199999999999997</v>
      </c>
      <c r="CU40" s="4">
        <v>-0.745</v>
      </c>
      <c r="CV40" s="4">
        <v>-0.81299999999999994</v>
      </c>
      <c r="CW40" s="4">
        <v>-2.8330000000000002</v>
      </c>
      <c r="CX40" s="4">
        <v>-1.2849999999999999</v>
      </c>
      <c r="CY40" s="4">
        <v>-0.88300000000000001</v>
      </c>
      <c r="CZ40" s="4">
        <v>-0.66900000000000004</v>
      </c>
      <c r="DA40" s="4">
        <v>-8.5730000000000004</v>
      </c>
      <c r="DB40" s="4">
        <v>-1.171</v>
      </c>
      <c r="DC40" s="4">
        <v>-6.7789999999999999</v>
      </c>
      <c r="DD40" s="4">
        <v>-7.6369999999999996</v>
      </c>
      <c r="DE40" s="4">
        <v>-0.41799999999999998</v>
      </c>
      <c r="DF40" s="4">
        <v>-9.5340000000000007</v>
      </c>
      <c r="DG40" s="4">
        <v>-0.06</v>
      </c>
      <c r="DH40" s="4">
        <v>-0.16900000000000001</v>
      </c>
      <c r="DI40" s="4">
        <v>-2.0419999999999998</v>
      </c>
      <c r="DJ40" s="4">
        <v>0.14899999999999999</v>
      </c>
      <c r="DK40" s="4">
        <v>-0.97399999999999998</v>
      </c>
      <c r="DL40" s="4">
        <v>-1.3779999999999999</v>
      </c>
      <c r="DM40" s="4">
        <v>0.59299999999999997</v>
      </c>
      <c r="DN40" s="4">
        <v>-1.82</v>
      </c>
      <c r="DO40" s="4">
        <v>-0.57399999999999995</v>
      </c>
      <c r="DP40" s="4">
        <v>-8.33</v>
      </c>
      <c r="DQ40" s="4">
        <v>-1.4750000000000001</v>
      </c>
      <c r="DR40" s="4">
        <v>-0.125</v>
      </c>
      <c r="DS40" s="4">
        <v>-1.4510000000000001</v>
      </c>
      <c r="DT40" s="4">
        <v>-1.772</v>
      </c>
      <c r="DU40" s="4">
        <v>-3.1619999999999999</v>
      </c>
      <c r="DV40" s="4">
        <v>-4.5549999999999997</v>
      </c>
      <c r="DW40" s="4">
        <v>3.5999999999999997E-2</v>
      </c>
      <c r="DX40" s="4">
        <v>-1.29</v>
      </c>
      <c r="DY40" s="4">
        <v>-1.1839999999999999</v>
      </c>
      <c r="DZ40" s="4">
        <v>0.48299999999999998</v>
      </c>
      <c r="EA40" s="4">
        <v>0.61299999999999999</v>
      </c>
      <c r="EB40" s="4">
        <v>-1.387</v>
      </c>
      <c r="EC40" s="4">
        <v>-8.32</v>
      </c>
      <c r="ED40" s="4">
        <v>4.4999999999999998E-2</v>
      </c>
      <c r="EE40" s="4">
        <v>0.90100000000000002</v>
      </c>
      <c r="EF40" s="4">
        <v>-1.161</v>
      </c>
      <c r="EG40" s="4">
        <v>-1.34</v>
      </c>
      <c r="EH40" s="4">
        <v>-4.1749999999999998</v>
      </c>
      <c r="EI40" s="4">
        <v>-9.8000000000000004E-2</v>
      </c>
      <c r="EJ40" s="4">
        <v>-1.427</v>
      </c>
      <c r="EK40" s="4">
        <v>-0.56299999999999994</v>
      </c>
      <c r="EL40" s="4">
        <v>0.11600000000000001</v>
      </c>
      <c r="EM40" s="4">
        <v>-1.7999999999999999E-2</v>
      </c>
      <c r="EN40" s="4">
        <v>-2.1840000000000002</v>
      </c>
      <c r="EO40" s="4">
        <v>-0.61</v>
      </c>
      <c r="EP40" s="4">
        <v>-1.1080000000000001</v>
      </c>
      <c r="EQ40" s="4">
        <v>-6.5609999999999999</v>
      </c>
      <c r="ER40" s="4">
        <v>0.83</v>
      </c>
      <c r="ES40" s="4">
        <v>-2.9249999999999998</v>
      </c>
      <c r="ET40" s="4">
        <v>-5.8860000000000001</v>
      </c>
      <c r="EU40" s="4">
        <v>0.54400000000000004</v>
      </c>
      <c r="EV40" s="4">
        <v>-6.4470000000000001</v>
      </c>
      <c r="EW40" s="4">
        <v>1.216</v>
      </c>
      <c r="EX40" s="4">
        <v>-6.931</v>
      </c>
      <c r="EY40" s="4">
        <v>-1.212</v>
      </c>
      <c r="EZ40" s="4">
        <v>0.93500000000000005</v>
      </c>
      <c r="FA40" s="4">
        <v>-6.0629999999999997</v>
      </c>
      <c r="FB40" s="4">
        <v>0.217</v>
      </c>
      <c r="FC40" s="4">
        <v>-0.72199999999999998</v>
      </c>
      <c r="FD40" s="4">
        <v>-1.621</v>
      </c>
      <c r="FE40" s="4">
        <v>0.38200000000000001</v>
      </c>
      <c r="FF40" s="4">
        <v>-0.61699999999999999</v>
      </c>
      <c r="FG40" s="4">
        <v>0.55200000000000005</v>
      </c>
      <c r="FH40" s="4">
        <v>-0.43099999999999999</v>
      </c>
      <c r="FI40" s="4">
        <v>-5.556</v>
      </c>
      <c r="FJ40" s="4">
        <v>-0.27400000000000002</v>
      </c>
      <c r="FK40" s="4">
        <v>-0.40600000000000003</v>
      </c>
      <c r="FL40" s="4">
        <v>4.8000000000000001E-2</v>
      </c>
      <c r="FM40" s="4">
        <v>-2.9940000000000002</v>
      </c>
      <c r="FN40" s="4">
        <v>-0.51400000000000001</v>
      </c>
      <c r="FO40" s="4">
        <v>-1.7789999999999999</v>
      </c>
      <c r="FP40" s="4">
        <v>-1.9159999999999999</v>
      </c>
      <c r="FQ40" s="4">
        <v>-3.3170000000000002</v>
      </c>
      <c r="FR40" s="4">
        <v>-3.1360000000000001</v>
      </c>
      <c r="FS40" s="4">
        <v>-3.8519999999999999</v>
      </c>
      <c r="FT40" s="4">
        <v>-0.86199999999999999</v>
      </c>
      <c r="FU40" s="4">
        <v>-1.254</v>
      </c>
      <c r="FV40" s="4">
        <v>-6.5190000000000001</v>
      </c>
      <c r="FW40" s="4">
        <v>-0.91</v>
      </c>
      <c r="FX40" s="4">
        <v>-0.998</v>
      </c>
      <c r="FY40" s="4">
        <v>-1.2230000000000001</v>
      </c>
      <c r="FZ40" s="4">
        <v>-0.31</v>
      </c>
      <c r="GA40" s="4">
        <v>-3.0830000000000002</v>
      </c>
      <c r="GB40" s="4">
        <v>1.8680000000000001</v>
      </c>
      <c r="GC40" s="4">
        <v>-0.16600000000000001</v>
      </c>
      <c r="GD40" s="4">
        <v>-0.71</v>
      </c>
      <c r="GE40" s="4">
        <v>-1.1200000000000001</v>
      </c>
      <c r="GF40" s="4">
        <v>-0.443</v>
      </c>
      <c r="GG40" s="4">
        <v>-3.7589999999999999</v>
      </c>
      <c r="GH40" s="4">
        <v>-6.3810000000000002</v>
      </c>
      <c r="GI40" s="4">
        <v>0.624</v>
      </c>
      <c r="GJ40" s="4">
        <v>-0.68700000000000006</v>
      </c>
      <c r="GK40" s="4">
        <v>-0.57399999999999995</v>
      </c>
      <c r="GL40" s="4">
        <v>-0.56499999999999995</v>
      </c>
      <c r="GM40" s="4">
        <v>-0.81100000000000005</v>
      </c>
      <c r="GN40" s="4">
        <v>-3.3239999999999998</v>
      </c>
      <c r="GO40" s="4">
        <v>-1.627</v>
      </c>
      <c r="GP40" s="4">
        <v>-4.96</v>
      </c>
      <c r="GQ40" s="4">
        <v>-9.3339999999999996</v>
      </c>
      <c r="GR40" s="4">
        <v>-9.0229999999999997</v>
      </c>
      <c r="GS40" s="4">
        <v>-0.55900000000000005</v>
      </c>
      <c r="GT40" s="4">
        <v>-9.0890000000000004</v>
      </c>
      <c r="GU40" s="4">
        <v>0.29099999999999998</v>
      </c>
      <c r="GV40" s="4">
        <v>-4.9800000000000004</v>
      </c>
      <c r="GW40" s="4">
        <v>-4.7350000000000003</v>
      </c>
      <c r="GX40" s="4">
        <v>-6.3010000000000002</v>
      </c>
      <c r="GY40" s="4">
        <v>-4.33</v>
      </c>
      <c r="GZ40" s="4">
        <v>-1.2999999999999999E-2</v>
      </c>
      <c r="HA40" s="4">
        <v>-0.57299999999999995</v>
      </c>
      <c r="HB40" s="4">
        <v>-2.4900000000000002</v>
      </c>
      <c r="HC40" s="4">
        <v>-0.88400000000000001</v>
      </c>
      <c r="HD40" s="4">
        <v>-6.29</v>
      </c>
      <c r="HE40" s="4">
        <v>-2.6349999999999998</v>
      </c>
      <c r="HF40" s="4">
        <v>-9.8469999999999995</v>
      </c>
      <c r="HG40" s="4">
        <v>0.247</v>
      </c>
      <c r="HH40" s="4">
        <v>-3.5350000000000001</v>
      </c>
      <c r="HI40" s="4">
        <v>-1.7809999999999999</v>
      </c>
      <c r="HJ40" s="4">
        <v>-1.2629999999999999</v>
      </c>
      <c r="HK40" s="4">
        <v>0.96099999999999997</v>
      </c>
      <c r="HL40" s="4">
        <v>-0.125</v>
      </c>
      <c r="HM40" s="4">
        <v>-0.53800000000000003</v>
      </c>
      <c r="HN40" s="4">
        <v>-4.4960000000000004</v>
      </c>
      <c r="HO40" s="4">
        <v>-2.7370000000000001</v>
      </c>
      <c r="HP40" s="4">
        <v>-0.73899999999999999</v>
      </c>
      <c r="HQ40" s="4">
        <v>0.31900000000000001</v>
      </c>
      <c r="HR40" s="4">
        <v>-1.6559999999999999</v>
      </c>
      <c r="HS40" s="4">
        <v>-3.03</v>
      </c>
      <c r="HT40" s="4">
        <v>-2.4049999999999998</v>
      </c>
      <c r="HU40" s="4">
        <v>-0.75800000000000001</v>
      </c>
      <c r="HV40" s="4">
        <v>-1.048</v>
      </c>
      <c r="HW40" s="4">
        <v>-5.673</v>
      </c>
      <c r="HX40" s="4">
        <v>-0.77600000000000002</v>
      </c>
      <c r="HY40" s="4">
        <v>-0.56100000000000005</v>
      </c>
      <c r="HZ40" s="4">
        <v>0.27500000000000002</v>
      </c>
      <c r="IA40" s="4">
        <v>-7.6449999999999996</v>
      </c>
      <c r="IB40" s="4">
        <v>1.891</v>
      </c>
      <c r="IC40" s="4">
        <v>0.503</v>
      </c>
      <c r="ID40" s="4">
        <v>0.46700000000000003</v>
      </c>
      <c r="IE40" s="4">
        <v>-0.57199999999999995</v>
      </c>
      <c r="IF40" s="4">
        <v>-0.60599999999999998</v>
      </c>
      <c r="IG40" s="4">
        <v>-2.407</v>
      </c>
      <c r="IH40" s="4">
        <v>-2.323</v>
      </c>
      <c r="II40" s="4">
        <v>-6.7469999999999999</v>
      </c>
      <c r="IJ40" s="4">
        <v>-1.387</v>
      </c>
      <c r="IK40" s="4">
        <v>0.97199999999999998</v>
      </c>
      <c r="IL40" s="4">
        <v>-4.875</v>
      </c>
      <c r="IM40" s="4">
        <v>-0.60199999999999998</v>
      </c>
      <c r="IN40" s="4">
        <v>-4.0940000000000003</v>
      </c>
      <c r="IO40" s="4">
        <v>-2.5030000000000001</v>
      </c>
      <c r="IP40" s="4">
        <v>-2.278</v>
      </c>
      <c r="IQ40" s="4">
        <v>0.28999999999999998</v>
      </c>
      <c r="IR40" s="4">
        <v>0.42699999999999999</v>
      </c>
      <c r="IS40" s="4">
        <v>-6.7720000000000002</v>
      </c>
      <c r="IT40" s="4">
        <v>-1.1679999999999999</v>
      </c>
      <c r="IU40" s="4">
        <v>-4.6790000000000003</v>
      </c>
      <c r="IV40" s="4">
        <v>-0.76600000000000001</v>
      </c>
      <c r="IW40" s="4">
        <v>-5.1180000000000003</v>
      </c>
      <c r="IX40" s="4">
        <v>0.54600000000000004</v>
      </c>
      <c r="IY40" s="4">
        <v>-2.4430000000000001</v>
      </c>
      <c r="IZ40" s="4">
        <v>-0.47099999999999997</v>
      </c>
      <c r="JA40" s="4">
        <v>-1.008</v>
      </c>
      <c r="JB40" s="4">
        <v>-2.181</v>
      </c>
      <c r="JC40" s="4">
        <v>-5.306</v>
      </c>
      <c r="JD40" s="4">
        <v>-1.04</v>
      </c>
      <c r="JE40" s="4">
        <v>1.5580000000000001</v>
      </c>
      <c r="JF40" s="4">
        <v>-7.9000000000000001E-2</v>
      </c>
      <c r="JG40" s="4">
        <v>-0.55800000000000005</v>
      </c>
      <c r="JH40" s="4">
        <v>-0.49299999999999999</v>
      </c>
      <c r="JI40" s="4">
        <v>-3.931</v>
      </c>
      <c r="JJ40" s="4">
        <v>-1.25</v>
      </c>
      <c r="JK40" s="4">
        <v>-1.37</v>
      </c>
      <c r="JL40" s="4">
        <v>1.0960000000000001</v>
      </c>
      <c r="JM40" s="4">
        <v>-0.10100000000000001</v>
      </c>
      <c r="JN40" s="4">
        <v>-0.878</v>
      </c>
      <c r="JO40" s="4">
        <v>-0.52300000000000002</v>
      </c>
      <c r="JP40" s="4">
        <v>0.27900000000000003</v>
      </c>
      <c r="JQ40" s="4">
        <v>-0.54600000000000004</v>
      </c>
      <c r="JR40" s="4">
        <v>-1.6439999999999999</v>
      </c>
      <c r="JS40" s="4">
        <v>-4.226</v>
      </c>
      <c r="JT40" s="4">
        <v>-1.0009999999999999</v>
      </c>
      <c r="JU40" s="4">
        <v>-1.0129999999999999</v>
      </c>
      <c r="JV40" s="4">
        <v>-1.5780000000000001</v>
      </c>
      <c r="JW40" s="4">
        <v>-4.8000000000000001E-2</v>
      </c>
      <c r="JX40" s="4">
        <v>-1.59</v>
      </c>
      <c r="JY40" s="4">
        <v>-0.78800000000000003</v>
      </c>
      <c r="JZ40" s="4">
        <v>-1.34</v>
      </c>
      <c r="KA40" s="4">
        <v>-4.2000000000000003E-2</v>
      </c>
      <c r="KB40" s="4">
        <v>-5.22</v>
      </c>
      <c r="KC40" s="4">
        <v>-5.0919999999999996</v>
      </c>
      <c r="KD40" s="4">
        <v>-0.27</v>
      </c>
      <c r="KE40" s="4">
        <v>0.75900000000000001</v>
      </c>
      <c r="KF40" s="4">
        <v>-0.58299999999999996</v>
      </c>
      <c r="KG40" s="4">
        <v>-0.439</v>
      </c>
      <c r="KH40" s="4">
        <v>-1.274</v>
      </c>
      <c r="KI40" s="4">
        <v>-1.611</v>
      </c>
      <c r="KJ40" s="4">
        <v>-0.42799999999999999</v>
      </c>
      <c r="KK40" s="4">
        <v>-1.4279999999999999</v>
      </c>
      <c r="KL40" s="4">
        <v>-1.7</v>
      </c>
      <c r="KM40" s="4">
        <v>-7.1959999999999997</v>
      </c>
      <c r="KN40" s="4">
        <v>-1.4590000000000001</v>
      </c>
      <c r="KO40" s="4">
        <v>-6.4790000000000001</v>
      </c>
      <c r="KP40" s="4">
        <v>-1.3129999999999999</v>
      </c>
      <c r="KQ40" s="4">
        <v>0.36799999999999999</v>
      </c>
      <c r="KR40" s="4">
        <v>-1.6539999999999999</v>
      </c>
      <c r="KS40" s="4">
        <v>0.751</v>
      </c>
    </row>
    <row r="41" spans="1:305" x14ac:dyDescent="0.25">
      <c r="A41" s="4">
        <v>2017</v>
      </c>
      <c r="B41" s="4">
        <v>2</v>
      </c>
      <c r="C41" s="4">
        <v>-9.2520000000000007</v>
      </c>
      <c r="D41" s="4">
        <v>-0.50700000000000001</v>
      </c>
      <c r="E41" s="4">
        <v>0.69</v>
      </c>
      <c r="F41" s="4">
        <v>0.32100000000000001</v>
      </c>
      <c r="G41" s="4">
        <v>0.53500000000000003</v>
      </c>
      <c r="H41" s="4">
        <v>-3.7719999999999998</v>
      </c>
      <c r="I41" s="4">
        <v>0.22</v>
      </c>
      <c r="J41" s="4">
        <v>-7.2430000000000003</v>
      </c>
      <c r="K41" s="4">
        <v>-0.51600000000000001</v>
      </c>
      <c r="L41" s="4">
        <v>1.3080000000000001</v>
      </c>
      <c r="M41" s="4">
        <v>-4.9690000000000003</v>
      </c>
      <c r="N41" s="4">
        <v>-1.026</v>
      </c>
      <c r="O41" s="4">
        <v>-5.2629999999999999</v>
      </c>
      <c r="P41" s="4">
        <v>-1.7589999999999999</v>
      </c>
      <c r="Q41" s="4">
        <v>-7.81</v>
      </c>
      <c r="R41" s="4">
        <v>-7.4359999999999999</v>
      </c>
      <c r="S41" s="4">
        <v>-1.93</v>
      </c>
      <c r="T41" s="4">
        <v>-0.27600000000000002</v>
      </c>
      <c r="U41" s="4">
        <v>-0.91</v>
      </c>
      <c r="V41" s="4">
        <v>0.159</v>
      </c>
      <c r="W41" s="4">
        <v>-1.94</v>
      </c>
      <c r="X41" s="4">
        <v>1.018</v>
      </c>
      <c r="Y41" s="4">
        <v>-0.97799999999999998</v>
      </c>
      <c r="Z41" s="4">
        <v>-5.8</v>
      </c>
      <c r="AA41" s="4">
        <v>1.3520000000000001</v>
      </c>
      <c r="AB41" s="4">
        <v>-7.6630000000000003</v>
      </c>
      <c r="AC41" s="4">
        <v>0.115</v>
      </c>
      <c r="AD41" s="4">
        <v>-2.431</v>
      </c>
      <c r="AE41" s="4">
        <v>-0.21299999999999999</v>
      </c>
      <c r="AF41" s="4">
        <v>1.6279999999999999</v>
      </c>
      <c r="AG41" s="4">
        <v>-2.153</v>
      </c>
      <c r="AH41" s="4">
        <v>-0.38300000000000001</v>
      </c>
      <c r="AI41" s="4">
        <v>-5.4240000000000004</v>
      </c>
      <c r="AJ41" s="4">
        <v>1.073</v>
      </c>
      <c r="AK41" s="4">
        <v>1.506</v>
      </c>
      <c r="AL41" s="4">
        <v>1.6779999999999999</v>
      </c>
      <c r="AM41" s="4">
        <v>-2.3439999999999999</v>
      </c>
      <c r="AN41" s="4">
        <v>-0.25800000000000001</v>
      </c>
      <c r="AO41" s="4">
        <v>-1.6359999999999999</v>
      </c>
      <c r="AP41" s="4">
        <v>-2.9449999999999998</v>
      </c>
      <c r="AQ41" s="4">
        <v>-6.234</v>
      </c>
      <c r="AR41" s="4">
        <v>-3</v>
      </c>
      <c r="AS41" s="4">
        <v>-0.94099999999999995</v>
      </c>
      <c r="AT41" s="4">
        <v>-0.499</v>
      </c>
      <c r="AU41" s="4">
        <v>0.51600000000000001</v>
      </c>
      <c r="AV41" s="4">
        <v>-1.3680000000000001</v>
      </c>
      <c r="AW41" s="4">
        <v>-1.0860000000000001</v>
      </c>
      <c r="AX41" s="4">
        <v>1.2010000000000001</v>
      </c>
      <c r="AY41" s="4">
        <v>0.219</v>
      </c>
      <c r="AZ41" s="4">
        <v>-2.121</v>
      </c>
      <c r="BA41" s="4">
        <v>0.84199999999999997</v>
      </c>
      <c r="BB41" s="4">
        <v>-0.34300000000000003</v>
      </c>
      <c r="BC41" s="4">
        <v>2.0710000000000002</v>
      </c>
      <c r="BD41" s="4">
        <v>-2.2200000000000002</v>
      </c>
      <c r="BE41" s="4">
        <v>-0.105</v>
      </c>
      <c r="BF41" s="4">
        <v>-2.7789999999999999</v>
      </c>
      <c r="BG41" s="4">
        <v>-1.2989999999999999</v>
      </c>
      <c r="BH41" s="4">
        <v>-0.40799999999999997</v>
      </c>
      <c r="BI41" s="4">
        <v>-0.85799999999999998</v>
      </c>
      <c r="BJ41" s="4">
        <v>-5.3959999999999999</v>
      </c>
      <c r="BK41" s="4">
        <v>-1.754</v>
      </c>
      <c r="BL41" s="4">
        <v>-6.149</v>
      </c>
      <c r="BM41" s="4">
        <v>-7.0430000000000001</v>
      </c>
      <c r="BN41" s="4">
        <v>-2.7</v>
      </c>
      <c r="BO41" s="4">
        <v>-9.3460000000000001</v>
      </c>
      <c r="BP41" s="4">
        <v>-1.133</v>
      </c>
      <c r="BQ41" s="4">
        <v>-5.3999999999999999E-2</v>
      </c>
      <c r="BR41" s="4">
        <v>-0.77</v>
      </c>
      <c r="BS41" s="4">
        <v>0.94899999999999995</v>
      </c>
      <c r="BT41" s="4">
        <v>0.14000000000000001</v>
      </c>
      <c r="BU41" s="4">
        <v>0.29699999999999999</v>
      </c>
      <c r="BV41" s="4">
        <v>-1.075</v>
      </c>
      <c r="BW41" s="4">
        <v>-2.988</v>
      </c>
      <c r="BX41" s="4">
        <v>-2.863</v>
      </c>
      <c r="BY41" s="4">
        <v>-0.91400000000000003</v>
      </c>
      <c r="BZ41" s="4">
        <v>-1.417</v>
      </c>
      <c r="CA41" s="4">
        <v>0.94899999999999995</v>
      </c>
      <c r="CB41" s="4">
        <v>-1.0069999999999999</v>
      </c>
      <c r="CC41" s="4">
        <v>-5.351</v>
      </c>
      <c r="CD41" s="4">
        <v>-0.23799999999999999</v>
      </c>
      <c r="CE41" s="4">
        <v>-7.4459999999999997</v>
      </c>
      <c r="CF41" s="4">
        <v>-2.6070000000000002</v>
      </c>
      <c r="CG41" s="4">
        <v>0.66700000000000004</v>
      </c>
      <c r="CH41" s="4">
        <v>0.99</v>
      </c>
      <c r="CI41" s="4">
        <v>-2.15</v>
      </c>
      <c r="CJ41" s="4">
        <v>-5.8719999999999999</v>
      </c>
      <c r="CK41" s="4">
        <v>1.556</v>
      </c>
      <c r="CL41" s="4">
        <v>-7.1790000000000003</v>
      </c>
      <c r="CM41" s="4">
        <v>0.71799999999999997</v>
      </c>
      <c r="CN41" s="4">
        <v>5.2999999999999999E-2</v>
      </c>
      <c r="CO41" s="4">
        <v>0.51500000000000001</v>
      </c>
      <c r="CP41" s="4">
        <v>-2.1520000000000001</v>
      </c>
      <c r="CQ41" s="4">
        <v>1.476</v>
      </c>
      <c r="CR41" s="4">
        <v>0.80900000000000005</v>
      </c>
      <c r="CS41" s="4">
        <v>0.92400000000000004</v>
      </c>
      <c r="CT41" s="4">
        <v>0.89700000000000002</v>
      </c>
      <c r="CU41" s="4">
        <v>-0.53300000000000003</v>
      </c>
      <c r="CV41" s="4">
        <v>-0.20399999999999999</v>
      </c>
      <c r="CW41" s="4">
        <v>-1.7829999999999999</v>
      </c>
      <c r="CX41" s="4">
        <v>0.218</v>
      </c>
      <c r="CY41" s="4">
        <v>0.248</v>
      </c>
      <c r="CZ41" s="4">
        <v>-0.38400000000000001</v>
      </c>
      <c r="DA41" s="4">
        <v>-9.1310000000000002</v>
      </c>
      <c r="DB41" s="4">
        <v>4.0000000000000001E-3</v>
      </c>
      <c r="DC41" s="4">
        <v>-5.8440000000000003</v>
      </c>
      <c r="DD41" s="4">
        <v>-7.58</v>
      </c>
      <c r="DE41" s="4">
        <v>1.4910000000000001</v>
      </c>
      <c r="DF41" s="4">
        <v>-11.06</v>
      </c>
      <c r="DG41" s="4">
        <v>0.28499999999999998</v>
      </c>
      <c r="DH41" s="4">
        <v>1.208</v>
      </c>
      <c r="DI41" s="4">
        <v>-1.9790000000000001</v>
      </c>
      <c r="DJ41" s="4">
        <v>1.345</v>
      </c>
      <c r="DK41" s="4">
        <v>-1.3029999999999999</v>
      </c>
      <c r="DL41" s="4">
        <v>-0.66300000000000003</v>
      </c>
      <c r="DM41" s="4">
        <v>1.466</v>
      </c>
      <c r="DN41" s="4">
        <v>-1.7330000000000001</v>
      </c>
      <c r="DO41" s="4">
        <v>0.248</v>
      </c>
      <c r="DP41" s="4">
        <v>-9.4179999999999993</v>
      </c>
      <c r="DQ41" s="4">
        <v>-0.1</v>
      </c>
      <c r="DR41" s="4">
        <v>1.0920000000000001</v>
      </c>
      <c r="DS41" s="4">
        <v>-1.1220000000000001</v>
      </c>
      <c r="DT41" s="4">
        <v>-1.2270000000000001</v>
      </c>
      <c r="DU41" s="4">
        <v>-2.8410000000000002</v>
      </c>
      <c r="DV41" s="4">
        <v>-4.3129999999999997</v>
      </c>
      <c r="DW41" s="4">
        <v>1.585</v>
      </c>
      <c r="DX41" s="4">
        <v>-1.44</v>
      </c>
      <c r="DY41" s="4">
        <v>-0.84899999999999998</v>
      </c>
      <c r="DZ41" s="4">
        <v>0.80900000000000005</v>
      </c>
      <c r="EA41" s="4">
        <v>0.81799999999999995</v>
      </c>
      <c r="EB41" s="4">
        <v>-1.0129999999999999</v>
      </c>
      <c r="EC41" s="4">
        <v>-8.8659999999999997</v>
      </c>
      <c r="ED41" s="4">
        <v>0.95499999999999996</v>
      </c>
      <c r="EE41" s="4">
        <v>1.6080000000000001</v>
      </c>
      <c r="EF41" s="4">
        <v>-1.0069999999999999</v>
      </c>
      <c r="EG41" s="4">
        <v>-1.1579999999999999</v>
      </c>
      <c r="EH41" s="4">
        <v>-2.718</v>
      </c>
      <c r="EI41" s="4">
        <v>0.49199999999999999</v>
      </c>
      <c r="EJ41" s="4">
        <v>0.19600000000000001</v>
      </c>
      <c r="EK41" s="4">
        <v>-0.14699999999999999</v>
      </c>
      <c r="EL41" s="4">
        <v>0.38500000000000001</v>
      </c>
      <c r="EM41" s="4">
        <v>0.374</v>
      </c>
      <c r="EN41" s="4">
        <v>-1.8859999999999999</v>
      </c>
      <c r="EO41" s="4">
        <v>0.253</v>
      </c>
      <c r="EP41" s="4">
        <v>0.36599999999999999</v>
      </c>
      <c r="EQ41" s="4">
        <v>-3.5409999999999999</v>
      </c>
      <c r="ER41" s="4">
        <v>1.679</v>
      </c>
      <c r="ES41" s="4">
        <v>-2.2879999999999998</v>
      </c>
      <c r="ET41" s="4">
        <v>-6.5549999999999997</v>
      </c>
      <c r="EU41" s="4">
        <v>1.498</v>
      </c>
      <c r="EV41" s="4">
        <v>-6.7709999999999999</v>
      </c>
      <c r="EW41" s="4">
        <v>0.69799999999999995</v>
      </c>
      <c r="EX41" s="4">
        <v>-7.2290000000000001</v>
      </c>
      <c r="EY41" s="4">
        <v>-0.14499999999999999</v>
      </c>
      <c r="EZ41" s="4">
        <v>1.722</v>
      </c>
      <c r="FA41" s="4">
        <v>-3.9529999999999998</v>
      </c>
      <c r="FB41" s="4">
        <v>0.20899999999999999</v>
      </c>
      <c r="FC41" s="4">
        <v>0.61499999999999999</v>
      </c>
      <c r="FD41" s="4">
        <v>-1.093</v>
      </c>
      <c r="FE41" s="4">
        <v>0.25600000000000001</v>
      </c>
      <c r="FF41" s="4">
        <v>9.2999999999999999E-2</v>
      </c>
      <c r="FG41" s="4">
        <v>0.80300000000000005</v>
      </c>
      <c r="FH41" s="4">
        <v>1.492</v>
      </c>
      <c r="FI41" s="4">
        <v>-2.7709999999999999</v>
      </c>
      <c r="FJ41" s="4">
        <v>1.3420000000000001</v>
      </c>
      <c r="FK41" s="4">
        <v>-0.17799999999999999</v>
      </c>
      <c r="FL41" s="4">
        <v>0.20100000000000001</v>
      </c>
      <c r="FM41" s="4">
        <v>-2.5590000000000002</v>
      </c>
      <c r="FN41" s="4">
        <v>-0.03</v>
      </c>
      <c r="FO41" s="4">
        <v>-0.66</v>
      </c>
      <c r="FP41" s="4">
        <v>-1.9319999999999999</v>
      </c>
      <c r="FQ41" s="4">
        <v>-2.177</v>
      </c>
      <c r="FR41" s="4">
        <v>-2.4260000000000002</v>
      </c>
      <c r="FS41" s="4">
        <v>-4.4329999999999998</v>
      </c>
      <c r="FT41" s="4">
        <v>5.0999999999999997E-2</v>
      </c>
      <c r="FU41" s="4">
        <v>-0.86799999999999999</v>
      </c>
      <c r="FV41" s="4">
        <v>-6.798</v>
      </c>
      <c r="FW41" s="4">
        <v>0.96799999999999997</v>
      </c>
      <c r="FX41" s="4">
        <v>-2.7E-2</v>
      </c>
      <c r="FY41" s="4">
        <v>-0.746</v>
      </c>
      <c r="FZ41" s="4">
        <v>0.16300000000000001</v>
      </c>
      <c r="GA41" s="4">
        <v>-1.944</v>
      </c>
      <c r="GB41" s="4">
        <v>1.194</v>
      </c>
      <c r="GC41" s="4">
        <v>0.23499999999999999</v>
      </c>
      <c r="GD41" s="4">
        <v>0.93799999999999994</v>
      </c>
      <c r="GE41" s="4">
        <v>-0.88500000000000001</v>
      </c>
      <c r="GF41" s="4">
        <v>0.83399999999999996</v>
      </c>
      <c r="GG41" s="4">
        <v>-4.0549999999999997</v>
      </c>
      <c r="GH41" s="4">
        <v>-3.129</v>
      </c>
      <c r="GI41" s="4">
        <v>0.58699999999999997</v>
      </c>
      <c r="GJ41" s="4">
        <v>0.82299999999999995</v>
      </c>
      <c r="GK41" s="4">
        <v>1.282</v>
      </c>
      <c r="GL41" s="4">
        <v>-0.16900000000000001</v>
      </c>
      <c r="GM41" s="4">
        <v>-0.45600000000000002</v>
      </c>
      <c r="GN41" s="4">
        <v>-5.3419999999999996</v>
      </c>
      <c r="GO41" s="4">
        <v>-1.1060000000000001</v>
      </c>
      <c r="GP41" s="4">
        <v>-3.383</v>
      </c>
      <c r="GQ41" s="4">
        <v>-8.6880000000000006</v>
      </c>
      <c r="GR41" s="4">
        <v>-8.58</v>
      </c>
      <c r="GS41" s="4">
        <v>0.36799999999999999</v>
      </c>
      <c r="GT41" s="4">
        <v>-9.8680000000000003</v>
      </c>
      <c r="GU41" s="4">
        <v>0.72699999999999998</v>
      </c>
      <c r="GV41" s="4">
        <v>-5.7469999999999999</v>
      </c>
      <c r="GW41" s="4">
        <v>-2.9889999999999999</v>
      </c>
      <c r="GX41" s="4">
        <v>-8.5359999999999996</v>
      </c>
      <c r="GY41" s="4">
        <v>-5.0209999999999999</v>
      </c>
      <c r="GZ41" s="4">
        <v>1.212</v>
      </c>
      <c r="HA41" s="4">
        <v>-0.78200000000000003</v>
      </c>
      <c r="HB41" s="4">
        <v>-1.823</v>
      </c>
      <c r="HC41" s="4">
        <v>-0.435</v>
      </c>
      <c r="HD41" s="4">
        <v>-4.5090000000000003</v>
      </c>
      <c r="HE41" s="4">
        <v>-1.4650000000000001</v>
      </c>
      <c r="HF41" s="4">
        <v>-5.9550000000000001</v>
      </c>
      <c r="HG41" s="4">
        <v>0.36799999999999999</v>
      </c>
      <c r="HH41" s="4">
        <v>-2.1819999999999999</v>
      </c>
      <c r="HI41" s="4">
        <v>-0.56799999999999995</v>
      </c>
      <c r="HJ41" s="4">
        <v>-1.0880000000000001</v>
      </c>
      <c r="HK41" s="4">
        <v>2.044</v>
      </c>
      <c r="HL41" s="4">
        <v>1.117</v>
      </c>
      <c r="HM41" s="4">
        <v>2.5000000000000001E-2</v>
      </c>
      <c r="HN41" s="4">
        <v>-5.3040000000000003</v>
      </c>
      <c r="HO41" s="4">
        <v>-2.0110000000000001</v>
      </c>
      <c r="HP41" s="4">
        <v>-0.19700000000000001</v>
      </c>
      <c r="HQ41" s="4">
        <v>1.35</v>
      </c>
      <c r="HR41" s="4">
        <v>-0.88200000000000001</v>
      </c>
      <c r="HS41" s="4">
        <v>-2.19</v>
      </c>
      <c r="HT41" s="4">
        <v>-1.246</v>
      </c>
      <c r="HU41" s="4">
        <v>0.38200000000000001</v>
      </c>
      <c r="HV41" s="4">
        <v>-0.56000000000000005</v>
      </c>
      <c r="HW41" s="4">
        <v>-5.3440000000000003</v>
      </c>
      <c r="HX41" s="4">
        <v>-0.51300000000000001</v>
      </c>
      <c r="HY41" s="4">
        <v>-0.154</v>
      </c>
      <c r="HZ41" s="4">
        <v>1.6</v>
      </c>
      <c r="IA41" s="4">
        <v>-7.6180000000000003</v>
      </c>
      <c r="IB41" s="4">
        <v>0.80700000000000005</v>
      </c>
      <c r="IC41" s="4">
        <v>1.5029999999999999</v>
      </c>
      <c r="ID41" s="4">
        <v>0.51</v>
      </c>
      <c r="IE41" s="4">
        <v>-0.184</v>
      </c>
      <c r="IF41" s="4">
        <v>-8.7999999999999995E-2</v>
      </c>
      <c r="IG41" s="4">
        <v>-2.3079999999999998</v>
      </c>
      <c r="IH41" s="4">
        <v>-5.1070000000000002</v>
      </c>
      <c r="II41" s="4">
        <v>-7.0730000000000004</v>
      </c>
      <c r="IJ41" s="4">
        <v>-1.159</v>
      </c>
      <c r="IK41" s="4">
        <v>-8.0000000000000002E-3</v>
      </c>
      <c r="IL41" s="4">
        <v>-5.4240000000000004</v>
      </c>
      <c r="IM41" s="4">
        <v>-0.24</v>
      </c>
      <c r="IN41" s="4">
        <v>-2.9129999999999998</v>
      </c>
      <c r="IO41" s="4">
        <v>-2.1789999999999998</v>
      </c>
      <c r="IP41" s="4">
        <v>-1.6279999999999999</v>
      </c>
      <c r="IQ41" s="4">
        <v>1.246</v>
      </c>
      <c r="IR41" s="4">
        <v>1.4139999999999999</v>
      </c>
      <c r="IS41" s="4">
        <v>-4.8760000000000003</v>
      </c>
      <c r="IT41" s="4">
        <v>-0.22800000000000001</v>
      </c>
      <c r="IU41" s="4">
        <v>-5.5590000000000002</v>
      </c>
      <c r="IV41" s="4">
        <v>-0.44700000000000001</v>
      </c>
      <c r="IW41" s="4">
        <v>-5.8140000000000001</v>
      </c>
      <c r="IX41" s="4">
        <v>-3.0000000000000001E-3</v>
      </c>
      <c r="IY41" s="4">
        <v>-1.645</v>
      </c>
      <c r="IZ41" s="4">
        <v>0.214</v>
      </c>
      <c r="JA41" s="4">
        <v>-0.14699999999999999</v>
      </c>
      <c r="JB41" s="4">
        <v>-1.3089999999999999</v>
      </c>
      <c r="JC41" s="4">
        <v>-3.6219999999999999</v>
      </c>
      <c r="JD41" s="4">
        <v>0.57399999999999995</v>
      </c>
      <c r="JE41" s="4">
        <v>0.82099999999999995</v>
      </c>
      <c r="JF41" s="4">
        <v>1.1970000000000001</v>
      </c>
      <c r="JG41" s="4">
        <v>-0.14000000000000001</v>
      </c>
      <c r="JH41" s="4">
        <v>1.2729999999999999</v>
      </c>
      <c r="JI41" s="4">
        <v>-2.5059999999999998</v>
      </c>
      <c r="JJ41" s="4">
        <v>-0.23300000000000001</v>
      </c>
      <c r="JK41" s="4">
        <v>-0.27900000000000003</v>
      </c>
      <c r="JL41" s="4">
        <v>1.7749999999999999</v>
      </c>
      <c r="JM41" s="4">
        <v>0.35099999999999998</v>
      </c>
      <c r="JN41" s="4">
        <v>-0.18</v>
      </c>
      <c r="JO41" s="4">
        <v>4.0000000000000001E-3</v>
      </c>
      <c r="JP41" s="4">
        <v>0.46500000000000002</v>
      </c>
      <c r="JQ41" s="4">
        <v>0.253</v>
      </c>
      <c r="JR41" s="4">
        <v>-0.64200000000000002</v>
      </c>
      <c r="JS41" s="4">
        <v>-4.7670000000000003</v>
      </c>
      <c r="JT41" s="4">
        <v>-0.90800000000000003</v>
      </c>
      <c r="JU41" s="4">
        <v>-0.80400000000000005</v>
      </c>
      <c r="JV41" s="4">
        <v>-1.083</v>
      </c>
      <c r="JW41" s="4">
        <v>0.184</v>
      </c>
      <c r="JX41" s="4">
        <v>-0.36199999999999999</v>
      </c>
      <c r="JY41" s="4">
        <v>0.72</v>
      </c>
      <c r="JZ41" s="4">
        <v>-1.022</v>
      </c>
      <c r="KA41" s="4">
        <v>0.34899999999999998</v>
      </c>
      <c r="KB41" s="4">
        <v>-5.5369999999999999</v>
      </c>
      <c r="KC41" s="4">
        <v>-3.3140000000000001</v>
      </c>
      <c r="KD41" s="4">
        <v>0.28399999999999997</v>
      </c>
      <c r="KE41" s="4">
        <v>0.89</v>
      </c>
      <c r="KF41" s="4">
        <v>0.11899999999999999</v>
      </c>
      <c r="KG41" s="4">
        <v>-1.4E-2</v>
      </c>
      <c r="KH41" s="4">
        <v>7.0999999999999994E-2</v>
      </c>
      <c r="KI41" s="4">
        <v>-1.2110000000000001</v>
      </c>
      <c r="KJ41" s="4">
        <v>1.2390000000000001</v>
      </c>
      <c r="KK41" s="4">
        <v>0.20399999999999999</v>
      </c>
      <c r="KL41" s="4">
        <v>-0.376</v>
      </c>
      <c r="KM41" s="4">
        <v>-7.1859999999999999</v>
      </c>
      <c r="KN41" s="4">
        <v>0.06</v>
      </c>
      <c r="KO41" s="4">
        <v>-6.2930000000000001</v>
      </c>
      <c r="KP41" s="4">
        <v>-0.72299999999999998</v>
      </c>
      <c r="KQ41" s="4">
        <v>0.57899999999999996</v>
      </c>
      <c r="KR41" s="4">
        <v>-0.40200000000000002</v>
      </c>
      <c r="KS41" s="4">
        <v>1.5760000000000001</v>
      </c>
    </row>
    <row r="42" spans="1:305" x14ac:dyDescent="0.25">
      <c r="A42" s="4">
        <v>2017</v>
      </c>
      <c r="B42" s="4">
        <v>3</v>
      </c>
      <c r="C42" s="4">
        <v>-6.26</v>
      </c>
      <c r="D42" s="4">
        <v>2.78</v>
      </c>
      <c r="E42" s="4">
        <v>3.4710000000000001</v>
      </c>
      <c r="F42" s="4">
        <v>3.1030000000000002</v>
      </c>
      <c r="G42" s="4">
        <v>3.2109999999999999</v>
      </c>
      <c r="H42" s="4">
        <v>-0.81599999999999995</v>
      </c>
      <c r="I42" s="4">
        <v>3.0569999999999999</v>
      </c>
      <c r="J42" s="4">
        <v>-3.7029999999999998</v>
      </c>
      <c r="K42" s="4">
        <v>2.8359999999999999</v>
      </c>
      <c r="L42" s="4">
        <v>4.0940000000000003</v>
      </c>
      <c r="M42" s="4">
        <v>-1.117</v>
      </c>
      <c r="N42" s="4">
        <v>2.5030000000000001</v>
      </c>
      <c r="O42" s="4">
        <v>-2.6440000000000001</v>
      </c>
      <c r="P42" s="4">
        <v>1.863</v>
      </c>
      <c r="Q42" s="4">
        <v>-6.1029999999999998</v>
      </c>
      <c r="R42" s="4">
        <v>-5.1070000000000002</v>
      </c>
      <c r="S42" s="4">
        <v>1.974</v>
      </c>
      <c r="T42" s="4">
        <v>2.7429999999999999</v>
      </c>
      <c r="U42" s="4">
        <v>2.1930000000000001</v>
      </c>
      <c r="V42" s="4">
        <v>2.9169999999999998</v>
      </c>
      <c r="W42" s="4">
        <v>1.5189999999999999</v>
      </c>
      <c r="X42" s="4">
        <v>3.8460000000000001</v>
      </c>
      <c r="Y42" s="4">
        <v>2.4750000000000001</v>
      </c>
      <c r="Z42" s="4">
        <v>-2.3959999999999999</v>
      </c>
      <c r="AA42" s="4">
        <v>4.2270000000000003</v>
      </c>
      <c r="AB42" s="4">
        <v>-3.843</v>
      </c>
      <c r="AC42" s="4">
        <v>2.899</v>
      </c>
      <c r="AD42" s="4">
        <v>1.0289999999999999</v>
      </c>
      <c r="AE42" s="4">
        <v>2.5019999999999998</v>
      </c>
      <c r="AF42" s="4">
        <v>4.0199999999999996</v>
      </c>
      <c r="AG42" s="4">
        <v>1.2470000000000001</v>
      </c>
      <c r="AH42" s="4">
        <v>2.6160000000000001</v>
      </c>
      <c r="AI42" s="4">
        <v>-1.851</v>
      </c>
      <c r="AJ42" s="4">
        <v>3.89</v>
      </c>
      <c r="AK42" s="4">
        <v>4.327</v>
      </c>
      <c r="AL42" s="4">
        <v>4.7080000000000002</v>
      </c>
      <c r="AM42" s="4">
        <v>1.508</v>
      </c>
      <c r="AN42" s="4">
        <v>2.9369999999999998</v>
      </c>
      <c r="AO42" s="4">
        <v>1.59</v>
      </c>
      <c r="AP42" s="4">
        <v>0.44400000000000001</v>
      </c>
      <c r="AQ42" s="4">
        <v>-3.9380000000000002</v>
      </c>
      <c r="AR42" s="4">
        <v>0.38500000000000001</v>
      </c>
      <c r="AS42" s="4">
        <v>2.3620000000000001</v>
      </c>
      <c r="AT42" s="4">
        <v>2.4279999999999999</v>
      </c>
      <c r="AU42" s="4">
        <v>3.2810000000000001</v>
      </c>
      <c r="AV42" s="4">
        <v>2.3079999999999998</v>
      </c>
      <c r="AW42" s="4">
        <v>2.61</v>
      </c>
      <c r="AX42" s="4">
        <v>4.2770000000000001</v>
      </c>
      <c r="AY42" s="4">
        <v>3.081</v>
      </c>
      <c r="AZ42" s="4">
        <v>1.423</v>
      </c>
      <c r="BA42" s="4">
        <v>3.4740000000000002</v>
      </c>
      <c r="BB42" s="4">
        <v>2.4790000000000001</v>
      </c>
      <c r="BC42" s="4">
        <v>4.4039999999999999</v>
      </c>
      <c r="BD42" s="4">
        <v>1.1870000000000001</v>
      </c>
      <c r="BE42" s="4">
        <v>2.677</v>
      </c>
      <c r="BF42" s="4">
        <v>1.0509999999999999</v>
      </c>
      <c r="BG42" s="4">
        <v>1.907</v>
      </c>
      <c r="BH42" s="4">
        <v>2.6960000000000002</v>
      </c>
      <c r="BI42" s="4">
        <v>2.4660000000000002</v>
      </c>
      <c r="BJ42" s="4">
        <v>-2.7280000000000002</v>
      </c>
      <c r="BK42" s="4">
        <v>2.153</v>
      </c>
      <c r="BL42" s="4">
        <v>-3.2120000000000002</v>
      </c>
      <c r="BM42" s="4">
        <v>-4.6440000000000001</v>
      </c>
      <c r="BN42" s="4">
        <v>0.64200000000000002</v>
      </c>
      <c r="BO42" s="4">
        <v>-5.9610000000000003</v>
      </c>
      <c r="BP42" s="4">
        <v>2.1059999999999999</v>
      </c>
      <c r="BQ42" s="4">
        <v>2.665</v>
      </c>
      <c r="BR42" s="4">
        <v>2.44</v>
      </c>
      <c r="BS42" s="4">
        <v>3.7090000000000001</v>
      </c>
      <c r="BT42" s="4">
        <v>3.0830000000000002</v>
      </c>
      <c r="BU42" s="4">
        <v>3.1779999999999999</v>
      </c>
      <c r="BV42" s="4">
        <v>2.3809999999999998</v>
      </c>
      <c r="BW42" s="4">
        <v>0.96899999999999997</v>
      </c>
      <c r="BX42" s="4">
        <v>0.97</v>
      </c>
      <c r="BY42" s="4">
        <v>2.2559999999999998</v>
      </c>
      <c r="BZ42" s="4">
        <v>2.1640000000000001</v>
      </c>
      <c r="CA42" s="4">
        <v>3.6709999999999998</v>
      </c>
      <c r="CB42" s="4">
        <v>2.5259999999999998</v>
      </c>
      <c r="CC42" s="4">
        <v>-1.71</v>
      </c>
      <c r="CD42" s="4">
        <v>2.5289999999999999</v>
      </c>
      <c r="CE42" s="4">
        <v>-4.1779999999999999</v>
      </c>
      <c r="CF42" s="4">
        <v>0.14299999999999999</v>
      </c>
      <c r="CG42" s="4">
        <v>3.4420000000000002</v>
      </c>
      <c r="CH42" s="4">
        <v>3.8690000000000002</v>
      </c>
      <c r="CI42" s="4">
        <v>1.3779999999999999</v>
      </c>
      <c r="CJ42" s="4">
        <v>-2.9580000000000002</v>
      </c>
      <c r="CK42" s="4">
        <v>4.4130000000000003</v>
      </c>
      <c r="CL42" s="4">
        <v>-5.7789999999999999</v>
      </c>
      <c r="CM42" s="4">
        <v>2.8929999999999998</v>
      </c>
      <c r="CN42" s="4">
        <v>2.9039999999999999</v>
      </c>
      <c r="CO42" s="4">
        <v>3.0979999999999999</v>
      </c>
      <c r="CP42" s="4">
        <v>1.272</v>
      </c>
      <c r="CQ42" s="4">
        <v>4.1379999999999999</v>
      </c>
      <c r="CR42" s="4">
        <v>3.5830000000000002</v>
      </c>
      <c r="CS42" s="4">
        <v>3.9710000000000001</v>
      </c>
      <c r="CT42" s="4">
        <v>4.0030000000000001</v>
      </c>
      <c r="CU42" s="4">
        <v>2.46</v>
      </c>
      <c r="CV42" s="4">
        <v>2.754</v>
      </c>
      <c r="CW42" s="4">
        <v>1.4410000000000001</v>
      </c>
      <c r="CX42" s="4">
        <v>3.1789999999999998</v>
      </c>
      <c r="CY42" s="4">
        <v>2.9239999999999999</v>
      </c>
      <c r="CZ42" s="4">
        <v>2.91</v>
      </c>
      <c r="DA42" s="4">
        <v>-5.7270000000000003</v>
      </c>
      <c r="DB42" s="4">
        <v>2.8039999999999998</v>
      </c>
      <c r="DC42" s="4">
        <v>-2.7959999999999998</v>
      </c>
      <c r="DD42" s="4">
        <v>-4.3410000000000002</v>
      </c>
      <c r="DE42" s="4">
        <v>3.9780000000000002</v>
      </c>
      <c r="DF42" s="4">
        <v>-6.6970000000000001</v>
      </c>
      <c r="DG42" s="4">
        <v>2.9729999999999999</v>
      </c>
      <c r="DH42" s="4">
        <v>3.9460000000000002</v>
      </c>
      <c r="DI42" s="4">
        <v>1.329</v>
      </c>
      <c r="DJ42" s="4">
        <v>4.0019999999999998</v>
      </c>
      <c r="DK42" s="4">
        <v>2.4039999999999999</v>
      </c>
      <c r="DL42" s="4">
        <v>2.5790000000000002</v>
      </c>
      <c r="DM42" s="4">
        <v>4.516</v>
      </c>
      <c r="DN42" s="4">
        <v>2.2519999999999998</v>
      </c>
      <c r="DO42" s="4">
        <v>3.0710000000000002</v>
      </c>
      <c r="DP42" s="4">
        <v>-6.3890000000000002</v>
      </c>
      <c r="DQ42" s="4">
        <v>2.754</v>
      </c>
      <c r="DR42" s="4">
        <v>3.903</v>
      </c>
      <c r="DS42" s="4">
        <v>2.2469999999999999</v>
      </c>
      <c r="DT42" s="4">
        <v>2.3849999999999998</v>
      </c>
      <c r="DU42" s="4">
        <v>0.85399999999999998</v>
      </c>
      <c r="DV42" s="4">
        <v>-1.0089999999999999</v>
      </c>
      <c r="DW42" s="4">
        <v>4.5679999999999996</v>
      </c>
      <c r="DX42" s="4">
        <v>1.7450000000000001</v>
      </c>
      <c r="DY42" s="4">
        <v>2.363</v>
      </c>
      <c r="DZ42" s="4">
        <v>3.5750000000000002</v>
      </c>
      <c r="EA42" s="4">
        <v>3.4940000000000002</v>
      </c>
      <c r="EB42" s="4">
        <v>2.6040000000000001</v>
      </c>
      <c r="EC42" s="4">
        <v>-6.351</v>
      </c>
      <c r="ED42" s="4">
        <v>3.8380000000000001</v>
      </c>
      <c r="EE42" s="4">
        <v>4.4950000000000001</v>
      </c>
      <c r="EF42" s="4">
        <v>2.238</v>
      </c>
      <c r="EG42" s="4">
        <v>2.141</v>
      </c>
      <c r="EH42" s="4">
        <v>0.58499999999999996</v>
      </c>
      <c r="EI42" s="4">
        <v>3.2360000000000002</v>
      </c>
      <c r="EJ42" s="4">
        <v>3.0659999999999998</v>
      </c>
      <c r="EK42" s="4">
        <v>2.9390000000000001</v>
      </c>
      <c r="EL42" s="4">
        <v>3.37</v>
      </c>
      <c r="EM42" s="4">
        <v>3.2509999999999999</v>
      </c>
      <c r="EN42" s="4">
        <v>1.698</v>
      </c>
      <c r="EO42" s="4">
        <v>3.1920000000000002</v>
      </c>
      <c r="EP42" s="4">
        <v>3.0619999999999998</v>
      </c>
      <c r="EQ42" s="4">
        <v>2.8000000000000001E-2</v>
      </c>
      <c r="ER42" s="4">
        <v>4.7060000000000004</v>
      </c>
      <c r="ES42" s="4">
        <v>1.1439999999999999</v>
      </c>
      <c r="ET42" s="4">
        <v>-3.702</v>
      </c>
      <c r="EU42" s="4">
        <v>4.5810000000000004</v>
      </c>
      <c r="EV42" s="4">
        <v>-3.617</v>
      </c>
      <c r="EW42" s="4">
        <v>3.4319999999999999</v>
      </c>
      <c r="EX42" s="4">
        <v>-4.7969999999999997</v>
      </c>
      <c r="EY42" s="4">
        <v>2.7930000000000001</v>
      </c>
      <c r="EZ42" s="4">
        <v>4.7069999999999999</v>
      </c>
      <c r="FA42" s="4">
        <v>-0.38800000000000001</v>
      </c>
      <c r="FB42" s="4">
        <v>3.1360000000000001</v>
      </c>
      <c r="FC42" s="4">
        <v>3.3460000000000001</v>
      </c>
      <c r="FD42" s="4">
        <v>2.2269999999999999</v>
      </c>
      <c r="FE42" s="4">
        <v>3.117</v>
      </c>
      <c r="FF42" s="4">
        <v>3.052</v>
      </c>
      <c r="FG42" s="4">
        <v>3.5779999999999998</v>
      </c>
      <c r="FH42" s="4">
        <v>3.9580000000000002</v>
      </c>
      <c r="FI42" s="4">
        <v>0.50600000000000001</v>
      </c>
      <c r="FJ42" s="4">
        <v>3.758</v>
      </c>
      <c r="FK42" s="4">
        <v>2.734</v>
      </c>
      <c r="FL42" s="4">
        <v>2.9180000000000001</v>
      </c>
      <c r="FM42" s="4">
        <v>1.3959999999999999</v>
      </c>
      <c r="FN42" s="4">
        <v>2.9929999999999999</v>
      </c>
      <c r="FO42" s="4">
        <v>2.2639999999999998</v>
      </c>
      <c r="FP42" s="4">
        <v>1.6279999999999999</v>
      </c>
      <c r="FQ42" s="4">
        <v>1.2310000000000001</v>
      </c>
      <c r="FR42" s="4">
        <v>0.64500000000000002</v>
      </c>
      <c r="FS42" s="4">
        <v>-0.93300000000000005</v>
      </c>
      <c r="FT42" s="4">
        <v>3.01</v>
      </c>
      <c r="FU42" s="4">
        <v>2.1560000000000001</v>
      </c>
      <c r="FV42" s="4">
        <v>-3.9529999999999998</v>
      </c>
      <c r="FW42" s="4">
        <v>3.609</v>
      </c>
      <c r="FX42" s="4">
        <v>2.9590000000000001</v>
      </c>
      <c r="FY42" s="4">
        <v>2.5299999999999998</v>
      </c>
      <c r="FZ42" s="4">
        <v>2.5270000000000001</v>
      </c>
      <c r="GA42" s="4">
        <v>1.2470000000000001</v>
      </c>
      <c r="GB42" s="4">
        <v>3.762</v>
      </c>
      <c r="GC42" s="4">
        <v>3.0430000000000001</v>
      </c>
      <c r="GD42" s="4">
        <v>3.7559999999999998</v>
      </c>
      <c r="GE42" s="4">
        <v>2.4990000000000001</v>
      </c>
      <c r="GF42" s="4">
        <v>3.61</v>
      </c>
      <c r="GG42" s="4">
        <v>-0.92</v>
      </c>
      <c r="GH42" s="4">
        <v>8.1000000000000003E-2</v>
      </c>
      <c r="GI42" s="4">
        <v>3.363</v>
      </c>
      <c r="GJ42" s="4">
        <v>3.54</v>
      </c>
      <c r="GK42" s="4">
        <v>3.7130000000000001</v>
      </c>
      <c r="GL42" s="4">
        <v>2.798</v>
      </c>
      <c r="GM42" s="4">
        <v>2.613</v>
      </c>
      <c r="GN42" s="4">
        <v>-2.089</v>
      </c>
      <c r="GO42" s="4">
        <v>1.917</v>
      </c>
      <c r="GP42" s="4">
        <v>0.317</v>
      </c>
      <c r="GQ42" s="4">
        <v>-4.5220000000000002</v>
      </c>
      <c r="GR42" s="4">
        <v>-4.2220000000000004</v>
      </c>
      <c r="GS42" s="4">
        <v>3.0009999999999999</v>
      </c>
      <c r="GT42" s="4">
        <v>-5.2229999999999999</v>
      </c>
      <c r="GU42" s="4">
        <v>3.496</v>
      </c>
      <c r="GV42" s="4">
        <v>-2.6440000000000001</v>
      </c>
      <c r="GW42" s="4">
        <v>0.32500000000000001</v>
      </c>
      <c r="GX42" s="4">
        <v>-6.6749999999999998</v>
      </c>
      <c r="GY42" s="4">
        <v>-1.6080000000000001</v>
      </c>
      <c r="GZ42" s="4">
        <v>3.9159999999999999</v>
      </c>
      <c r="HA42" s="4">
        <v>2.7130000000000001</v>
      </c>
      <c r="HB42" s="4">
        <v>1.7170000000000001</v>
      </c>
      <c r="HC42" s="4">
        <v>2.7349999999999999</v>
      </c>
      <c r="HD42" s="4">
        <v>-1.84</v>
      </c>
      <c r="HE42" s="4">
        <v>1.913</v>
      </c>
      <c r="HF42" s="4">
        <v>-2.9180000000000001</v>
      </c>
      <c r="HG42" s="4">
        <v>3.2719999999999998</v>
      </c>
      <c r="HH42" s="4">
        <v>1.327</v>
      </c>
      <c r="HI42" s="4">
        <v>2.4700000000000002</v>
      </c>
      <c r="HJ42" s="4">
        <v>2.3380000000000001</v>
      </c>
      <c r="HK42" s="4">
        <v>4.3209999999999997</v>
      </c>
      <c r="HL42" s="4">
        <v>4.17</v>
      </c>
      <c r="HM42" s="4">
        <v>2.944</v>
      </c>
      <c r="HN42" s="4">
        <v>-2.0649999999999999</v>
      </c>
      <c r="HO42" s="4">
        <v>1.4490000000000001</v>
      </c>
      <c r="HP42" s="4">
        <v>2.73</v>
      </c>
      <c r="HQ42" s="4">
        <v>4.1689999999999996</v>
      </c>
      <c r="HR42" s="4">
        <v>2.181</v>
      </c>
      <c r="HS42" s="4">
        <v>1.3080000000000001</v>
      </c>
      <c r="HT42" s="4">
        <v>1.839</v>
      </c>
      <c r="HU42" s="4">
        <v>3.1819999999999999</v>
      </c>
      <c r="HV42" s="4">
        <v>2.609</v>
      </c>
      <c r="HW42" s="4">
        <v>-1.6930000000000001</v>
      </c>
      <c r="HX42" s="4">
        <v>2.8140000000000001</v>
      </c>
      <c r="HY42" s="4">
        <v>3.0329999999999999</v>
      </c>
      <c r="HZ42" s="4">
        <v>4.2549999999999999</v>
      </c>
      <c r="IA42" s="4">
        <v>-5.3630000000000004</v>
      </c>
      <c r="IB42" s="4">
        <v>3.516</v>
      </c>
      <c r="IC42" s="4">
        <v>4.5730000000000004</v>
      </c>
      <c r="ID42" s="4">
        <v>3.327</v>
      </c>
      <c r="IE42" s="4">
        <v>3.0329999999999999</v>
      </c>
      <c r="IF42" s="4">
        <v>2.9910000000000001</v>
      </c>
      <c r="IG42" s="4">
        <v>1.2010000000000001</v>
      </c>
      <c r="IH42" s="4">
        <v>-3.2029999999999998</v>
      </c>
      <c r="II42" s="4">
        <v>-4.7949999999999999</v>
      </c>
      <c r="IJ42" s="4">
        <v>2.532</v>
      </c>
      <c r="IK42" s="4">
        <v>3.0939999999999999</v>
      </c>
      <c r="IL42" s="4">
        <v>-2.9329999999999998</v>
      </c>
      <c r="IM42" s="4">
        <v>2.9980000000000002</v>
      </c>
      <c r="IN42" s="4">
        <v>0.438</v>
      </c>
      <c r="IO42" s="4">
        <v>1.7230000000000001</v>
      </c>
      <c r="IP42" s="4">
        <v>1.913</v>
      </c>
      <c r="IQ42" s="4">
        <v>4.2380000000000004</v>
      </c>
      <c r="IR42" s="4">
        <v>4.423</v>
      </c>
      <c r="IS42" s="4">
        <v>-1.4510000000000001</v>
      </c>
      <c r="IT42" s="4">
        <v>2.548</v>
      </c>
      <c r="IU42" s="4">
        <v>-1.9470000000000001</v>
      </c>
      <c r="IV42" s="4">
        <v>2.7989999999999999</v>
      </c>
      <c r="IW42" s="4">
        <v>-3.7160000000000002</v>
      </c>
      <c r="IX42" s="4">
        <v>2.9289999999999998</v>
      </c>
      <c r="IY42" s="4">
        <v>1.7350000000000001</v>
      </c>
      <c r="IZ42" s="4">
        <v>3.016</v>
      </c>
      <c r="JA42" s="4">
        <v>2.7010000000000001</v>
      </c>
      <c r="JB42" s="4">
        <v>1.9950000000000001</v>
      </c>
      <c r="JC42" s="4">
        <v>-0.191</v>
      </c>
      <c r="JD42" s="4">
        <v>3.3490000000000002</v>
      </c>
      <c r="JE42" s="4">
        <v>3.5019999999999998</v>
      </c>
      <c r="JF42" s="4">
        <v>4.0949999999999998</v>
      </c>
      <c r="JG42" s="4">
        <v>2.8039999999999998</v>
      </c>
      <c r="JH42" s="4">
        <v>3.7949999999999999</v>
      </c>
      <c r="JI42" s="4">
        <v>1.266</v>
      </c>
      <c r="JJ42" s="4">
        <v>2.778</v>
      </c>
      <c r="JK42" s="4">
        <v>2.464</v>
      </c>
      <c r="JL42" s="4">
        <v>4.3120000000000003</v>
      </c>
      <c r="JM42" s="4">
        <v>3.2080000000000002</v>
      </c>
      <c r="JN42" s="4">
        <v>2.56</v>
      </c>
      <c r="JO42" s="4">
        <v>2.8290000000000002</v>
      </c>
      <c r="JP42" s="4">
        <v>3.2080000000000002</v>
      </c>
      <c r="JQ42" s="4">
        <v>2.9350000000000001</v>
      </c>
      <c r="JR42" s="4">
        <v>2.1739999999999999</v>
      </c>
      <c r="JS42" s="4">
        <v>-1.351</v>
      </c>
      <c r="JT42" s="4">
        <v>2.4910000000000001</v>
      </c>
      <c r="JU42" s="4">
        <v>2.5779999999999998</v>
      </c>
      <c r="JV42" s="4">
        <v>2.254</v>
      </c>
      <c r="JW42" s="4">
        <v>2.9609999999999999</v>
      </c>
      <c r="JX42" s="4">
        <v>2.5720000000000001</v>
      </c>
      <c r="JY42" s="4">
        <v>3.3639999999999999</v>
      </c>
      <c r="JZ42" s="4">
        <v>2.2930000000000001</v>
      </c>
      <c r="KA42" s="4">
        <v>3.1259999999999999</v>
      </c>
      <c r="KB42" s="4">
        <v>-1.9770000000000001</v>
      </c>
      <c r="KC42" s="4">
        <v>0.23300000000000001</v>
      </c>
      <c r="KD42" s="4">
        <v>3.1720000000000002</v>
      </c>
      <c r="KE42" s="4">
        <v>3.4849999999999999</v>
      </c>
      <c r="KF42" s="4">
        <v>2.9540000000000002</v>
      </c>
      <c r="KG42" s="4">
        <v>2.802</v>
      </c>
      <c r="KH42" s="4">
        <v>2.9119999999999999</v>
      </c>
      <c r="KI42" s="4">
        <v>2.4140000000000001</v>
      </c>
      <c r="KJ42" s="4">
        <v>3.6960000000000002</v>
      </c>
      <c r="KK42" s="4">
        <v>3.101</v>
      </c>
      <c r="KL42" s="4">
        <v>2.6890000000000001</v>
      </c>
      <c r="KM42" s="4">
        <v>-4.6719999999999997</v>
      </c>
      <c r="KN42" s="4">
        <v>3.0129999999999999</v>
      </c>
      <c r="KO42" s="4">
        <v>-2.6520000000000001</v>
      </c>
      <c r="KP42" s="4">
        <v>2.5609999999999999</v>
      </c>
      <c r="KQ42" s="4">
        <v>2.6909999999999998</v>
      </c>
      <c r="KR42" s="4">
        <v>2.54</v>
      </c>
      <c r="KS42" s="4">
        <v>4.085</v>
      </c>
    </row>
    <row r="43" spans="1:305" x14ac:dyDescent="0.25">
      <c r="A43" s="4">
        <v>2017</v>
      </c>
      <c r="B43" s="4">
        <v>4</v>
      </c>
      <c r="C43" s="4">
        <v>-4.2560000000000002</v>
      </c>
      <c r="D43" s="4">
        <v>4.476</v>
      </c>
      <c r="E43" s="4">
        <v>5.6440000000000001</v>
      </c>
      <c r="F43" s="4">
        <v>5.1150000000000002</v>
      </c>
      <c r="G43" s="4">
        <v>4.6360000000000001</v>
      </c>
      <c r="H43" s="4">
        <v>1.4770000000000001</v>
      </c>
      <c r="I43" s="4">
        <v>4.6779999999999999</v>
      </c>
      <c r="J43" s="4">
        <v>2.7E-2</v>
      </c>
      <c r="K43" s="4">
        <v>4.97</v>
      </c>
      <c r="L43" s="4">
        <v>5.9969999999999999</v>
      </c>
      <c r="M43" s="4">
        <v>1.6080000000000001</v>
      </c>
      <c r="N43" s="4">
        <v>4.46</v>
      </c>
      <c r="O43" s="4">
        <v>-0.11899999999999999</v>
      </c>
      <c r="P43" s="4">
        <v>3.85</v>
      </c>
      <c r="Q43" s="4">
        <v>-1.9419999999999999</v>
      </c>
      <c r="R43" s="4">
        <v>-1.883</v>
      </c>
      <c r="S43" s="4">
        <v>3.831</v>
      </c>
      <c r="T43" s="4">
        <v>4.3380000000000001</v>
      </c>
      <c r="U43" s="4">
        <v>4.0209999999999999</v>
      </c>
      <c r="V43" s="4">
        <v>4.4480000000000004</v>
      </c>
      <c r="W43" s="4">
        <v>3.423</v>
      </c>
      <c r="X43" s="4">
        <v>5.9089999999999998</v>
      </c>
      <c r="Y43" s="4">
        <v>4.5650000000000004</v>
      </c>
      <c r="Z43" s="4">
        <v>0.23100000000000001</v>
      </c>
      <c r="AA43" s="4">
        <v>6.0590000000000002</v>
      </c>
      <c r="AB43" s="4">
        <v>-6.7000000000000004E-2</v>
      </c>
      <c r="AC43" s="4">
        <v>4.9139999999999997</v>
      </c>
      <c r="AD43" s="4">
        <v>2.6789999999999998</v>
      </c>
      <c r="AE43" s="4">
        <v>4.3970000000000002</v>
      </c>
      <c r="AF43" s="4">
        <v>5.806</v>
      </c>
      <c r="AG43" s="4">
        <v>3.1040000000000001</v>
      </c>
      <c r="AH43" s="4">
        <v>4.0289999999999999</v>
      </c>
      <c r="AI43" s="4">
        <v>0.98199999999999998</v>
      </c>
      <c r="AJ43" s="4">
        <v>5.2949999999999999</v>
      </c>
      <c r="AK43" s="4">
        <v>5.7619999999999996</v>
      </c>
      <c r="AL43" s="4">
        <v>6.6749999999999998</v>
      </c>
      <c r="AM43" s="4">
        <v>3.4660000000000002</v>
      </c>
      <c r="AN43" s="4">
        <v>4.4909999999999997</v>
      </c>
      <c r="AO43" s="4">
        <v>3.5979999999999999</v>
      </c>
      <c r="AP43" s="4">
        <v>2.343</v>
      </c>
      <c r="AQ43" s="4">
        <v>0.222</v>
      </c>
      <c r="AR43" s="4">
        <v>2.1640000000000001</v>
      </c>
      <c r="AS43" s="4">
        <v>4.3789999999999996</v>
      </c>
      <c r="AT43" s="4">
        <v>4.07</v>
      </c>
      <c r="AU43" s="4">
        <v>4.8369999999999997</v>
      </c>
      <c r="AV43" s="4">
        <v>4.0419999999999998</v>
      </c>
      <c r="AW43" s="4">
        <v>4.5149999999999997</v>
      </c>
      <c r="AX43" s="4">
        <v>6.1260000000000003</v>
      </c>
      <c r="AY43" s="4">
        <v>5.0570000000000004</v>
      </c>
      <c r="AZ43" s="4">
        <v>3.3479999999999999</v>
      </c>
      <c r="BA43" s="4">
        <v>5.9539999999999997</v>
      </c>
      <c r="BB43" s="4">
        <v>4.2880000000000003</v>
      </c>
      <c r="BC43" s="4">
        <v>6.3929999999999998</v>
      </c>
      <c r="BD43" s="4">
        <v>3.1709999999999998</v>
      </c>
      <c r="BE43" s="4">
        <v>4.742</v>
      </c>
      <c r="BF43" s="4">
        <v>2.9060000000000001</v>
      </c>
      <c r="BG43" s="4">
        <v>3.2709999999999999</v>
      </c>
      <c r="BH43" s="4">
        <v>4.4409999999999998</v>
      </c>
      <c r="BI43" s="4">
        <v>4.2809999999999997</v>
      </c>
      <c r="BJ43" s="4">
        <v>0.36299999999999999</v>
      </c>
      <c r="BK43" s="4">
        <v>4.0019999999999998</v>
      </c>
      <c r="BL43" s="4">
        <v>-0.23100000000000001</v>
      </c>
      <c r="BM43" s="4">
        <v>-0.71699999999999997</v>
      </c>
      <c r="BN43" s="4">
        <v>2.593</v>
      </c>
      <c r="BO43" s="4">
        <v>-2.6629999999999998</v>
      </c>
      <c r="BP43" s="4">
        <v>3.5409999999999999</v>
      </c>
      <c r="BQ43" s="4">
        <v>4.4400000000000004</v>
      </c>
      <c r="BR43" s="4">
        <v>3.9409999999999998</v>
      </c>
      <c r="BS43" s="4">
        <v>6.0810000000000004</v>
      </c>
      <c r="BT43" s="4">
        <v>5.1189999999999998</v>
      </c>
      <c r="BU43" s="4">
        <v>5.2679999999999998</v>
      </c>
      <c r="BV43" s="4">
        <v>4.1779999999999999</v>
      </c>
      <c r="BW43" s="4">
        <v>2.8140000000000001</v>
      </c>
      <c r="BX43" s="4">
        <v>2.7429999999999999</v>
      </c>
      <c r="BY43" s="4">
        <v>4.0679999999999996</v>
      </c>
      <c r="BZ43" s="4">
        <v>4.1349999999999998</v>
      </c>
      <c r="CA43" s="4">
        <v>5.8630000000000004</v>
      </c>
      <c r="CB43" s="4">
        <v>4.3259999999999996</v>
      </c>
      <c r="CC43" s="4">
        <v>1.3049999999999999</v>
      </c>
      <c r="CD43" s="4">
        <v>3.702</v>
      </c>
      <c r="CE43" s="4">
        <v>-0.71899999999999997</v>
      </c>
      <c r="CF43" s="4">
        <v>2.173</v>
      </c>
      <c r="CG43" s="4">
        <v>5.6950000000000003</v>
      </c>
      <c r="CH43" s="4">
        <v>5.383</v>
      </c>
      <c r="CI43" s="4">
        <v>3.2770000000000001</v>
      </c>
      <c r="CJ43" s="4">
        <v>1.4999999999999999E-2</v>
      </c>
      <c r="CK43" s="4">
        <v>6.3440000000000003</v>
      </c>
      <c r="CL43" s="4">
        <v>-2.5230000000000001</v>
      </c>
      <c r="CM43" s="4">
        <v>4.3099999999999996</v>
      </c>
      <c r="CN43" s="4">
        <v>4.7619999999999996</v>
      </c>
      <c r="CO43" s="4">
        <v>4.798</v>
      </c>
      <c r="CP43" s="4">
        <v>2.9630000000000001</v>
      </c>
      <c r="CQ43" s="4">
        <v>6.2779999999999996</v>
      </c>
      <c r="CR43" s="4">
        <v>5.2190000000000003</v>
      </c>
      <c r="CS43" s="4">
        <v>5.6509999999999998</v>
      </c>
      <c r="CT43" s="4">
        <v>5.6390000000000002</v>
      </c>
      <c r="CU43" s="4">
        <v>4.375</v>
      </c>
      <c r="CV43" s="4">
        <v>4.1500000000000004</v>
      </c>
      <c r="CW43" s="4">
        <v>2.9580000000000002</v>
      </c>
      <c r="CX43" s="4">
        <v>4.7859999999999996</v>
      </c>
      <c r="CY43" s="4">
        <v>4.8490000000000002</v>
      </c>
      <c r="CZ43" s="4">
        <v>4.6079999999999997</v>
      </c>
      <c r="DA43" s="4">
        <v>-1.6839999999999999</v>
      </c>
      <c r="DB43" s="4">
        <v>4.55</v>
      </c>
      <c r="DC43" s="4">
        <v>0.77200000000000002</v>
      </c>
      <c r="DD43" s="4">
        <v>-0.66300000000000003</v>
      </c>
      <c r="DE43" s="4">
        <v>5.6740000000000004</v>
      </c>
      <c r="DF43" s="4">
        <v>-4.3099999999999996</v>
      </c>
      <c r="DG43" s="4">
        <v>4.75</v>
      </c>
      <c r="DH43" s="4">
        <v>5.3730000000000002</v>
      </c>
      <c r="DI43" s="4">
        <v>3.3210000000000002</v>
      </c>
      <c r="DJ43" s="4">
        <v>5.7350000000000003</v>
      </c>
      <c r="DK43" s="4">
        <v>4.2939999999999996</v>
      </c>
      <c r="DL43" s="4">
        <v>4.37</v>
      </c>
      <c r="DM43" s="4">
        <v>6.476</v>
      </c>
      <c r="DN43" s="4">
        <v>4.0629999999999997</v>
      </c>
      <c r="DO43" s="4">
        <v>5.1239999999999997</v>
      </c>
      <c r="DP43" s="4">
        <v>-3.5569999999999999</v>
      </c>
      <c r="DQ43" s="4">
        <v>4.2190000000000003</v>
      </c>
      <c r="DR43" s="4">
        <v>5.6289999999999996</v>
      </c>
      <c r="DS43" s="4">
        <v>3.8690000000000002</v>
      </c>
      <c r="DT43" s="4">
        <v>4.3</v>
      </c>
      <c r="DU43" s="4">
        <v>2.5590000000000002</v>
      </c>
      <c r="DV43" s="4">
        <v>1.6519999999999999</v>
      </c>
      <c r="DW43" s="4">
        <v>5.9489999999999998</v>
      </c>
      <c r="DX43" s="4">
        <v>3.7829999999999999</v>
      </c>
      <c r="DY43" s="4">
        <v>4.1859999999999999</v>
      </c>
      <c r="DZ43" s="4">
        <v>5.8120000000000003</v>
      </c>
      <c r="EA43" s="4">
        <v>5.8959999999999999</v>
      </c>
      <c r="EB43" s="4">
        <v>4.508</v>
      </c>
      <c r="EC43" s="4">
        <v>-2.2829999999999999</v>
      </c>
      <c r="ED43" s="4">
        <v>5.82</v>
      </c>
      <c r="EE43" s="4">
        <v>6.47</v>
      </c>
      <c r="EF43" s="4">
        <v>4.07</v>
      </c>
      <c r="EG43" s="4">
        <v>3.9590000000000001</v>
      </c>
      <c r="EH43" s="4">
        <v>2.6920000000000002</v>
      </c>
      <c r="EI43" s="4">
        <v>5.3540000000000001</v>
      </c>
      <c r="EJ43" s="4">
        <v>4.6559999999999997</v>
      </c>
      <c r="EK43" s="4">
        <v>4.4340000000000002</v>
      </c>
      <c r="EL43" s="4">
        <v>5.4960000000000004</v>
      </c>
      <c r="EM43" s="4">
        <v>5.298</v>
      </c>
      <c r="EN43" s="4">
        <v>3.5</v>
      </c>
      <c r="EO43" s="4">
        <v>4.8689999999999998</v>
      </c>
      <c r="EP43" s="4">
        <v>4.7050000000000001</v>
      </c>
      <c r="EQ43" s="4">
        <v>2.1909999999999998</v>
      </c>
      <c r="ER43" s="4">
        <v>6.6749999999999998</v>
      </c>
      <c r="ES43" s="4">
        <v>2.8740000000000001</v>
      </c>
      <c r="ET43" s="4">
        <v>-0.40500000000000003</v>
      </c>
      <c r="EU43" s="4">
        <v>6.516</v>
      </c>
      <c r="EV43" s="4">
        <v>0.127</v>
      </c>
      <c r="EW43" s="4">
        <v>5.6619999999999999</v>
      </c>
      <c r="EX43" s="4">
        <v>-1.238</v>
      </c>
      <c r="EY43" s="4">
        <v>4.3099999999999996</v>
      </c>
      <c r="EZ43" s="4">
        <v>6.6909999999999998</v>
      </c>
      <c r="FA43" s="4">
        <v>1.6339999999999999</v>
      </c>
      <c r="FB43" s="4">
        <v>5.0460000000000003</v>
      </c>
      <c r="FC43" s="4">
        <v>4.9740000000000002</v>
      </c>
      <c r="FD43" s="4">
        <v>3.7629999999999999</v>
      </c>
      <c r="FE43" s="4">
        <v>5.234</v>
      </c>
      <c r="FF43" s="4">
        <v>4.758</v>
      </c>
      <c r="FG43" s="4">
        <v>5.8979999999999997</v>
      </c>
      <c r="FH43" s="4">
        <v>5.7240000000000002</v>
      </c>
      <c r="FI43" s="4">
        <v>2.7850000000000001</v>
      </c>
      <c r="FJ43" s="4">
        <v>5.524</v>
      </c>
      <c r="FK43" s="4">
        <v>4.492</v>
      </c>
      <c r="FL43" s="4">
        <v>5.0949999999999998</v>
      </c>
      <c r="FM43" s="4">
        <v>3.2010000000000001</v>
      </c>
      <c r="FN43" s="4">
        <v>4.4660000000000002</v>
      </c>
      <c r="FO43" s="4">
        <v>3.851</v>
      </c>
      <c r="FP43" s="4">
        <v>3.3780000000000001</v>
      </c>
      <c r="FQ43" s="4">
        <v>3.03</v>
      </c>
      <c r="FR43" s="4">
        <v>2.4729999999999999</v>
      </c>
      <c r="FS43" s="4">
        <v>1.4079999999999999</v>
      </c>
      <c r="FT43" s="4">
        <v>4.6079999999999997</v>
      </c>
      <c r="FU43" s="4">
        <v>3.55</v>
      </c>
      <c r="FV43" s="4">
        <v>-0.65300000000000002</v>
      </c>
      <c r="FW43" s="4">
        <v>5.2229999999999999</v>
      </c>
      <c r="FX43" s="4">
        <v>4.3789999999999996</v>
      </c>
      <c r="FY43" s="4">
        <v>4.077</v>
      </c>
      <c r="FZ43" s="4">
        <v>3.5830000000000002</v>
      </c>
      <c r="GA43" s="4">
        <v>2.8279999999999998</v>
      </c>
      <c r="GB43" s="4">
        <v>6.1470000000000002</v>
      </c>
      <c r="GC43" s="4">
        <v>4.6369999999999996</v>
      </c>
      <c r="GD43" s="4">
        <v>5.0629999999999997</v>
      </c>
      <c r="GE43" s="4">
        <v>4.3470000000000004</v>
      </c>
      <c r="GF43" s="4">
        <v>5.3230000000000004</v>
      </c>
      <c r="GG43" s="4">
        <v>1.5920000000000001</v>
      </c>
      <c r="GH43" s="4">
        <v>2.4009999999999998</v>
      </c>
      <c r="GI43" s="4">
        <v>5.5949999999999998</v>
      </c>
      <c r="GJ43" s="4">
        <v>4.9630000000000001</v>
      </c>
      <c r="GK43" s="4">
        <v>5.4370000000000003</v>
      </c>
      <c r="GL43" s="4">
        <v>4.2320000000000002</v>
      </c>
      <c r="GM43" s="4">
        <v>4.0289999999999999</v>
      </c>
      <c r="GN43" s="4">
        <v>1.069</v>
      </c>
      <c r="GO43" s="4">
        <v>3.2989999999999999</v>
      </c>
      <c r="GP43" s="4">
        <v>2.2210000000000001</v>
      </c>
      <c r="GQ43" s="4">
        <v>-0.91900000000000004</v>
      </c>
      <c r="GR43" s="4">
        <v>-1.042</v>
      </c>
      <c r="GS43" s="4">
        <v>4.3499999999999996</v>
      </c>
      <c r="GT43" s="4">
        <v>-1.4419999999999999</v>
      </c>
      <c r="GU43" s="4">
        <v>5.7160000000000002</v>
      </c>
      <c r="GV43" s="4">
        <v>0.35499999999999998</v>
      </c>
      <c r="GW43" s="4">
        <v>2.5070000000000001</v>
      </c>
      <c r="GX43" s="4">
        <v>-4.6130000000000004</v>
      </c>
      <c r="GY43" s="4">
        <v>0.60499999999999998</v>
      </c>
      <c r="GZ43" s="4">
        <v>5.4359999999999999</v>
      </c>
      <c r="HA43" s="4">
        <v>4.8380000000000001</v>
      </c>
      <c r="HB43" s="4">
        <v>3.5819999999999999</v>
      </c>
      <c r="HC43" s="4">
        <v>4.3440000000000003</v>
      </c>
      <c r="HD43" s="4">
        <v>0.36299999999999999</v>
      </c>
      <c r="HE43" s="4">
        <v>3.452</v>
      </c>
      <c r="HF43" s="4">
        <v>-5.2999999999999999E-2</v>
      </c>
      <c r="HG43" s="4">
        <v>5.3819999999999997</v>
      </c>
      <c r="HH43" s="4">
        <v>3.1659999999999999</v>
      </c>
      <c r="HI43" s="4">
        <v>4.0410000000000004</v>
      </c>
      <c r="HJ43" s="4">
        <v>4.069</v>
      </c>
      <c r="HK43" s="4">
        <v>5.9669999999999996</v>
      </c>
      <c r="HL43" s="4">
        <v>5.835</v>
      </c>
      <c r="HM43" s="4">
        <v>4.9649999999999999</v>
      </c>
      <c r="HN43" s="4">
        <v>0.56899999999999995</v>
      </c>
      <c r="HO43" s="4">
        <v>3.2829999999999999</v>
      </c>
      <c r="HP43" s="4">
        <v>4.6379999999999999</v>
      </c>
      <c r="HQ43" s="4">
        <v>5.9720000000000004</v>
      </c>
      <c r="HR43" s="4">
        <v>3.5249999999999999</v>
      </c>
      <c r="HS43" s="4">
        <v>3.1070000000000002</v>
      </c>
      <c r="HT43" s="4">
        <v>3.1150000000000002</v>
      </c>
      <c r="HU43" s="4">
        <v>4.6829999999999998</v>
      </c>
      <c r="HV43" s="4">
        <v>4.1630000000000003</v>
      </c>
      <c r="HW43" s="4">
        <v>1.385</v>
      </c>
      <c r="HX43" s="4">
        <v>4.4619999999999997</v>
      </c>
      <c r="HY43" s="4">
        <v>4.6449999999999996</v>
      </c>
      <c r="HZ43" s="4">
        <v>5.7359999999999998</v>
      </c>
      <c r="IA43" s="4">
        <v>-1.24</v>
      </c>
      <c r="IB43" s="4">
        <v>5.6619999999999999</v>
      </c>
      <c r="IC43" s="4">
        <v>6.4610000000000003</v>
      </c>
      <c r="ID43" s="4">
        <v>5.4939999999999998</v>
      </c>
      <c r="IE43" s="4">
        <v>4.6879999999999997</v>
      </c>
      <c r="IF43" s="4">
        <v>4.5170000000000003</v>
      </c>
      <c r="IG43" s="4">
        <v>3.2040000000000002</v>
      </c>
      <c r="IH43" s="4">
        <v>-1.252</v>
      </c>
      <c r="II43" s="4">
        <v>-0.79100000000000004</v>
      </c>
      <c r="IJ43" s="4">
        <v>4.3150000000000004</v>
      </c>
      <c r="IK43" s="4">
        <v>5.4320000000000004</v>
      </c>
      <c r="IL43" s="4">
        <v>0.42299999999999999</v>
      </c>
      <c r="IM43" s="4">
        <v>4.6429999999999998</v>
      </c>
      <c r="IN43" s="4">
        <v>2.5910000000000002</v>
      </c>
      <c r="IO43" s="4">
        <v>3.496</v>
      </c>
      <c r="IP43" s="4">
        <v>3.911</v>
      </c>
      <c r="IQ43" s="4">
        <v>6.1150000000000002</v>
      </c>
      <c r="IR43" s="4">
        <v>6.33</v>
      </c>
      <c r="IS43" s="4">
        <v>1.046</v>
      </c>
      <c r="IT43" s="4">
        <v>4.4029999999999996</v>
      </c>
      <c r="IU43" s="4">
        <v>1.254</v>
      </c>
      <c r="IV43" s="4">
        <v>4.3419999999999996</v>
      </c>
      <c r="IW43" s="4">
        <v>-1.012</v>
      </c>
      <c r="IX43" s="4">
        <v>5.1879999999999997</v>
      </c>
      <c r="IY43" s="4">
        <v>3.5670000000000002</v>
      </c>
      <c r="IZ43" s="4">
        <v>4.8970000000000002</v>
      </c>
      <c r="JA43" s="4">
        <v>4.5529999999999999</v>
      </c>
      <c r="JB43" s="4">
        <v>3.464</v>
      </c>
      <c r="JC43" s="4">
        <v>2.173</v>
      </c>
      <c r="JD43" s="4">
        <v>4.8079999999999998</v>
      </c>
      <c r="JE43" s="4">
        <v>5.7480000000000002</v>
      </c>
      <c r="JF43" s="4">
        <v>5.8070000000000004</v>
      </c>
      <c r="JG43" s="4">
        <v>4.7670000000000003</v>
      </c>
      <c r="JH43" s="4">
        <v>5.5460000000000003</v>
      </c>
      <c r="JI43" s="4">
        <v>3.0920000000000001</v>
      </c>
      <c r="JJ43" s="4">
        <v>4.3490000000000002</v>
      </c>
      <c r="JK43" s="4">
        <v>4.2249999999999996</v>
      </c>
      <c r="JL43" s="4">
        <v>6.3129999999999997</v>
      </c>
      <c r="JM43" s="4">
        <v>5.3470000000000004</v>
      </c>
      <c r="JN43" s="4">
        <v>3.89</v>
      </c>
      <c r="JO43" s="4">
        <v>4.1719999999999997</v>
      </c>
      <c r="JP43" s="4">
        <v>5.3630000000000004</v>
      </c>
      <c r="JQ43" s="4">
        <v>5.0940000000000003</v>
      </c>
      <c r="JR43" s="4">
        <v>3.9540000000000002</v>
      </c>
      <c r="JS43" s="4">
        <v>0.997</v>
      </c>
      <c r="JT43" s="4">
        <v>4.2709999999999999</v>
      </c>
      <c r="JU43" s="4">
        <v>4.2130000000000001</v>
      </c>
      <c r="JV43" s="4">
        <v>3.835</v>
      </c>
      <c r="JW43" s="4">
        <v>4.6920000000000002</v>
      </c>
      <c r="JX43" s="4">
        <v>4.1849999999999996</v>
      </c>
      <c r="JY43" s="4">
        <v>4.8899999999999997</v>
      </c>
      <c r="JZ43" s="4">
        <v>3.6960000000000002</v>
      </c>
      <c r="KA43" s="4">
        <v>5.3410000000000002</v>
      </c>
      <c r="KB43" s="4">
        <v>0.57299999999999995</v>
      </c>
      <c r="KC43" s="4">
        <v>2.19</v>
      </c>
      <c r="KD43" s="4">
        <v>5.1749999999999998</v>
      </c>
      <c r="KE43" s="4">
        <v>6.032</v>
      </c>
      <c r="KF43" s="4">
        <v>4.8479999999999999</v>
      </c>
      <c r="KG43" s="4">
        <v>4.2</v>
      </c>
      <c r="KH43" s="4">
        <v>4.5730000000000004</v>
      </c>
      <c r="KI43" s="4">
        <v>4.3479999999999999</v>
      </c>
      <c r="KJ43" s="4">
        <v>5.343</v>
      </c>
      <c r="KK43" s="4">
        <v>4.7939999999999996</v>
      </c>
      <c r="KL43" s="4">
        <v>4.3449999999999998</v>
      </c>
      <c r="KM43" s="4">
        <v>-0.35699999999999998</v>
      </c>
      <c r="KN43" s="4">
        <v>4.593</v>
      </c>
      <c r="KO43" s="4">
        <v>0.187</v>
      </c>
      <c r="KP43" s="4">
        <v>4.45</v>
      </c>
      <c r="KQ43" s="4">
        <v>4.2859999999999996</v>
      </c>
      <c r="KR43" s="4">
        <v>4.1050000000000004</v>
      </c>
      <c r="KS43" s="4">
        <v>5.8360000000000003</v>
      </c>
    </row>
    <row r="44" spans="1:305" x14ac:dyDescent="0.25">
      <c r="A44" s="4">
        <v>2017</v>
      </c>
      <c r="B44" s="4">
        <v>5</v>
      </c>
      <c r="C44" s="4">
        <v>0.61499999999999999</v>
      </c>
      <c r="D44" s="4">
        <v>10.865</v>
      </c>
      <c r="E44" s="4">
        <v>11.836</v>
      </c>
      <c r="F44" s="4">
        <v>11.585000000000001</v>
      </c>
      <c r="G44" s="4">
        <v>11.835000000000001</v>
      </c>
      <c r="H44" s="4">
        <v>8.4920000000000009</v>
      </c>
      <c r="I44" s="4">
        <v>11.888</v>
      </c>
      <c r="J44" s="4">
        <v>6.0289999999999999</v>
      </c>
      <c r="K44" s="4">
        <v>11.24</v>
      </c>
      <c r="L44" s="4">
        <v>12.311</v>
      </c>
      <c r="M44" s="4">
        <v>8.0649999999999995</v>
      </c>
      <c r="N44" s="4">
        <v>11.662000000000001</v>
      </c>
      <c r="O44" s="4">
        <v>5.0789999999999997</v>
      </c>
      <c r="P44" s="4">
        <v>10.766</v>
      </c>
      <c r="Q44" s="4">
        <v>3.4660000000000002</v>
      </c>
      <c r="R44" s="4">
        <v>3.8210000000000002</v>
      </c>
      <c r="S44" s="4">
        <v>11.294</v>
      </c>
      <c r="T44" s="4">
        <v>11.374000000000001</v>
      </c>
      <c r="U44" s="4">
        <v>11.340999999999999</v>
      </c>
      <c r="V44" s="4">
        <v>11.276</v>
      </c>
      <c r="W44" s="4">
        <v>10.208</v>
      </c>
      <c r="X44" s="4">
        <v>12.066000000000001</v>
      </c>
      <c r="Y44" s="4">
        <v>11.534000000000001</v>
      </c>
      <c r="Z44" s="4">
        <v>6.157</v>
      </c>
      <c r="AA44" s="4">
        <v>12.43</v>
      </c>
      <c r="AB44" s="4">
        <v>5.9089999999999998</v>
      </c>
      <c r="AC44" s="4">
        <v>11.615</v>
      </c>
      <c r="AD44" s="4">
        <v>9.2880000000000003</v>
      </c>
      <c r="AE44" s="4">
        <v>11.404999999999999</v>
      </c>
      <c r="AF44" s="4">
        <v>11.16</v>
      </c>
      <c r="AG44" s="4">
        <v>10.081</v>
      </c>
      <c r="AH44" s="4">
        <v>10.581</v>
      </c>
      <c r="AI44" s="4">
        <v>7.3460000000000001</v>
      </c>
      <c r="AJ44" s="4">
        <v>12.249000000000001</v>
      </c>
      <c r="AK44" s="4">
        <v>11.984999999999999</v>
      </c>
      <c r="AL44" s="4">
        <v>12.757999999999999</v>
      </c>
      <c r="AM44" s="4">
        <v>10.898999999999999</v>
      </c>
      <c r="AN44" s="4">
        <v>10.923</v>
      </c>
      <c r="AO44" s="4">
        <v>11.263</v>
      </c>
      <c r="AP44" s="4">
        <v>8.6940000000000008</v>
      </c>
      <c r="AQ44" s="4">
        <v>6.5629999999999997</v>
      </c>
      <c r="AR44" s="4">
        <v>8.9380000000000006</v>
      </c>
      <c r="AS44" s="4">
        <v>11.263</v>
      </c>
      <c r="AT44" s="4">
        <v>11.276999999999999</v>
      </c>
      <c r="AU44" s="4">
        <v>11.75</v>
      </c>
      <c r="AV44" s="4">
        <v>10.795</v>
      </c>
      <c r="AW44" s="4">
        <v>11.467000000000001</v>
      </c>
      <c r="AX44" s="4">
        <v>12.478999999999999</v>
      </c>
      <c r="AY44" s="4">
        <v>11.647</v>
      </c>
      <c r="AZ44" s="4">
        <v>10.351000000000001</v>
      </c>
      <c r="BA44" s="4">
        <v>11.868</v>
      </c>
      <c r="BB44" s="4">
        <v>11.089</v>
      </c>
      <c r="BC44" s="4">
        <v>11.141999999999999</v>
      </c>
      <c r="BD44" s="4">
        <v>10.122</v>
      </c>
      <c r="BE44" s="4">
        <v>11.398999999999999</v>
      </c>
      <c r="BF44" s="4">
        <v>10.462999999999999</v>
      </c>
      <c r="BG44" s="4">
        <v>9.4429999999999996</v>
      </c>
      <c r="BH44" s="4">
        <v>11.619</v>
      </c>
      <c r="BI44" s="4">
        <v>11.254</v>
      </c>
      <c r="BJ44" s="4">
        <v>6.1520000000000001</v>
      </c>
      <c r="BK44" s="4">
        <v>11.545</v>
      </c>
      <c r="BL44" s="4">
        <v>6.03</v>
      </c>
      <c r="BM44" s="4">
        <v>5.7430000000000003</v>
      </c>
      <c r="BN44" s="4">
        <v>9.6679999999999993</v>
      </c>
      <c r="BO44" s="4">
        <v>2.6680000000000001</v>
      </c>
      <c r="BP44" s="4">
        <v>9.359</v>
      </c>
      <c r="BQ44" s="4">
        <v>11.695</v>
      </c>
      <c r="BR44" s="4">
        <v>10.670999999999999</v>
      </c>
      <c r="BS44" s="4">
        <v>12.182</v>
      </c>
      <c r="BT44" s="4">
        <v>11.766999999999999</v>
      </c>
      <c r="BU44" s="4">
        <v>11.638999999999999</v>
      </c>
      <c r="BV44" s="4">
        <v>10.894</v>
      </c>
      <c r="BW44" s="4">
        <v>10.525</v>
      </c>
      <c r="BX44" s="4">
        <v>10.365</v>
      </c>
      <c r="BY44" s="4">
        <v>11.577999999999999</v>
      </c>
      <c r="BZ44" s="4">
        <v>11.170999999999999</v>
      </c>
      <c r="CA44" s="4">
        <v>12.223000000000001</v>
      </c>
      <c r="CB44" s="4">
        <v>10.170999999999999</v>
      </c>
      <c r="CC44" s="4">
        <v>7.6059999999999999</v>
      </c>
      <c r="CD44" s="4">
        <v>9.9480000000000004</v>
      </c>
      <c r="CE44" s="4">
        <v>4.28</v>
      </c>
      <c r="CF44" s="4">
        <v>7.4850000000000003</v>
      </c>
      <c r="CG44" s="4">
        <v>12.105</v>
      </c>
      <c r="CH44" s="4">
        <v>12.073</v>
      </c>
      <c r="CI44" s="4">
        <v>10.054</v>
      </c>
      <c r="CJ44" s="4">
        <v>6.3650000000000002</v>
      </c>
      <c r="CK44" s="4">
        <v>12.297000000000001</v>
      </c>
      <c r="CL44" s="4">
        <v>2.4060000000000001</v>
      </c>
      <c r="CM44" s="4">
        <v>10.117000000000001</v>
      </c>
      <c r="CN44" s="4">
        <v>11.614000000000001</v>
      </c>
      <c r="CO44" s="4">
        <v>10.641999999999999</v>
      </c>
      <c r="CP44" s="4">
        <v>9.6379999999999999</v>
      </c>
      <c r="CQ44" s="4">
        <v>11.919</v>
      </c>
      <c r="CR44" s="4">
        <v>11.689</v>
      </c>
      <c r="CS44" s="4">
        <v>12.223000000000001</v>
      </c>
      <c r="CT44" s="4">
        <v>12.141999999999999</v>
      </c>
      <c r="CU44" s="4">
        <v>11.621</v>
      </c>
      <c r="CV44" s="4">
        <v>10.587999999999999</v>
      </c>
      <c r="CW44" s="4">
        <v>8.4390000000000001</v>
      </c>
      <c r="CX44" s="4">
        <v>11.497999999999999</v>
      </c>
      <c r="CY44" s="4">
        <v>11.775</v>
      </c>
      <c r="CZ44" s="4">
        <v>11.147</v>
      </c>
      <c r="DA44" s="4">
        <v>3.95</v>
      </c>
      <c r="DB44" s="4">
        <v>11.342000000000001</v>
      </c>
      <c r="DC44" s="4">
        <v>7.2930000000000001</v>
      </c>
      <c r="DD44" s="4">
        <v>4.6139999999999999</v>
      </c>
      <c r="DE44" s="4">
        <v>11.154</v>
      </c>
      <c r="DF44" s="4">
        <v>1.839</v>
      </c>
      <c r="DG44" s="4">
        <v>10.808999999999999</v>
      </c>
      <c r="DH44" s="4">
        <v>11.532</v>
      </c>
      <c r="DI44" s="4">
        <v>10.901999999999999</v>
      </c>
      <c r="DJ44" s="4">
        <v>11.673</v>
      </c>
      <c r="DK44" s="4">
        <v>10.868</v>
      </c>
      <c r="DL44" s="4">
        <v>11.481999999999999</v>
      </c>
      <c r="DM44" s="4">
        <v>12.599</v>
      </c>
      <c r="DN44" s="4">
        <v>11.46</v>
      </c>
      <c r="DO44" s="4">
        <v>11.962999999999999</v>
      </c>
      <c r="DP44" s="4">
        <v>1.915</v>
      </c>
      <c r="DQ44" s="4">
        <v>11.131</v>
      </c>
      <c r="DR44" s="4">
        <v>12.236000000000001</v>
      </c>
      <c r="DS44" s="4">
        <v>10.436999999999999</v>
      </c>
      <c r="DT44" s="4">
        <v>11.417</v>
      </c>
      <c r="DU44" s="4">
        <v>10.106</v>
      </c>
      <c r="DV44" s="4">
        <v>7.7670000000000003</v>
      </c>
      <c r="DW44" s="4">
        <v>12.379</v>
      </c>
      <c r="DX44" s="4">
        <v>10.815</v>
      </c>
      <c r="DY44" s="4">
        <v>11.659000000000001</v>
      </c>
      <c r="DZ44" s="4">
        <v>11.927</v>
      </c>
      <c r="EA44" s="4">
        <v>12.069000000000001</v>
      </c>
      <c r="EB44" s="4">
        <v>11.596</v>
      </c>
      <c r="EC44" s="4">
        <v>3.1190000000000002</v>
      </c>
      <c r="ED44" s="4">
        <v>12.311</v>
      </c>
      <c r="EE44" s="4">
        <v>12.209</v>
      </c>
      <c r="EF44" s="4">
        <v>11.563000000000001</v>
      </c>
      <c r="EG44" s="4">
        <v>11.510999999999999</v>
      </c>
      <c r="EH44" s="4">
        <v>9.6929999999999996</v>
      </c>
      <c r="EI44" s="4">
        <v>11.742000000000001</v>
      </c>
      <c r="EJ44" s="4">
        <v>11.683999999999999</v>
      </c>
      <c r="EK44" s="4">
        <v>10.781000000000001</v>
      </c>
      <c r="EL44" s="4">
        <v>11.798</v>
      </c>
      <c r="EM44" s="4">
        <v>11.576000000000001</v>
      </c>
      <c r="EN44" s="4">
        <v>11.041</v>
      </c>
      <c r="EO44" s="4">
        <v>11.866</v>
      </c>
      <c r="EP44" s="4">
        <v>11.882</v>
      </c>
      <c r="EQ44" s="4">
        <v>8.8360000000000003</v>
      </c>
      <c r="ER44" s="4">
        <v>12.722</v>
      </c>
      <c r="ES44" s="4">
        <v>10.234999999999999</v>
      </c>
      <c r="ET44" s="4">
        <v>5.1749999999999998</v>
      </c>
      <c r="EU44" s="4">
        <v>12.680999999999999</v>
      </c>
      <c r="EV44" s="4">
        <v>6.3079999999999998</v>
      </c>
      <c r="EW44" s="4">
        <v>11.429</v>
      </c>
      <c r="EX44" s="4">
        <v>4.6719999999999997</v>
      </c>
      <c r="EY44" s="4">
        <v>11.436999999999999</v>
      </c>
      <c r="EZ44" s="4">
        <v>12.756</v>
      </c>
      <c r="FA44" s="4">
        <v>8.8740000000000006</v>
      </c>
      <c r="FB44" s="4">
        <v>11.602</v>
      </c>
      <c r="FC44" s="4">
        <v>11.84</v>
      </c>
      <c r="FD44" s="4">
        <v>10.298999999999999</v>
      </c>
      <c r="FE44" s="4">
        <v>11.117000000000001</v>
      </c>
      <c r="FF44" s="4">
        <v>11.906000000000001</v>
      </c>
      <c r="FG44" s="4">
        <v>12.188000000000001</v>
      </c>
      <c r="FH44" s="4">
        <v>11.308</v>
      </c>
      <c r="FI44" s="4">
        <v>9.74</v>
      </c>
      <c r="FJ44" s="4">
        <v>10.863</v>
      </c>
      <c r="FK44" s="4">
        <v>11.443</v>
      </c>
      <c r="FL44" s="4">
        <v>11.69</v>
      </c>
      <c r="FM44" s="4">
        <v>10.625999999999999</v>
      </c>
      <c r="FN44" s="4">
        <v>10.818</v>
      </c>
      <c r="FO44" s="4">
        <v>11.125999999999999</v>
      </c>
      <c r="FP44" s="4">
        <v>10.866</v>
      </c>
      <c r="FQ44" s="4">
        <v>10.009</v>
      </c>
      <c r="FR44" s="4">
        <v>8.2469999999999999</v>
      </c>
      <c r="FS44" s="4">
        <v>6.7960000000000003</v>
      </c>
      <c r="FT44" s="4">
        <v>11.393000000000001</v>
      </c>
      <c r="FU44" s="4">
        <v>9.327</v>
      </c>
      <c r="FV44" s="4">
        <v>5.2069999999999999</v>
      </c>
      <c r="FW44" s="4">
        <v>11.749000000000001</v>
      </c>
      <c r="FX44" s="4">
        <v>10.74</v>
      </c>
      <c r="FY44" s="4">
        <v>10.742000000000001</v>
      </c>
      <c r="FZ44" s="4">
        <v>9.0709999999999997</v>
      </c>
      <c r="GA44" s="4">
        <v>9.1219999999999999</v>
      </c>
      <c r="GB44" s="4">
        <v>11.326000000000001</v>
      </c>
      <c r="GC44" s="4">
        <v>11.250999999999999</v>
      </c>
      <c r="GD44" s="4">
        <v>12.089</v>
      </c>
      <c r="GE44" s="4">
        <v>11.712999999999999</v>
      </c>
      <c r="GF44" s="4">
        <v>12.061999999999999</v>
      </c>
      <c r="GG44" s="4">
        <v>7.1879999999999997</v>
      </c>
      <c r="GH44" s="4">
        <v>9.3279999999999994</v>
      </c>
      <c r="GI44" s="4">
        <v>11.73</v>
      </c>
      <c r="GJ44" s="4">
        <v>11.951000000000001</v>
      </c>
      <c r="GK44" s="4">
        <v>10.933</v>
      </c>
      <c r="GL44" s="4">
        <v>10.425000000000001</v>
      </c>
      <c r="GM44" s="4">
        <v>10.279</v>
      </c>
      <c r="GN44" s="4">
        <v>6.8140000000000001</v>
      </c>
      <c r="GO44" s="4">
        <v>8.9</v>
      </c>
      <c r="GP44" s="4">
        <v>9.7439999999999998</v>
      </c>
      <c r="GQ44" s="4">
        <v>4.8179999999999996</v>
      </c>
      <c r="GR44" s="4">
        <v>4.6619999999999999</v>
      </c>
      <c r="GS44" s="4">
        <v>9.8770000000000007</v>
      </c>
      <c r="GT44" s="4">
        <v>3.5739999999999998</v>
      </c>
      <c r="GU44" s="4">
        <v>12.034000000000001</v>
      </c>
      <c r="GV44" s="4">
        <v>5.827</v>
      </c>
      <c r="GW44" s="4">
        <v>9.3879999999999999</v>
      </c>
      <c r="GX44" s="4">
        <v>0.40200000000000002</v>
      </c>
      <c r="GY44" s="4">
        <v>6.056</v>
      </c>
      <c r="GZ44" s="4">
        <v>11.506</v>
      </c>
      <c r="HA44" s="4">
        <v>11.37</v>
      </c>
      <c r="HB44" s="4">
        <v>10.396000000000001</v>
      </c>
      <c r="HC44" s="4">
        <v>10.936999999999999</v>
      </c>
      <c r="HD44" s="4">
        <v>7.4809999999999999</v>
      </c>
      <c r="HE44" s="4">
        <v>9.8149999999999995</v>
      </c>
      <c r="HF44" s="4">
        <v>6.8479999999999999</v>
      </c>
      <c r="HG44" s="4">
        <v>11.41</v>
      </c>
      <c r="HH44" s="4">
        <v>10.044</v>
      </c>
      <c r="HI44" s="4">
        <v>11.359</v>
      </c>
      <c r="HJ44" s="4">
        <v>10.775</v>
      </c>
      <c r="HK44" s="4">
        <v>10.83</v>
      </c>
      <c r="HL44" s="4">
        <v>12.135999999999999</v>
      </c>
      <c r="HM44" s="4">
        <v>11.771000000000001</v>
      </c>
      <c r="HN44" s="4">
        <v>6.0449999999999999</v>
      </c>
      <c r="HO44" s="4">
        <v>10.404999999999999</v>
      </c>
      <c r="HP44" s="4">
        <v>11.536</v>
      </c>
      <c r="HQ44" s="4">
        <v>11.936</v>
      </c>
      <c r="HR44" s="4">
        <v>8.9450000000000003</v>
      </c>
      <c r="HS44" s="4">
        <v>10.356999999999999</v>
      </c>
      <c r="HT44" s="4">
        <v>8.4890000000000008</v>
      </c>
      <c r="HU44" s="4">
        <v>11.404</v>
      </c>
      <c r="HV44" s="4">
        <v>10.807</v>
      </c>
      <c r="HW44" s="4">
        <v>7.9749999999999996</v>
      </c>
      <c r="HX44" s="4">
        <v>11.021000000000001</v>
      </c>
      <c r="HY44" s="4">
        <v>11.112</v>
      </c>
      <c r="HZ44" s="4">
        <v>11.477</v>
      </c>
      <c r="IA44" s="4">
        <v>4.8940000000000001</v>
      </c>
      <c r="IB44" s="4">
        <v>10.98</v>
      </c>
      <c r="IC44" s="4">
        <v>12.641</v>
      </c>
      <c r="ID44" s="4">
        <v>11.648999999999999</v>
      </c>
      <c r="IE44" s="4">
        <v>11.189</v>
      </c>
      <c r="IF44" s="4">
        <v>10.964</v>
      </c>
      <c r="IG44" s="4">
        <v>10.723000000000001</v>
      </c>
      <c r="IH44" s="4">
        <v>3.9329999999999998</v>
      </c>
      <c r="II44" s="4">
        <v>5.2690000000000001</v>
      </c>
      <c r="IJ44" s="4">
        <v>11.183</v>
      </c>
      <c r="IK44" s="4">
        <v>11.555</v>
      </c>
      <c r="IL44" s="4">
        <v>6.5990000000000002</v>
      </c>
      <c r="IM44" s="4">
        <v>11.146000000000001</v>
      </c>
      <c r="IN44" s="4">
        <v>8.2029999999999994</v>
      </c>
      <c r="IO44" s="4">
        <v>10.81</v>
      </c>
      <c r="IP44" s="4">
        <v>10.942</v>
      </c>
      <c r="IQ44" s="4">
        <v>12.414</v>
      </c>
      <c r="IR44" s="4">
        <v>12.603999999999999</v>
      </c>
      <c r="IS44" s="4">
        <v>7.5279999999999996</v>
      </c>
      <c r="IT44" s="4">
        <v>11.553000000000001</v>
      </c>
      <c r="IU44" s="4">
        <v>7.1909999999999998</v>
      </c>
      <c r="IV44" s="4">
        <v>10.798</v>
      </c>
      <c r="IW44" s="4">
        <v>5.165</v>
      </c>
      <c r="IX44" s="4">
        <v>11.622</v>
      </c>
      <c r="IY44" s="4">
        <v>10.193</v>
      </c>
      <c r="IZ44" s="4">
        <v>11.808999999999999</v>
      </c>
      <c r="JA44" s="4">
        <v>11.407</v>
      </c>
      <c r="JB44" s="4">
        <v>9.625</v>
      </c>
      <c r="JC44" s="4">
        <v>8.0939999999999994</v>
      </c>
      <c r="JD44" s="4">
        <v>11.785</v>
      </c>
      <c r="JE44" s="4">
        <v>11.164999999999999</v>
      </c>
      <c r="JF44" s="4">
        <v>11.760999999999999</v>
      </c>
      <c r="JG44" s="4">
        <v>11.965</v>
      </c>
      <c r="JH44" s="4">
        <v>11.616</v>
      </c>
      <c r="JI44" s="4">
        <v>10.756</v>
      </c>
      <c r="JJ44" s="4">
        <v>11.678000000000001</v>
      </c>
      <c r="JK44" s="4">
        <v>11.505000000000001</v>
      </c>
      <c r="JL44" s="4">
        <v>11.632999999999999</v>
      </c>
      <c r="JM44" s="4">
        <v>11.599</v>
      </c>
      <c r="JN44" s="4">
        <v>10.007999999999999</v>
      </c>
      <c r="JO44" s="4">
        <v>10.353</v>
      </c>
      <c r="JP44" s="4">
        <v>11.664</v>
      </c>
      <c r="JQ44" s="4">
        <v>11.714</v>
      </c>
      <c r="JR44" s="4">
        <v>11.045999999999999</v>
      </c>
      <c r="JS44" s="4">
        <v>6.5229999999999997</v>
      </c>
      <c r="JT44" s="4">
        <v>10.933</v>
      </c>
      <c r="JU44" s="4">
        <v>10.795999999999999</v>
      </c>
      <c r="JV44" s="4">
        <v>10.426</v>
      </c>
      <c r="JW44" s="4">
        <v>11.162000000000001</v>
      </c>
      <c r="JX44" s="4">
        <v>11.548</v>
      </c>
      <c r="JY44" s="4">
        <v>11.000999999999999</v>
      </c>
      <c r="JZ44" s="4">
        <v>10.061999999999999</v>
      </c>
      <c r="KA44" s="4">
        <v>11.5</v>
      </c>
      <c r="KB44" s="4">
        <v>6.31</v>
      </c>
      <c r="KC44" s="4">
        <v>9.6839999999999993</v>
      </c>
      <c r="KD44" s="4">
        <v>11.678000000000001</v>
      </c>
      <c r="KE44" s="4">
        <v>11.81</v>
      </c>
      <c r="KF44" s="4">
        <v>11.555999999999999</v>
      </c>
      <c r="KG44" s="4">
        <v>10.266</v>
      </c>
      <c r="KH44" s="4">
        <v>12.015000000000001</v>
      </c>
      <c r="KI44" s="4">
        <v>11.234999999999999</v>
      </c>
      <c r="KJ44" s="4">
        <v>10.598000000000001</v>
      </c>
      <c r="KK44" s="4">
        <v>11.923999999999999</v>
      </c>
      <c r="KL44" s="4">
        <v>11.516</v>
      </c>
      <c r="KM44" s="4">
        <v>6.1059999999999999</v>
      </c>
      <c r="KN44" s="4">
        <v>11.332000000000001</v>
      </c>
      <c r="KO44" s="4">
        <v>6.2080000000000002</v>
      </c>
      <c r="KP44" s="4">
        <v>11.663</v>
      </c>
      <c r="KQ44" s="4">
        <v>9.8030000000000008</v>
      </c>
      <c r="KR44" s="4">
        <v>11.14</v>
      </c>
      <c r="KS44" s="4">
        <v>11.087999999999999</v>
      </c>
    </row>
    <row r="45" spans="1:305" x14ac:dyDescent="0.25">
      <c r="A45" s="4">
        <v>2017</v>
      </c>
      <c r="B45" s="4">
        <v>6</v>
      </c>
      <c r="C45" s="4">
        <v>8.2539999999999996</v>
      </c>
      <c r="D45" s="4">
        <v>15.05</v>
      </c>
      <c r="E45" s="4">
        <v>15.266999999999999</v>
      </c>
      <c r="F45" s="4">
        <v>14.872999999999999</v>
      </c>
      <c r="G45" s="4">
        <v>14.542999999999999</v>
      </c>
      <c r="H45" s="4">
        <v>12.266999999999999</v>
      </c>
      <c r="I45" s="4">
        <v>14.535</v>
      </c>
      <c r="J45" s="4">
        <v>12.522</v>
      </c>
      <c r="K45" s="4">
        <v>14.948</v>
      </c>
      <c r="L45" s="4">
        <v>15.238</v>
      </c>
      <c r="M45" s="4">
        <v>12.352</v>
      </c>
      <c r="N45" s="4">
        <v>15.113</v>
      </c>
      <c r="O45" s="4">
        <v>10.401</v>
      </c>
      <c r="P45" s="4">
        <v>14.167999999999999</v>
      </c>
      <c r="Q45" s="4">
        <v>10.821</v>
      </c>
      <c r="R45" s="4">
        <v>10.901</v>
      </c>
      <c r="S45" s="4">
        <v>14.705</v>
      </c>
      <c r="T45" s="4">
        <v>14.228</v>
      </c>
      <c r="U45" s="4">
        <v>14.625999999999999</v>
      </c>
      <c r="V45" s="4">
        <v>15.021000000000001</v>
      </c>
      <c r="W45" s="4">
        <v>14.260999999999999</v>
      </c>
      <c r="X45" s="4">
        <v>15.205</v>
      </c>
      <c r="Y45" s="4">
        <v>14.837999999999999</v>
      </c>
      <c r="Z45" s="4">
        <v>11.872999999999999</v>
      </c>
      <c r="AA45" s="4">
        <v>15.276</v>
      </c>
      <c r="AB45" s="4">
        <v>12.512</v>
      </c>
      <c r="AC45" s="4">
        <v>14.688000000000001</v>
      </c>
      <c r="AD45" s="4">
        <v>13.327</v>
      </c>
      <c r="AE45" s="4">
        <v>14.372</v>
      </c>
      <c r="AF45" s="4">
        <v>15.657</v>
      </c>
      <c r="AG45" s="4">
        <v>13.523</v>
      </c>
      <c r="AH45" s="4">
        <v>14.802</v>
      </c>
      <c r="AI45" s="4">
        <v>11.677</v>
      </c>
      <c r="AJ45" s="4">
        <v>14.845000000000001</v>
      </c>
      <c r="AK45" s="4">
        <v>15.19</v>
      </c>
      <c r="AL45" s="4">
        <v>15.842000000000001</v>
      </c>
      <c r="AM45" s="4">
        <v>14.404999999999999</v>
      </c>
      <c r="AN45" s="4">
        <v>15.077</v>
      </c>
      <c r="AO45" s="4">
        <v>14.497999999999999</v>
      </c>
      <c r="AP45" s="4">
        <v>12.869</v>
      </c>
      <c r="AQ45" s="4">
        <v>11.686999999999999</v>
      </c>
      <c r="AR45" s="4">
        <v>12.664999999999999</v>
      </c>
      <c r="AS45" s="4">
        <v>14.749000000000001</v>
      </c>
      <c r="AT45" s="4">
        <v>14.021000000000001</v>
      </c>
      <c r="AU45" s="4">
        <v>14.721</v>
      </c>
      <c r="AV45" s="4">
        <v>14.73</v>
      </c>
      <c r="AW45" s="4">
        <v>15.11</v>
      </c>
      <c r="AX45" s="4">
        <v>15.321</v>
      </c>
      <c r="AY45" s="4">
        <v>14.989000000000001</v>
      </c>
      <c r="AZ45" s="4">
        <v>13.994999999999999</v>
      </c>
      <c r="BA45" s="4">
        <v>15.167999999999999</v>
      </c>
      <c r="BB45" s="4">
        <v>14.154999999999999</v>
      </c>
      <c r="BC45" s="4">
        <v>15.007</v>
      </c>
      <c r="BD45" s="4">
        <v>13.757999999999999</v>
      </c>
      <c r="BE45" s="4">
        <v>14.851000000000001</v>
      </c>
      <c r="BF45" s="4">
        <v>13.811</v>
      </c>
      <c r="BG45" s="4">
        <v>14.176</v>
      </c>
      <c r="BH45" s="4">
        <v>14.992000000000001</v>
      </c>
      <c r="BI45" s="4">
        <v>14.959</v>
      </c>
      <c r="BJ45" s="4">
        <v>11.129</v>
      </c>
      <c r="BK45" s="4">
        <v>14.907999999999999</v>
      </c>
      <c r="BL45" s="4">
        <v>11.31</v>
      </c>
      <c r="BM45" s="4">
        <v>11.198</v>
      </c>
      <c r="BN45" s="4">
        <v>13.099</v>
      </c>
      <c r="BO45" s="4">
        <v>10.715</v>
      </c>
      <c r="BP45" s="4">
        <v>13.808999999999999</v>
      </c>
      <c r="BQ45" s="4">
        <v>14.477</v>
      </c>
      <c r="BR45" s="4">
        <v>14.872</v>
      </c>
      <c r="BS45" s="4">
        <v>15.565</v>
      </c>
      <c r="BT45" s="4">
        <v>15.196999999999999</v>
      </c>
      <c r="BU45" s="4">
        <v>15.183999999999999</v>
      </c>
      <c r="BV45" s="4">
        <v>15.03</v>
      </c>
      <c r="BW45" s="4">
        <v>13.887</v>
      </c>
      <c r="BX45" s="4">
        <v>13.715999999999999</v>
      </c>
      <c r="BY45" s="4">
        <v>14.676</v>
      </c>
      <c r="BZ45" s="4">
        <v>14.782</v>
      </c>
      <c r="CA45" s="4">
        <v>15.292999999999999</v>
      </c>
      <c r="CB45" s="4">
        <v>14.265000000000001</v>
      </c>
      <c r="CC45" s="4">
        <v>11.801</v>
      </c>
      <c r="CD45" s="4">
        <v>14.416</v>
      </c>
      <c r="CE45" s="4">
        <v>11.811999999999999</v>
      </c>
      <c r="CF45" s="4">
        <v>12.239000000000001</v>
      </c>
      <c r="CG45" s="4">
        <v>15.273</v>
      </c>
      <c r="CH45" s="4">
        <v>14.68</v>
      </c>
      <c r="CI45" s="4">
        <v>13.994999999999999</v>
      </c>
      <c r="CJ45" s="4">
        <v>10.238</v>
      </c>
      <c r="CK45" s="4">
        <v>15.420999999999999</v>
      </c>
      <c r="CL45" s="4">
        <v>9.3989999999999991</v>
      </c>
      <c r="CM45" s="4">
        <v>14.654999999999999</v>
      </c>
      <c r="CN45" s="4">
        <v>14.785</v>
      </c>
      <c r="CO45" s="4">
        <v>14.222</v>
      </c>
      <c r="CP45" s="4">
        <v>13.657</v>
      </c>
      <c r="CQ45" s="4">
        <v>15.237</v>
      </c>
      <c r="CR45" s="4">
        <v>15.327999999999999</v>
      </c>
      <c r="CS45" s="4">
        <v>14.913</v>
      </c>
      <c r="CT45" s="4">
        <v>14.843</v>
      </c>
      <c r="CU45" s="4">
        <v>14.875</v>
      </c>
      <c r="CV45" s="4">
        <v>14.788</v>
      </c>
      <c r="CW45" s="4">
        <v>13.090999999999999</v>
      </c>
      <c r="CX45" s="4">
        <v>14.922000000000001</v>
      </c>
      <c r="CY45" s="4">
        <v>14.682</v>
      </c>
      <c r="CZ45" s="4">
        <v>15.305</v>
      </c>
      <c r="DA45" s="4">
        <v>12.032</v>
      </c>
      <c r="DB45" s="4">
        <v>14.537000000000001</v>
      </c>
      <c r="DC45" s="4">
        <v>12.148999999999999</v>
      </c>
      <c r="DD45" s="4">
        <v>12.385999999999999</v>
      </c>
      <c r="DE45" s="4">
        <v>15.510999999999999</v>
      </c>
      <c r="DF45" s="4">
        <v>9.9030000000000005</v>
      </c>
      <c r="DG45" s="4">
        <v>14.596</v>
      </c>
      <c r="DH45" s="4">
        <v>14.917999999999999</v>
      </c>
      <c r="DI45" s="4">
        <v>14.18</v>
      </c>
      <c r="DJ45" s="4">
        <v>14.967000000000001</v>
      </c>
      <c r="DK45" s="4">
        <v>14.637</v>
      </c>
      <c r="DL45" s="4">
        <v>15.061</v>
      </c>
      <c r="DM45" s="4">
        <v>15.638999999999999</v>
      </c>
      <c r="DN45" s="4">
        <v>14.821999999999999</v>
      </c>
      <c r="DO45" s="4">
        <v>14.888999999999999</v>
      </c>
      <c r="DP45" s="4">
        <v>10.340999999999999</v>
      </c>
      <c r="DQ45" s="4">
        <v>14.581</v>
      </c>
      <c r="DR45" s="4">
        <v>14.962</v>
      </c>
      <c r="DS45" s="4">
        <v>14.69</v>
      </c>
      <c r="DT45" s="4">
        <v>14.882999999999999</v>
      </c>
      <c r="DU45" s="4">
        <v>13.292</v>
      </c>
      <c r="DV45" s="4">
        <v>12.691000000000001</v>
      </c>
      <c r="DW45" s="4">
        <v>15.282</v>
      </c>
      <c r="DX45" s="4">
        <v>14.417999999999999</v>
      </c>
      <c r="DY45" s="4">
        <v>14.737</v>
      </c>
      <c r="DZ45" s="4">
        <v>15.347</v>
      </c>
      <c r="EA45" s="4">
        <v>15.359</v>
      </c>
      <c r="EB45" s="4">
        <v>15.111000000000001</v>
      </c>
      <c r="EC45" s="4">
        <v>10.403</v>
      </c>
      <c r="ED45" s="4">
        <v>15.273999999999999</v>
      </c>
      <c r="EE45" s="4">
        <v>15.545</v>
      </c>
      <c r="EF45" s="4">
        <v>14.752000000000001</v>
      </c>
      <c r="EG45" s="4">
        <v>14.593</v>
      </c>
      <c r="EH45" s="4">
        <v>13.31</v>
      </c>
      <c r="EI45" s="4">
        <v>14.957000000000001</v>
      </c>
      <c r="EJ45" s="4">
        <v>14.462</v>
      </c>
      <c r="EK45" s="4">
        <v>14.94</v>
      </c>
      <c r="EL45" s="4">
        <v>15.423</v>
      </c>
      <c r="EM45" s="4">
        <v>15.215999999999999</v>
      </c>
      <c r="EN45" s="4">
        <v>14.333</v>
      </c>
      <c r="EO45" s="4">
        <v>15.141999999999999</v>
      </c>
      <c r="EP45" s="4">
        <v>14.74</v>
      </c>
      <c r="EQ45" s="4">
        <v>12.772</v>
      </c>
      <c r="ER45" s="4">
        <v>15.826000000000001</v>
      </c>
      <c r="ES45" s="4">
        <v>13.443</v>
      </c>
      <c r="ET45" s="4">
        <v>12.039</v>
      </c>
      <c r="EU45" s="4">
        <v>15.654</v>
      </c>
      <c r="EV45" s="4">
        <v>12.084</v>
      </c>
      <c r="EW45" s="4">
        <v>15.054</v>
      </c>
      <c r="EX45" s="4">
        <v>11.356</v>
      </c>
      <c r="EY45" s="4">
        <v>14.494</v>
      </c>
      <c r="EZ45" s="4">
        <v>15.914</v>
      </c>
      <c r="FA45" s="4">
        <v>12.464</v>
      </c>
      <c r="FB45" s="4">
        <v>15.209</v>
      </c>
      <c r="FC45" s="4">
        <v>14.436999999999999</v>
      </c>
      <c r="FD45" s="4">
        <v>14.571999999999999</v>
      </c>
      <c r="FE45" s="4">
        <v>14.773</v>
      </c>
      <c r="FF45" s="4">
        <v>14.863</v>
      </c>
      <c r="FG45" s="4">
        <v>15.445</v>
      </c>
      <c r="FH45" s="4">
        <v>15.733000000000001</v>
      </c>
      <c r="FI45" s="4">
        <v>13.704000000000001</v>
      </c>
      <c r="FJ45" s="4">
        <v>15.189</v>
      </c>
      <c r="FK45" s="4">
        <v>14.711</v>
      </c>
      <c r="FL45" s="4">
        <v>15.081</v>
      </c>
      <c r="FM45" s="4">
        <v>14.089</v>
      </c>
      <c r="FN45" s="4">
        <v>14.968999999999999</v>
      </c>
      <c r="FO45" s="4">
        <v>13.798</v>
      </c>
      <c r="FP45" s="4">
        <v>14.191000000000001</v>
      </c>
      <c r="FQ45" s="4">
        <v>13.523</v>
      </c>
      <c r="FR45" s="4">
        <v>12.779</v>
      </c>
      <c r="FS45" s="4">
        <v>12.425000000000001</v>
      </c>
      <c r="FT45" s="4">
        <v>15.098000000000001</v>
      </c>
      <c r="FU45" s="4">
        <v>14.169</v>
      </c>
      <c r="FV45" s="4">
        <v>11.523</v>
      </c>
      <c r="FW45" s="4">
        <v>15.217000000000001</v>
      </c>
      <c r="FX45" s="4">
        <v>15.032</v>
      </c>
      <c r="FY45" s="4">
        <v>14.91</v>
      </c>
      <c r="FZ45" s="4">
        <v>13.957000000000001</v>
      </c>
      <c r="GA45" s="4">
        <v>13.352</v>
      </c>
      <c r="GB45" s="4">
        <v>15.202</v>
      </c>
      <c r="GC45" s="4">
        <v>14.55</v>
      </c>
      <c r="GD45" s="4">
        <v>14.977</v>
      </c>
      <c r="GE45" s="4">
        <v>14.856</v>
      </c>
      <c r="GF45" s="4">
        <v>14.714</v>
      </c>
      <c r="GG45" s="4">
        <v>12.364000000000001</v>
      </c>
      <c r="GH45" s="4">
        <v>13.247999999999999</v>
      </c>
      <c r="GI45" s="4">
        <v>15.249000000000001</v>
      </c>
      <c r="GJ45" s="4">
        <v>14.6</v>
      </c>
      <c r="GK45" s="4">
        <v>15.298999999999999</v>
      </c>
      <c r="GL45" s="4">
        <v>14.66</v>
      </c>
      <c r="GM45" s="4">
        <v>14.545</v>
      </c>
      <c r="GN45" s="4">
        <v>11.364000000000001</v>
      </c>
      <c r="GO45" s="4">
        <v>13.935</v>
      </c>
      <c r="GP45" s="4">
        <v>13.375999999999999</v>
      </c>
      <c r="GQ45" s="4">
        <v>12.263</v>
      </c>
      <c r="GR45" s="4">
        <v>12.462</v>
      </c>
      <c r="GS45" s="4">
        <v>14.563000000000001</v>
      </c>
      <c r="GT45" s="4">
        <v>11.363</v>
      </c>
      <c r="GU45" s="4">
        <v>15.255000000000001</v>
      </c>
      <c r="GV45" s="4">
        <v>12.494</v>
      </c>
      <c r="GW45" s="4">
        <v>13.208</v>
      </c>
      <c r="GX45" s="4">
        <v>7.508</v>
      </c>
      <c r="GY45" s="4">
        <v>12.45</v>
      </c>
      <c r="GZ45" s="4">
        <v>14.878</v>
      </c>
      <c r="HA45" s="4">
        <v>14.968999999999999</v>
      </c>
      <c r="HB45" s="4">
        <v>14.198</v>
      </c>
      <c r="HC45" s="4">
        <v>15.098000000000001</v>
      </c>
      <c r="HD45" s="4">
        <v>11.404</v>
      </c>
      <c r="HE45" s="4">
        <v>13.954000000000001</v>
      </c>
      <c r="HF45" s="4">
        <v>10.904999999999999</v>
      </c>
      <c r="HG45" s="4">
        <v>15.153</v>
      </c>
      <c r="HH45" s="4">
        <v>13.721</v>
      </c>
      <c r="HI45" s="4">
        <v>13.974</v>
      </c>
      <c r="HJ45" s="4">
        <v>14.945</v>
      </c>
      <c r="HK45" s="4">
        <v>14.675000000000001</v>
      </c>
      <c r="HL45" s="4">
        <v>15.069000000000001</v>
      </c>
      <c r="HM45" s="4">
        <v>14.976000000000001</v>
      </c>
      <c r="HN45" s="4">
        <v>12.478999999999999</v>
      </c>
      <c r="HO45" s="4">
        <v>13.805999999999999</v>
      </c>
      <c r="HP45" s="4">
        <v>14.717000000000001</v>
      </c>
      <c r="HQ45" s="4">
        <v>14.992000000000001</v>
      </c>
      <c r="HR45" s="4">
        <v>13.706</v>
      </c>
      <c r="HS45" s="4">
        <v>13.673</v>
      </c>
      <c r="HT45" s="4">
        <v>12.976000000000001</v>
      </c>
      <c r="HU45" s="4">
        <v>15.289</v>
      </c>
      <c r="HV45" s="4">
        <v>14.997999999999999</v>
      </c>
      <c r="HW45" s="4">
        <v>12.654999999999999</v>
      </c>
      <c r="HX45" s="4">
        <v>15.19</v>
      </c>
      <c r="HY45" s="4">
        <v>15.252000000000001</v>
      </c>
      <c r="HZ45" s="4">
        <v>14.935</v>
      </c>
      <c r="IA45" s="4">
        <v>11.634</v>
      </c>
      <c r="IB45" s="4">
        <v>14.763</v>
      </c>
      <c r="IC45" s="4">
        <v>15.595000000000001</v>
      </c>
      <c r="ID45" s="4">
        <v>15.178000000000001</v>
      </c>
      <c r="IE45" s="4">
        <v>15.327</v>
      </c>
      <c r="IF45" s="4">
        <v>15.098000000000001</v>
      </c>
      <c r="IG45" s="4">
        <v>14.064</v>
      </c>
      <c r="IH45" s="4">
        <v>9.125</v>
      </c>
      <c r="II45" s="4">
        <v>11.384</v>
      </c>
      <c r="IJ45" s="4">
        <v>15.081</v>
      </c>
      <c r="IK45" s="4">
        <v>15.226000000000001</v>
      </c>
      <c r="IL45" s="4">
        <v>11.506</v>
      </c>
      <c r="IM45" s="4">
        <v>15.294</v>
      </c>
      <c r="IN45" s="4">
        <v>12.834</v>
      </c>
      <c r="IO45" s="4">
        <v>14.134</v>
      </c>
      <c r="IP45" s="4">
        <v>14.590999999999999</v>
      </c>
      <c r="IQ45" s="4">
        <v>15.333</v>
      </c>
      <c r="IR45" s="4">
        <v>15.568</v>
      </c>
      <c r="IS45" s="4">
        <v>11.403</v>
      </c>
      <c r="IT45" s="4">
        <v>14.423999999999999</v>
      </c>
      <c r="IU45" s="4">
        <v>11.356999999999999</v>
      </c>
      <c r="IV45" s="4">
        <v>14.968999999999999</v>
      </c>
      <c r="IW45" s="4">
        <v>9.1669999999999998</v>
      </c>
      <c r="IX45" s="4">
        <v>15.035</v>
      </c>
      <c r="IY45" s="4">
        <v>14.452999999999999</v>
      </c>
      <c r="IZ45" s="4">
        <v>14.975</v>
      </c>
      <c r="JA45" s="4">
        <v>14.417</v>
      </c>
      <c r="JB45" s="4">
        <v>14.23</v>
      </c>
      <c r="JC45" s="4">
        <v>12.778</v>
      </c>
      <c r="JD45" s="4">
        <v>14.677</v>
      </c>
      <c r="JE45" s="4">
        <v>14.958</v>
      </c>
      <c r="JF45" s="4">
        <v>14.872</v>
      </c>
      <c r="JG45" s="4">
        <v>15.154999999999999</v>
      </c>
      <c r="JH45" s="4">
        <v>15.35</v>
      </c>
      <c r="JI45" s="4">
        <v>14.252000000000001</v>
      </c>
      <c r="JJ45" s="4">
        <v>14.497999999999999</v>
      </c>
      <c r="JK45" s="4">
        <v>14.321</v>
      </c>
      <c r="JL45" s="4">
        <v>15.09</v>
      </c>
      <c r="JM45" s="4">
        <v>15.364000000000001</v>
      </c>
      <c r="JN45" s="4">
        <v>14.637</v>
      </c>
      <c r="JO45" s="4">
        <v>14.609</v>
      </c>
      <c r="JP45" s="4">
        <v>15.195</v>
      </c>
      <c r="JQ45" s="4">
        <v>14.691000000000001</v>
      </c>
      <c r="JR45" s="4">
        <v>14.028</v>
      </c>
      <c r="JS45" s="4">
        <v>12.435</v>
      </c>
      <c r="JT45" s="4">
        <v>15.092000000000001</v>
      </c>
      <c r="JU45" s="4">
        <v>14.986000000000001</v>
      </c>
      <c r="JV45" s="4">
        <v>14.653</v>
      </c>
      <c r="JW45" s="4">
        <v>14.62</v>
      </c>
      <c r="JX45" s="4">
        <v>14.449</v>
      </c>
      <c r="JY45" s="4">
        <v>15.37</v>
      </c>
      <c r="JZ45" s="4">
        <v>14.356999999999999</v>
      </c>
      <c r="KA45" s="4">
        <v>15.3</v>
      </c>
      <c r="KB45" s="4">
        <v>12.27</v>
      </c>
      <c r="KC45" s="4">
        <v>13.179</v>
      </c>
      <c r="KD45" s="4">
        <v>15.041</v>
      </c>
      <c r="KE45" s="4">
        <v>15.196</v>
      </c>
      <c r="KF45" s="4">
        <v>14.766</v>
      </c>
      <c r="KG45" s="4">
        <v>14.548999999999999</v>
      </c>
      <c r="KH45" s="4">
        <v>14.702999999999999</v>
      </c>
      <c r="KI45" s="4">
        <v>14.9</v>
      </c>
      <c r="KJ45" s="4">
        <v>15.263999999999999</v>
      </c>
      <c r="KK45" s="4">
        <v>14.507999999999999</v>
      </c>
      <c r="KL45" s="4">
        <v>14.146000000000001</v>
      </c>
      <c r="KM45" s="4">
        <v>11.651999999999999</v>
      </c>
      <c r="KN45" s="4">
        <v>14.785</v>
      </c>
      <c r="KO45" s="4">
        <v>12.053000000000001</v>
      </c>
      <c r="KP45" s="4">
        <v>15.1</v>
      </c>
      <c r="KQ45" s="4">
        <v>14.481</v>
      </c>
      <c r="KR45" s="4">
        <v>14.217000000000001</v>
      </c>
      <c r="KS45" s="4">
        <v>14.31</v>
      </c>
    </row>
    <row r="46" spans="1:305" x14ac:dyDescent="0.25">
      <c r="A46" s="4">
        <v>2017</v>
      </c>
      <c r="B46" s="4">
        <v>7</v>
      </c>
      <c r="C46" s="4">
        <v>11.425000000000001</v>
      </c>
      <c r="D46" s="4">
        <v>16.951000000000001</v>
      </c>
      <c r="E46" s="4">
        <v>16.263999999999999</v>
      </c>
      <c r="F46" s="4">
        <v>15.815</v>
      </c>
      <c r="G46" s="4">
        <v>15.044</v>
      </c>
      <c r="H46" s="4">
        <v>13.581</v>
      </c>
      <c r="I46" s="4">
        <v>15.106999999999999</v>
      </c>
      <c r="J46" s="4">
        <v>14.257</v>
      </c>
      <c r="K46" s="4">
        <v>16.492000000000001</v>
      </c>
      <c r="L46" s="4">
        <v>15.907999999999999</v>
      </c>
      <c r="M46" s="4">
        <v>13.585000000000001</v>
      </c>
      <c r="N46" s="4">
        <v>16.988</v>
      </c>
      <c r="O46" s="4">
        <v>11.93</v>
      </c>
      <c r="P46" s="4">
        <v>15.414</v>
      </c>
      <c r="Q46" s="4">
        <v>12.409000000000001</v>
      </c>
      <c r="R46" s="4">
        <v>12.622</v>
      </c>
      <c r="S46" s="4">
        <v>15.759</v>
      </c>
      <c r="T46" s="4">
        <v>15.202999999999999</v>
      </c>
      <c r="U46" s="4">
        <v>16.294</v>
      </c>
      <c r="V46" s="4">
        <v>16.251000000000001</v>
      </c>
      <c r="W46" s="4">
        <v>15.906000000000001</v>
      </c>
      <c r="X46" s="4">
        <v>16.016999999999999</v>
      </c>
      <c r="Y46" s="4">
        <v>16.297999999999998</v>
      </c>
      <c r="Z46" s="4">
        <v>13.986000000000001</v>
      </c>
      <c r="AA46" s="4">
        <v>15.855</v>
      </c>
      <c r="AB46" s="4">
        <v>14.583</v>
      </c>
      <c r="AC46" s="4">
        <v>15.458</v>
      </c>
      <c r="AD46" s="4">
        <v>14.63</v>
      </c>
      <c r="AE46" s="4">
        <v>15.226000000000001</v>
      </c>
      <c r="AF46" s="4">
        <v>16.786999999999999</v>
      </c>
      <c r="AG46" s="4">
        <v>14.981</v>
      </c>
      <c r="AH46" s="4">
        <v>16.600000000000001</v>
      </c>
      <c r="AI46" s="4">
        <v>12.945</v>
      </c>
      <c r="AJ46" s="4">
        <v>15.362</v>
      </c>
      <c r="AK46" s="4">
        <v>15.904999999999999</v>
      </c>
      <c r="AL46" s="4">
        <v>16.459</v>
      </c>
      <c r="AM46" s="4">
        <v>15.417</v>
      </c>
      <c r="AN46" s="4">
        <v>16.939</v>
      </c>
      <c r="AO46" s="4">
        <v>15.91</v>
      </c>
      <c r="AP46" s="4">
        <v>14.537000000000001</v>
      </c>
      <c r="AQ46" s="4">
        <v>13.24</v>
      </c>
      <c r="AR46" s="4">
        <v>13.768000000000001</v>
      </c>
      <c r="AS46" s="4">
        <v>16.074000000000002</v>
      </c>
      <c r="AT46" s="4">
        <v>15.115</v>
      </c>
      <c r="AU46" s="4">
        <v>15.372999999999999</v>
      </c>
      <c r="AV46" s="4">
        <v>16.600999999999999</v>
      </c>
      <c r="AW46" s="4">
        <v>17.038</v>
      </c>
      <c r="AX46" s="4">
        <v>15.907999999999999</v>
      </c>
      <c r="AY46" s="4">
        <v>16.071999999999999</v>
      </c>
      <c r="AZ46" s="4">
        <v>15.765000000000001</v>
      </c>
      <c r="BA46" s="4">
        <v>16.073</v>
      </c>
      <c r="BB46" s="4">
        <v>15.135999999999999</v>
      </c>
      <c r="BC46" s="4">
        <v>15.906000000000001</v>
      </c>
      <c r="BD46" s="4">
        <v>15.148</v>
      </c>
      <c r="BE46" s="4">
        <v>16.079999999999998</v>
      </c>
      <c r="BF46" s="4">
        <v>14.827999999999999</v>
      </c>
      <c r="BG46" s="4">
        <v>15.574999999999999</v>
      </c>
      <c r="BH46" s="4">
        <v>16.498000000000001</v>
      </c>
      <c r="BI46" s="4">
        <v>16.710999999999999</v>
      </c>
      <c r="BJ46" s="4">
        <v>12.611000000000001</v>
      </c>
      <c r="BK46" s="4">
        <v>16.045000000000002</v>
      </c>
      <c r="BL46" s="4">
        <v>13.31</v>
      </c>
      <c r="BM46" s="4">
        <v>12.776</v>
      </c>
      <c r="BN46" s="4">
        <v>14.708</v>
      </c>
      <c r="BO46" s="4">
        <v>12.6</v>
      </c>
      <c r="BP46" s="4">
        <v>15.518000000000001</v>
      </c>
      <c r="BQ46" s="4">
        <v>15.103999999999999</v>
      </c>
      <c r="BR46" s="4">
        <v>16.512</v>
      </c>
      <c r="BS46" s="4">
        <v>16.571999999999999</v>
      </c>
      <c r="BT46" s="4">
        <v>16.363</v>
      </c>
      <c r="BU46" s="4">
        <v>16.305</v>
      </c>
      <c r="BV46" s="4">
        <v>17.013000000000002</v>
      </c>
      <c r="BW46" s="4">
        <v>14.824999999999999</v>
      </c>
      <c r="BX46" s="4">
        <v>14.913</v>
      </c>
      <c r="BY46" s="4">
        <v>16.245000000000001</v>
      </c>
      <c r="BZ46" s="4">
        <v>16.556999999999999</v>
      </c>
      <c r="CA46" s="4">
        <v>16.151</v>
      </c>
      <c r="CB46" s="4">
        <v>16.056000000000001</v>
      </c>
      <c r="CC46" s="4">
        <v>13.44</v>
      </c>
      <c r="CD46" s="4">
        <v>16.206</v>
      </c>
      <c r="CE46" s="4">
        <v>14.942</v>
      </c>
      <c r="CF46" s="4">
        <v>14.849</v>
      </c>
      <c r="CG46" s="4">
        <v>16.207999999999998</v>
      </c>
      <c r="CH46" s="4">
        <v>15.148</v>
      </c>
      <c r="CI46" s="4">
        <v>15.57</v>
      </c>
      <c r="CJ46" s="4">
        <v>11.696999999999999</v>
      </c>
      <c r="CK46" s="4">
        <v>16.042000000000002</v>
      </c>
      <c r="CL46" s="4">
        <v>10.686999999999999</v>
      </c>
      <c r="CM46" s="4">
        <v>16.216999999999999</v>
      </c>
      <c r="CN46" s="4">
        <v>15.59</v>
      </c>
      <c r="CO46" s="4">
        <v>15.847</v>
      </c>
      <c r="CP46" s="4">
        <v>15.154</v>
      </c>
      <c r="CQ46" s="4">
        <v>16.032</v>
      </c>
      <c r="CR46" s="4">
        <v>16.363</v>
      </c>
      <c r="CS46" s="4">
        <v>15.500999999999999</v>
      </c>
      <c r="CT46" s="4">
        <v>15.481</v>
      </c>
      <c r="CU46" s="4">
        <v>16.29</v>
      </c>
      <c r="CV46" s="4">
        <v>16.559000000000001</v>
      </c>
      <c r="CW46" s="4">
        <v>15.465999999999999</v>
      </c>
      <c r="CX46" s="4">
        <v>15.923</v>
      </c>
      <c r="CY46" s="4">
        <v>15.128</v>
      </c>
      <c r="CZ46" s="4">
        <v>17.233000000000001</v>
      </c>
      <c r="DA46" s="4">
        <v>13.486000000000001</v>
      </c>
      <c r="DB46" s="4">
        <v>15.558999999999999</v>
      </c>
      <c r="DC46" s="4">
        <v>13.79</v>
      </c>
      <c r="DD46" s="4">
        <v>15.003</v>
      </c>
      <c r="DE46" s="4">
        <v>16.36</v>
      </c>
      <c r="DF46" s="4">
        <v>12.994999999999999</v>
      </c>
      <c r="DG46" s="4">
        <v>16.268999999999998</v>
      </c>
      <c r="DH46" s="4">
        <v>15.593</v>
      </c>
      <c r="DI46" s="4">
        <v>15.534000000000001</v>
      </c>
      <c r="DJ46" s="4">
        <v>16.03</v>
      </c>
      <c r="DK46" s="4">
        <v>16.215</v>
      </c>
      <c r="DL46" s="4">
        <v>16.658999999999999</v>
      </c>
      <c r="DM46" s="4">
        <v>16.225999999999999</v>
      </c>
      <c r="DN46" s="4">
        <v>15.965999999999999</v>
      </c>
      <c r="DO46" s="4">
        <v>15.678000000000001</v>
      </c>
      <c r="DP46" s="4">
        <v>12.367000000000001</v>
      </c>
      <c r="DQ46" s="4">
        <v>15.849</v>
      </c>
      <c r="DR46" s="4">
        <v>15.532</v>
      </c>
      <c r="DS46" s="4">
        <v>16.535</v>
      </c>
      <c r="DT46" s="4">
        <v>16.736000000000001</v>
      </c>
      <c r="DU46" s="4">
        <v>14.742000000000001</v>
      </c>
      <c r="DV46" s="4">
        <v>14.867000000000001</v>
      </c>
      <c r="DW46" s="4">
        <v>15.904</v>
      </c>
      <c r="DX46" s="4">
        <v>16.041</v>
      </c>
      <c r="DY46" s="4">
        <v>16.285</v>
      </c>
      <c r="DZ46" s="4">
        <v>16.356999999999999</v>
      </c>
      <c r="EA46" s="4">
        <v>16.285</v>
      </c>
      <c r="EB46" s="4">
        <v>17.050999999999998</v>
      </c>
      <c r="EC46" s="4">
        <v>11.956</v>
      </c>
      <c r="ED46" s="4">
        <v>16.006</v>
      </c>
      <c r="EE46" s="4">
        <v>16.218</v>
      </c>
      <c r="EF46" s="4">
        <v>16.303000000000001</v>
      </c>
      <c r="EG46" s="4">
        <v>16.042999999999999</v>
      </c>
      <c r="EH46" s="4">
        <v>14.803000000000001</v>
      </c>
      <c r="EI46" s="4">
        <v>15.837</v>
      </c>
      <c r="EJ46" s="4">
        <v>15.194000000000001</v>
      </c>
      <c r="EK46" s="4">
        <v>16.774000000000001</v>
      </c>
      <c r="EL46" s="4">
        <v>16.571000000000002</v>
      </c>
      <c r="EM46" s="4">
        <v>16.283000000000001</v>
      </c>
      <c r="EN46" s="4">
        <v>15.893000000000001</v>
      </c>
      <c r="EO46" s="4">
        <v>16.698</v>
      </c>
      <c r="EP46" s="4">
        <v>15.077999999999999</v>
      </c>
      <c r="EQ46" s="4">
        <v>14.1</v>
      </c>
      <c r="ER46" s="4">
        <v>16.45</v>
      </c>
      <c r="ES46" s="4">
        <v>15.099</v>
      </c>
      <c r="ET46" s="4">
        <v>14.576000000000001</v>
      </c>
      <c r="EU46" s="4">
        <v>16.254999999999999</v>
      </c>
      <c r="EV46" s="4">
        <v>13.956</v>
      </c>
      <c r="EW46" s="4">
        <v>16.375</v>
      </c>
      <c r="EX46" s="4">
        <v>13.257999999999999</v>
      </c>
      <c r="EY46" s="4">
        <v>15.978999999999999</v>
      </c>
      <c r="EZ46" s="4">
        <v>16.527000000000001</v>
      </c>
      <c r="FA46" s="4">
        <v>13.662000000000001</v>
      </c>
      <c r="FB46" s="4">
        <v>16.620999999999999</v>
      </c>
      <c r="FC46" s="4">
        <v>15.125</v>
      </c>
      <c r="FD46" s="4">
        <v>16.36</v>
      </c>
      <c r="FE46" s="4">
        <v>16.341999999999999</v>
      </c>
      <c r="FF46" s="4">
        <v>16.303000000000001</v>
      </c>
      <c r="FG46" s="4">
        <v>16.408999999999999</v>
      </c>
      <c r="FH46" s="4">
        <v>16.733000000000001</v>
      </c>
      <c r="FI46" s="4">
        <v>14.99</v>
      </c>
      <c r="FJ46" s="4">
        <v>16.305</v>
      </c>
      <c r="FK46" s="4">
        <v>16.446999999999999</v>
      </c>
      <c r="FL46" s="4">
        <v>16.327999999999999</v>
      </c>
      <c r="FM46" s="4">
        <v>15.089</v>
      </c>
      <c r="FN46" s="4">
        <v>16.786000000000001</v>
      </c>
      <c r="FO46" s="4">
        <v>14.914</v>
      </c>
      <c r="FP46" s="4">
        <v>15.698</v>
      </c>
      <c r="FQ46" s="4">
        <v>15.053000000000001</v>
      </c>
      <c r="FR46" s="4">
        <v>14.920999999999999</v>
      </c>
      <c r="FS46" s="4">
        <v>14.929</v>
      </c>
      <c r="FT46" s="4">
        <v>16.625</v>
      </c>
      <c r="FU46" s="4">
        <v>16.097000000000001</v>
      </c>
      <c r="FV46" s="4">
        <v>13.551</v>
      </c>
      <c r="FW46" s="4">
        <v>15.861000000000001</v>
      </c>
      <c r="FX46" s="4">
        <v>16.818000000000001</v>
      </c>
      <c r="FY46" s="4">
        <v>16.672999999999998</v>
      </c>
      <c r="FZ46" s="4">
        <v>16.062000000000001</v>
      </c>
      <c r="GA46" s="4">
        <v>14.775</v>
      </c>
      <c r="GB46" s="4">
        <v>16.366</v>
      </c>
      <c r="GC46" s="4">
        <v>16.087</v>
      </c>
      <c r="GD46" s="4">
        <v>15.475</v>
      </c>
      <c r="GE46" s="4">
        <v>16.393000000000001</v>
      </c>
      <c r="GF46" s="4">
        <v>15.331</v>
      </c>
      <c r="GG46" s="4">
        <v>14.683</v>
      </c>
      <c r="GH46" s="4">
        <v>14.525</v>
      </c>
      <c r="GI46" s="4">
        <v>16.46</v>
      </c>
      <c r="GJ46" s="4">
        <v>15.138</v>
      </c>
      <c r="GK46" s="4">
        <v>16.469000000000001</v>
      </c>
      <c r="GL46" s="4">
        <v>16.495000000000001</v>
      </c>
      <c r="GM46" s="4">
        <v>16.373999999999999</v>
      </c>
      <c r="GN46" s="4">
        <v>12.712999999999999</v>
      </c>
      <c r="GO46" s="4">
        <v>15.55</v>
      </c>
      <c r="GP46" s="4">
        <v>14.369</v>
      </c>
      <c r="GQ46" s="4">
        <v>14.606999999999999</v>
      </c>
      <c r="GR46" s="4">
        <v>15.159000000000001</v>
      </c>
      <c r="GS46" s="4">
        <v>16.414999999999999</v>
      </c>
      <c r="GT46" s="4">
        <v>14.194000000000001</v>
      </c>
      <c r="GU46" s="4">
        <v>16.201000000000001</v>
      </c>
      <c r="GV46" s="4">
        <v>14.932</v>
      </c>
      <c r="GW46" s="4">
        <v>14.634</v>
      </c>
      <c r="GX46" s="4">
        <v>10.458</v>
      </c>
      <c r="GY46" s="4">
        <v>14.657999999999999</v>
      </c>
      <c r="GZ46" s="4">
        <v>15.749000000000001</v>
      </c>
      <c r="HA46" s="4">
        <v>16.329999999999998</v>
      </c>
      <c r="HB46" s="4">
        <v>15.855</v>
      </c>
      <c r="HC46" s="4">
        <v>16.956</v>
      </c>
      <c r="HD46" s="4">
        <v>12.842000000000001</v>
      </c>
      <c r="HE46" s="4">
        <v>15.323</v>
      </c>
      <c r="HF46" s="4">
        <v>12.428000000000001</v>
      </c>
      <c r="HG46" s="4">
        <v>16.375</v>
      </c>
      <c r="HH46" s="4">
        <v>15.227</v>
      </c>
      <c r="HI46" s="4">
        <v>14.874000000000001</v>
      </c>
      <c r="HJ46" s="4">
        <v>16.869</v>
      </c>
      <c r="HK46" s="4">
        <v>15.718</v>
      </c>
      <c r="HL46" s="4">
        <v>15.701000000000001</v>
      </c>
      <c r="HM46" s="4">
        <v>16.062999999999999</v>
      </c>
      <c r="HN46" s="4">
        <v>14.69</v>
      </c>
      <c r="HO46" s="4">
        <v>15.577</v>
      </c>
      <c r="HP46" s="4">
        <v>15.904999999999999</v>
      </c>
      <c r="HQ46" s="4">
        <v>15.737</v>
      </c>
      <c r="HR46" s="4">
        <v>15.611000000000001</v>
      </c>
      <c r="HS46" s="4">
        <v>15.303000000000001</v>
      </c>
      <c r="HT46" s="4">
        <v>15.180999999999999</v>
      </c>
      <c r="HU46" s="4">
        <v>16.731999999999999</v>
      </c>
      <c r="HV46" s="4">
        <v>16.829000000000001</v>
      </c>
      <c r="HW46" s="4">
        <v>14.606999999999999</v>
      </c>
      <c r="HX46" s="4">
        <v>17.122</v>
      </c>
      <c r="HY46" s="4">
        <v>17.13</v>
      </c>
      <c r="HZ46" s="4">
        <v>15.736000000000001</v>
      </c>
      <c r="IA46" s="4">
        <v>13.135</v>
      </c>
      <c r="IB46" s="4">
        <v>16.213000000000001</v>
      </c>
      <c r="IC46" s="4">
        <v>16.212</v>
      </c>
      <c r="ID46" s="4">
        <v>16.292999999999999</v>
      </c>
      <c r="IE46" s="4">
        <v>17.221</v>
      </c>
      <c r="IF46" s="4">
        <v>16.922999999999998</v>
      </c>
      <c r="IG46" s="4">
        <v>15.255000000000001</v>
      </c>
      <c r="IH46" s="4">
        <v>10.569000000000001</v>
      </c>
      <c r="II46" s="4">
        <v>12.962</v>
      </c>
      <c r="IJ46" s="4">
        <v>17.035</v>
      </c>
      <c r="IK46" s="4">
        <v>16.786999999999999</v>
      </c>
      <c r="IL46" s="4">
        <v>13.122999999999999</v>
      </c>
      <c r="IM46" s="4">
        <v>17.190000000000001</v>
      </c>
      <c r="IN46" s="4">
        <v>15.007999999999999</v>
      </c>
      <c r="IO46" s="4">
        <v>15.14</v>
      </c>
      <c r="IP46" s="4">
        <v>16.341999999999999</v>
      </c>
      <c r="IQ46" s="4">
        <v>15.914999999999999</v>
      </c>
      <c r="IR46" s="4">
        <v>16.161999999999999</v>
      </c>
      <c r="IS46" s="4">
        <v>12.976000000000001</v>
      </c>
      <c r="IT46" s="4">
        <v>15.132</v>
      </c>
      <c r="IU46" s="4">
        <v>12.62</v>
      </c>
      <c r="IV46" s="4">
        <v>16.837</v>
      </c>
      <c r="IW46" s="4">
        <v>10.47</v>
      </c>
      <c r="IX46" s="4">
        <v>16.457000000000001</v>
      </c>
      <c r="IY46" s="4">
        <v>15.86</v>
      </c>
      <c r="IZ46" s="4">
        <v>16.283999999999999</v>
      </c>
      <c r="JA46" s="4">
        <v>15.561</v>
      </c>
      <c r="JB46" s="4">
        <v>15.675000000000001</v>
      </c>
      <c r="JC46" s="4">
        <v>14.885999999999999</v>
      </c>
      <c r="JD46" s="4">
        <v>15.22</v>
      </c>
      <c r="JE46" s="4">
        <v>16.225999999999999</v>
      </c>
      <c r="JF46" s="4">
        <v>15.545999999999999</v>
      </c>
      <c r="JG46" s="4">
        <v>16.504999999999999</v>
      </c>
      <c r="JH46" s="4">
        <v>16.123999999999999</v>
      </c>
      <c r="JI46" s="4">
        <v>15.208</v>
      </c>
      <c r="JJ46" s="4">
        <v>15.920999999999999</v>
      </c>
      <c r="JK46" s="4">
        <v>14.989000000000001</v>
      </c>
      <c r="JL46" s="4">
        <v>15.898999999999999</v>
      </c>
      <c r="JM46" s="4">
        <v>16.533999999999999</v>
      </c>
      <c r="JN46" s="4">
        <v>16.372</v>
      </c>
      <c r="JO46" s="4">
        <v>16.419</v>
      </c>
      <c r="JP46" s="4">
        <v>16.420000000000002</v>
      </c>
      <c r="JQ46" s="4">
        <v>15.336</v>
      </c>
      <c r="JR46" s="4">
        <v>14.853999999999999</v>
      </c>
      <c r="JS46" s="4">
        <v>14.877000000000001</v>
      </c>
      <c r="JT46" s="4">
        <v>17.103999999999999</v>
      </c>
      <c r="JU46" s="4">
        <v>16.908999999999999</v>
      </c>
      <c r="JV46" s="4">
        <v>16.460999999999999</v>
      </c>
      <c r="JW46" s="4">
        <v>16.306999999999999</v>
      </c>
      <c r="JX46" s="4">
        <v>15.131</v>
      </c>
      <c r="JY46" s="4">
        <v>16.635000000000002</v>
      </c>
      <c r="JZ46" s="4">
        <v>16.132000000000001</v>
      </c>
      <c r="KA46" s="4">
        <v>16.565999999999999</v>
      </c>
      <c r="KB46" s="4">
        <v>14.512</v>
      </c>
      <c r="KC46" s="4">
        <v>14.513999999999999</v>
      </c>
      <c r="KD46" s="4">
        <v>16.007999999999999</v>
      </c>
      <c r="KE46" s="4">
        <v>16.21</v>
      </c>
      <c r="KF46" s="4">
        <v>15.678000000000001</v>
      </c>
      <c r="KG46" s="4">
        <v>16.425999999999998</v>
      </c>
      <c r="KH46" s="4">
        <v>15.201000000000001</v>
      </c>
      <c r="KI46" s="4">
        <v>16.766999999999999</v>
      </c>
      <c r="KJ46" s="4">
        <v>16.579000000000001</v>
      </c>
      <c r="KK46" s="4">
        <v>15.194000000000001</v>
      </c>
      <c r="KL46" s="4">
        <v>15.144</v>
      </c>
      <c r="KM46" s="4">
        <v>13.023999999999999</v>
      </c>
      <c r="KN46" s="4">
        <v>15.782999999999999</v>
      </c>
      <c r="KO46" s="4">
        <v>14.086</v>
      </c>
      <c r="KP46" s="4">
        <v>16.811</v>
      </c>
      <c r="KQ46" s="4">
        <v>16.012</v>
      </c>
      <c r="KR46" s="4">
        <v>15.406000000000001</v>
      </c>
      <c r="KS46" s="4">
        <v>15.462</v>
      </c>
    </row>
    <row r="47" spans="1:305" x14ac:dyDescent="0.25">
      <c r="A47" s="4">
        <v>2017</v>
      </c>
      <c r="B47" s="4">
        <v>8</v>
      </c>
      <c r="C47" s="4">
        <v>9.5990000000000002</v>
      </c>
      <c r="D47" s="4">
        <v>16.308</v>
      </c>
      <c r="E47" s="4">
        <v>15.565</v>
      </c>
      <c r="F47" s="4">
        <v>14.867000000000001</v>
      </c>
      <c r="G47" s="4">
        <v>15.151999999999999</v>
      </c>
      <c r="H47" s="4">
        <v>12.212999999999999</v>
      </c>
      <c r="I47" s="4">
        <v>14.99</v>
      </c>
      <c r="J47" s="4">
        <v>12.391</v>
      </c>
      <c r="K47" s="4">
        <v>14.962999999999999</v>
      </c>
      <c r="L47" s="4">
        <v>16.28</v>
      </c>
      <c r="M47" s="4">
        <v>12.622999999999999</v>
      </c>
      <c r="N47" s="4">
        <v>15.851000000000001</v>
      </c>
      <c r="O47" s="4">
        <v>10.951000000000001</v>
      </c>
      <c r="P47" s="4">
        <v>14.082000000000001</v>
      </c>
      <c r="Q47" s="4">
        <v>10.778</v>
      </c>
      <c r="R47" s="4">
        <v>10.818</v>
      </c>
      <c r="S47" s="4">
        <v>14.442</v>
      </c>
      <c r="T47" s="4">
        <v>15.002000000000001</v>
      </c>
      <c r="U47" s="4">
        <v>15.069000000000001</v>
      </c>
      <c r="V47" s="4">
        <v>15.37</v>
      </c>
      <c r="W47" s="4">
        <v>14.801</v>
      </c>
      <c r="X47" s="4">
        <v>16.472000000000001</v>
      </c>
      <c r="Y47" s="4">
        <v>14.548999999999999</v>
      </c>
      <c r="Z47" s="4">
        <v>12.393000000000001</v>
      </c>
      <c r="AA47" s="4">
        <v>16.408000000000001</v>
      </c>
      <c r="AB47" s="4">
        <v>12.865</v>
      </c>
      <c r="AC47" s="4">
        <v>14.805</v>
      </c>
      <c r="AD47" s="4">
        <v>13.593999999999999</v>
      </c>
      <c r="AE47" s="4">
        <v>14.455</v>
      </c>
      <c r="AF47" s="4">
        <v>17.148</v>
      </c>
      <c r="AG47" s="4">
        <v>13.978999999999999</v>
      </c>
      <c r="AH47" s="4">
        <v>15.939</v>
      </c>
      <c r="AI47" s="4">
        <v>11.93</v>
      </c>
      <c r="AJ47" s="4">
        <v>15.503</v>
      </c>
      <c r="AK47" s="4">
        <v>16.308</v>
      </c>
      <c r="AL47" s="4">
        <v>17.315999999999999</v>
      </c>
      <c r="AM47" s="4">
        <v>14.058</v>
      </c>
      <c r="AN47" s="4">
        <v>16.544</v>
      </c>
      <c r="AO47" s="4">
        <v>14.558999999999999</v>
      </c>
      <c r="AP47" s="4">
        <v>13.712999999999999</v>
      </c>
      <c r="AQ47" s="4">
        <v>11.846</v>
      </c>
      <c r="AR47" s="4">
        <v>12.805</v>
      </c>
      <c r="AS47" s="4">
        <v>14.393000000000001</v>
      </c>
      <c r="AT47" s="4">
        <v>14.488</v>
      </c>
      <c r="AU47" s="4">
        <v>15.353</v>
      </c>
      <c r="AV47" s="4">
        <v>15.747</v>
      </c>
      <c r="AW47" s="4">
        <v>15.898</v>
      </c>
      <c r="AX47" s="4">
        <v>16.62</v>
      </c>
      <c r="AY47" s="4">
        <v>14.898999999999999</v>
      </c>
      <c r="AZ47" s="4">
        <v>14.667</v>
      </c>
      <c r="BA47" s="4">
        <v>16.34</v>
      </c>
      <c r="BB47" s="4">
        <v>14.348000000000001</v>
      </c>
      <c r="BC47" s="4">
        <v>17.245999999999999</v>
      </c>
      <c r="BD47" s="4">
        <v>14.146000000000001</v>
      </c>
      <c r="BE47" s="4">
        <v>14.741</v>
      </c>
      <c r="BF47" s="4">
        <v>13.792999999999999</v>
      </c>
      <c r="BG47" s="4">
        <v>14.928000000000001</v>
      </c>
      <c r="BH47" s="4">
        <v>15.493</v>
      </c>
      <c r="BI47" s="4">
        <v>15.57</v>
      </c>
      <c r="BJ47" s="4">
        <v>11.336</v>
      </c>
      <c r="BK47" s="4">
        <v>14.6</v>
      </c>
      <c r="BL47" s="4">
        <v>11.695</v>
      </c>
      <c r="BM47" s="4">
        <v>11.119</v>
      </c>
      <c r="BN47" s="4">
        <v>13.382999999999999</v>
      </c>
      <c r="BO47" s="4">
        <v>10.497999999999999</v>
      </c>
      <c r="BP47" s="4">
        <v>15.076000000000001</v>
      </c>
      <c r="BQ47" s="4">
        <v>14.595000000000001</v>
      </c>
      <c r="BR47" s="4">
        <v>15.504</v>
      </c>
      <c r="BS47" s="4">
        <v>16.234000000000002</v>
      </c>
      <c r="BT47" s="4">
        <v>15.318</v>
      </c>
      <c r="BU47" s="4">
        <v>15.188000000000001</v>
      </c>
      <c r="BV47" s="4">
        <v>16.141999999999999</v>
      </c>
      <c r="BW47" s="4">
        <v>13.579000000000001</v>
      </c>
      <c r="BX47" s="4">
        <v>13.836</v>
      </c>
      <c r="BY47" s="4">
        <v>15.069000000000001</v>
      </c>
      <c r="BZ47" s="4">
        <v>15.379</v>
      </c>
      <c r="CA47" s="4">
        <v>16.41</v>
      </c>
      <c r="CB47" s="4">
        <v>15.172000000000001</v>
      </c>
      <c r="CC47" s="4">
        <v>12.315</v>
      </c>
      <c r="CD47" s="4">
        <v>15.675000000000001</v>
      </c>
      <c r="CE47" s="4">
        <v>13.204000000000001</v>
      </c>
      <c r="CF47" s="4">
        <v>14.167</v>
      </c>
      <c r="CG47" s="4">
        <v>15.695</v>
      </c>
      <c r="CH47" s="4">
        <v>15.444000000000001</v>
      </c>
      <c r="CI47" s="4">
        <v>14.582000000000001</v>
      </c>
      <c r="CJ47" s="4">
        <v>10.731</v>
      </c>
      <c r="CK47" s="4">
        <v>16.68</v>
      </c>
      <c r="CL47" s="4">
        <v>9.6159999999999997</v>
      </c>
      <c r="CM47" s="4">
        <v>16.402000000000001</v>
      </c>
      <c r="CN47" s="4">
        <v>14.781000000000001</v>
      </c>
      <c r="CO47" s="4">
        <v>15.260999999999999</v>
      </c>
      <c r="CP47" s="4">
        <v>14.209</v>
      </c>
      <c r="CQ47" s="4">
        <v>16.535</v>
      </c>
      <c r="CR47" s="4">
        <v>15.856</v>
      </c>
      <c r="CS47" s="4">
        <v>16.042000000000002</v>
      </c>
      <c r="CT47" s="4">
        <v>16.091999999999999</v>
      </c>
      <c r="CU47" s="4">
        <v>15.092000000000001</v>
      </c>
      <c r="CV47" s="4">
        <v>16.059999999999999</v>
      </c>
      <c r="CW47" s="4">
        <v>14.749000000000001</v>
      </c>
      <c r="CX47" s="4">
        <v>15.407999999999999</v>
      </c>
      <c r="CY47" s="4">
        <v>14.927</v>
      </c>
      <c r="CZ47" s="4">
        <v>16.666</v>
      </c>
      <c r="DA47" s="4">
        <v>11.564</v>
      </c>
      <c r="DB47" s="4">
        <v>14.818</v>
      </c>
      <c r="DC47" s="4">
        <v>12.352</v>
      </c>
      <c r="DD47" s="4">
        <v>12.972</v>
      </c>
      <c r="DE47" s="4">
        <v>16.713999999999999</v>
      </c>
      <c r="DF47" s="4">
        <v>10.419</v>
      </c>
      <c r="DG47" s="4">
        <v>15.553000000000001</v>
      </c>
      <c r="DH47" s="4">
        <v>16.015000000000001</v>
      </c>
      <c r="DI47" s="4">
        <v>14.335000000000001</v>
      </c>
      <c r="DJ47" s="4">
        <v>16.815000000000001</v>
      </c>
      <c r="DK47" s="4">
        <v>15.051</v>
      </c>
      <c r="DL47" s="4">
        <v>15.599</v>
      </c>
      <c r="DM47" s="4">
        <v>17.050999999999998</v>
      </c>
      <c r="DN47" s="4">
        <v>14.531000000000001</v>
      </c>
      <c r="DO47" s="4">
        <v>15.199</v>
      </c>
      <c r="DP47" s="4">
        <v>10.221</v>
      </c>
      <c r="DQ47" s="4">
        <v>15.101000000000001</v>
      </c>
      <c r="DR47" s="4">
        <v>15.856999999999999</v>
      </c>
      <c r="DS47" s="4">
        <v>15.696</v>
      </c>
      <c r="DT47" s="4">
        <v>15.632</v>
      </c>
      <c r="DU47" s="4">
        <v>13.651999999999999</v>
      </c>
      <c r="DV47" s="4">
        <v>13.768000000000001</v>
      </c>
      <c r="DW47" s="4">
        <v>16.308</v>
      </c>
      <c r="DX47" s="4">
        <v>15.047000000000001</v>
      </c>
      <c r="DY47" s="4">
        <v>15.129</v>
      </c>
      <c r="DZ47" s="4">
        <v>15.787000000000001</v>
      </c>
      <c r="EA47" s="4">
        <v>16.065999999999999</v>
      </c>
      <c r="EB47" s="4">
        <v>16.004999999999999</v>
      </c>
      <c r="EC47" s="4">
        <v>10.32</v>
      </c>
      <c r="ED47" s="4">
        <v>16.175000000000001</v>
      </c>
      <c r="EE47" s="4">
        <v>17.055</v>
      </c>
      <c r="EF47" s="4">
        <v>15.06</v>
      </c>
      <c r="EG47" s="4">
        <v>14.962999999999999</v>
      </c>
      <c r="EH47" s="4">
        <v>13.327999999999999</v>
      </c>
      <c r="EI47" s="4">
        <v>15.138</v>
      </c>
      <c r="EJ47" s="4">
        <v>15.036</v>
      </c>
      <c r="EK47" s="4">
        <v>16.46</v>
      </c>
      <c r="EL47" s="4">
        <v>15.597</v>
      </c>
      <c r="EM47" s="4">
        <v>15.282999999999999</v>
      </c>
      <c r="EN47" s="4">
        <v>14.506</v>
      </c>
      <c r="EO47" s="4">
        <v>15.877000000000001</v>
      </c>
      <c r="EP47" s="4">
        <v>14.961</v>
      </c>
      <c r="EQ47" s="4">
        <v>13.231999999999999</v>
      </c>
      <c r="ER47" s="4">
        <v>17.309999999999999</v>
      </c>
      <c r="ES47" s="4">
        <v>13.956</v>
      </c>
      <c r="ET47" s="4">
        <v>13.239000000000001</v>
      </c>
      <c r="EU47" s="4">
        <v>17.068999999999999</v>
      </c>
      <c r="EV47" s="4">
        <v>12.223000000000001</v>
      </c>
      <c r="EW47" s="4">
        <v>15.853999999999999</v>
      </c>
      <c r="EX47" s="4">
        <v>11.301</v>
      </c>
      <c r="EY47" s="4">
        <v>15.069000000000001</v>
      </c>
      <c r="EZ47" s="4">
        <v>17.385999999999999</v>
      </c>
      <c r="FA47" s="4">
        <v>12.335000000000001</v>
      </c>
      <c r="FB47" s="4">
        <v>15.667999999999999</v>
      </c>
      <c r="FC47" s="4">
        <v>15.185</v>
      </c>
      <c r="FD47" s="4">
        <v>15.58</v>
      </c>
      <c r="FE47" s="4">
        <v>15.33</v>
      </c>
      <c r="FF47" s="4">
        <v>15.44</v>
      </c>
      <c r="FG47" s="4">
        <v>15.983000000000001</v>
      </c>
      <c r="FH47" s="4">
        <v>16.640999999999998</v>
      </c>
      <c r="FI47" s="4">
        <v>13.106</v>
      </c>
      <c r="FJ47" s="4">
        <v>16.792999999999999</v>
      </c>
      <c r="FK47" s="4">
        <v>15.565</v>
      </c>
      <c r="FL47" s="4">
        <v>15.015000000000001</v>
      </c>
      <c r="FM47" s="4">
        <v>13.878</v>
      </c>
      <c r="FN47" s="4">
        <v>16.446000000000002</v>
      </c>
      <c r="FO47" s="4">
        <v>14.223000000000001</v>
      </c>
      <c r="FP47" s="4">
        <v>14.38</v>
      </c>
      <c r="FQ47" s="4">
        <v>14.083</v>
      </c>
      <c r="FR47" s="4">
        <v>14.106999999999999</v>
      </c>
      <c r="FS47" s="4">
        <v>13.678000000000001</v>
      </c>
      <c r="FT47" s="4">
        <v>15.829000000000001</v>
      </c>
      <c r="FU47" s="4">
        <v>15.766999999999999</v>
      </c>
      <c r="FV47" s="4">
        <v>11.581</v>
      </c>
      <c r="FW47" s="4">
        <v>15.801</v>
      </c>
      <c r="FX47" s="4">
        <v>15.855</v>
      </c>
      <c r="FY47" s="4">
        <v>15.763999999999999</v>
      </c>
      <c r="FZ47" s="4">
        <v>15.673999999999999</v>
      </c>
      <c r="GA47" s="4">
        <v>14.074</v>
      </c>
      <c r="GB47" s="4">
        <v>16.530999999999999</v>
      </c>
      <c r="GC47" s="4">
        <v>15.260999999999999</v>
      </c>
      <c r="GD47" s="4">
        <v>15.648</v>
      </c>
      <c r="GE47" s="4">
        <v>15.212999999999999</v>
      </c>
      <c r="GF47" s="4">
        <v>15.484999999999999</v>
      </c>
      <c r="GG47" s="4">
        <v>13.704000000000001</v>
      </c>
      <c r="GH47" s="4">
        <v>12.817</v>
      </c>
      <c r="GI47" s="4">
        <v>15.632</v>
      </c>
      <c r="GJ47" s="4">
        <v>15.238</v>
      </c>
      <c r="GK47" s="4">
        <v>16.321999999999999</v>
      </c>
      <c r="GL47" s="4">
        <v>16.309999999999999</v>
      </c>
      <c r="GM47" s="4">
        <v>16.145</v>
      </c>
      <c r="GN47" s="4">
        <v>11.704000000000001</v>
      </c>
      <c r="GO47" s="4">
        <v>15.351000000000001</v>
      </c>
      <c r="GP47" s="4">
        <v>13.307</v>
      </c>
      <c r="GQ47" s="4">
        <v>12.637</v>
      </c>
      <c r="GR47" s="4">
        <v>12.781000000000001</v>
      </c>
      <c r="GS47" s="4">
        <v>15.842000000000001</v>
      </c>
      <c r="GT47" s="4">
        <v>11.712</v>
      </c>
      <c r="GU47" s="4">
        <v>15.617000000000001</v>
      </c>
      <c r="GV47" s="4">
        <v>13.18</v>
      </c>
      <c r="GW47" s="4">
        <v>13.144</v>
      </c>
      <c r="GX47" s="4">
        <v>9.2240000000000002</v>
      </c>
      <c r="GY47" s="4">
        <v>13.363</v>
      </c>
      <c r="GZ47" s="4">
        <v>16.347000000000001</v>
      </c>
      <c r="HA47" s="4">
        <v>14.755000000000001</v>
      </c>
      <c r="HB47" s="4">
        <v>14.736000000000001</v>
      </c>
      <c r="HC47" s="4">
        <v>16.198</v>
      </c>
      <c r="HD47" s="4">
        <v>11.538</v>
      </c>
      <c r="HE47" s="4">
        <v>14.538</v>
      </c>
      <c r="HF47" s="4">
        <v>11.269</v>
      </c>
      <c r="HG47" s="4">
        <v>15.516</v>
      </c>
      <c r="HH47" s="4">
        <v>14.317</v>
      </c>
      <c r="HI47" s="4">
        <v>14.362</v>
      </c>
      <c r="HJ47" s="4">
        <v>16.016999999999999</v>
      </c>
      <c r="HK47" s="4">
        <v>16.818000000000001</v>
      </c>
      <c r="HL47" s="4">
        <v>16.41</v>
      </c>
      <c r="HM47" s="4">
        <v>15.036</v>
      </c>
      <c r="HN47" s="4">
        <v>13.436999999999999</v>
      </c>
      <c r="HO47" s="4">
        <v>14.273</v>
      </c>
      <c r="HP47" s="4">
        <v>14.913</v>
      </c>
      <c r="HQ47" s="4">
        <v>16.616</v>
      </c>
      <c r="HR47" s="4">
        <v>15.367000000000001</v>
      </c>
      <c r="HS47" s="4">
        <v>14.199</v>
      </c>
      <c r="HT47" s="4">
        <v>14.97</v>
      </c>
      <c r="HU47" s="4">
        <v>15.89</v>
      </c>
      <c r="HV47" s="4">
        <v>15.976000000000001</v>
      </c>
      <c r="HW47" s="4">
        <v>13.066000000000001</v>
      </c>
      <c r="HX47" s="4">
        <v>16.564</v>
      </c>
      <c r="HY47" s="4">
        <v>16.675999999999998</v>
      </c>
      <c r="HZ47" s="4">
        <v>16.366</v>
      </c>
      <c r="IA47" s="4">
        <v>11.266</v>
      </c>
      <c r="IB47" s="4">
        <v>15.954000000000001</v>
      </c>
      <c r="IC47" s="4">
        <v>17.018999999999998</v>
      </c>
      <c r="ID47" s="4">
        <v>15.545999999999999</v>
      </c>
      <c r="IE47" s="4">
        <v>16.721</v>
      </c>
      <c r="IF47" s="4">
        <v>16.477</v>
      </c>
      <c r="IG47" s="4">
        <v>14.256</v>
      </c>
      <c r="IH47" s="4">
        <v>9.6660000000000004</v>
      </c>
      <c r="II47" s="4">
        <v>11.311999999999999</v>
      </c>
      <c r="IJ47" s="4">
        <v>15.981999999999999</v>
      </c>
      <c r="IK47" s="4">
        <v>15.72</v>
      </c>
      <c r="IL47" s="4">
        <v>11.63</v>
      </c>
      <c r="IM47" s="4">
        <v>16.696000000000002</v>
      </c>
      <c r="IN47" s="4">
        <v>14.269</v>
      </c>
      <c r="IO47" s="4">
        <v>14.082000000000001</v>
      </c>
      <c r="IP47" s="4">
        <v>15.098000000000001</v>
      </c>
      <c r="IQ47" s="4">
        <v>16.649999999999999</v>
      </c>
      <c r="IR47" s="4">
        <v>16.956</v>
      </c>
      <c r="IS47" s="4">
        <v>11.679</v>
      </c>
      <c r="IT47" s="4">
        <v>14.595000000000001</v>
      </c>
      <c r="IU47" s="4">
        <v>11.566000000000001</v>
      </c>
      <c r="IV47" s="4">
        <v>16.417999999999999</v>
      </c>
      <c r="IW47" s="4">
        <v>9.7319999999999993</v>
      </c>
      <c r="IX47" s="4">
        <v>15.26</v>
      </c>
      <c r="IY47" s="4">
        <v>14.824999999999999</v>
      </c>
      <c r="IZ47" s="4">
        <v>15.263999999999999</v>
      </c>
      <c r="JA47" s="4">
        <v>14.728999999999999</v>
      </c>
      <c r="JB47" s="4">
        <v>14.898999999999999</v>
      </c>
      <c r="JC47" s="4">
        <v>13.898999999999999</v>
      </c>
      <c r="JD47" s="4">
        <v>15.151999999999999</v>
      </c>
      <c r="JE47" s="4">
        <v>16.068999999999999</v>
      </c>
      <c r="JF47" s="4">
        <v>16.332000000000001</v>
      </c>
      <c r="JG47" s="4">
        <v>15.36</v>
      </c>
      <c r="JH47" s="4">
        <v>16.459</v>
      </c>
      <c r="JI47" s="4">
        <v>14.035</v>
      </c>
      <c r="JJ47" s="4">
        <v>14.94</v>
      </c>
      <c r="JK47" s="4">
        <v>14.433999999999999</v>
      </c>
      <c r="JL47" s="4">
        <v>17.106000000000002</v>
      </c>
      <c r="JM47" s="4">
        <v>15.339</v>
      </c>
      <c r="JN47" s="4">
        <v>15.651</v>
      </c>
      <c r="JO47" s="4">
        <v>16.146999999999998</v>
      </c>
      <c r="JP47" s="4">
        <v>15.305</v>
      </c>
      <c r="JQ47" s="4">
        <v>15.111000000000001</v>
      </c>
      <c r="JR47" s="4">
        <v>14.178000000000001</v>
      </c>
      <c r="JS47" s="4">
        <v>13.521000000000001</v>
      </c>
      <c r="JT47" s="4">
        <v>16.279</v>
      </c>
      <c r="JU47" s="4">
        <v>16.277999999999999</v>
      </c>
      <c r="JV47" s="4">
        <v>15.638999999999999</v>
      </c>
      <c r="JW47" s="4">
        <v>15.661</v>
      </c>
      <c r="JX47" s="4">
        <v>14.457000000000001</v>
      </c>
      <c r="JY47" s="4">
        <v>15.994999999999999</v>
      </c>
      <c r="JZ47" s="4">
        <v>15.707000000000001</v>
      </c>
      <c r="KA47" s="4">
        <v>15.384</v>
      </c>
      <c r="KB47" s="4">
        <v>12.911</v>
      </c>
      <c r="KC47" s="4">
        <v>13.1</v>
      </c>
      <c r="KD47" s="4">
        <v>15.09</v>
      </c>
      <c r="KE47" s="4">
        <v>16.390999999999998</v>
      </c>
      <c r="KF47" s="4">
        <v>14.723000000000001</v>
      </c>
      <c r="KG47" s="4">
        <v>16.271999999999998</v>
      </c>
      <c r="KH47" s="4">
        <v>14.916</v>
      </c>
      <c r="KI47" s="4">
        <v>15.819000000000001</v>
      </c>
      <c r="KJ47" s="4">
        <v>16.228000000000002</v>
      </c>
      <c r="KK47" s="4">
        <v>15.071999999999999</v>
      </c>
      <c r="KL47" s="4">
        <v>14.765000000000001</v>
      </c>
      <c r="KM47" s="4">
        <v>11.419</v>
      </c>
      <c r="KN47" s="4">
        <v>15.262</v>
      </c>
      <c r="KO47" s="4">
        <v>12.446</v>
      </c>
      <c r="KP47" s="4">
        <v>15.621</v>
      </c>
      <c r="KQ47" s="4">
        <v>16.445</v>
      </c>
      <c r="KR47" s="4">
        <v>14.680999999999999</v>
      </c>
      <c r="KS47" s="4">
        <v>16.565000000000001</v>
      </c>
    </row>
    <row r="48" spans="1:305" x14ac:dyDescent="0.25">
      <c r="A48" s="4">
        <v>2017</v>
      </c>
      <c r="B48" s="4">
        <v>9</v>
      </c>
      <c r="C48" s="4">
        <v>6.2889999999999997</v>
      </c>
      <c r="D48" s="4">
        <v>12.85</v>
      </c>
      <c r="E48" s="4">
        <v>12.608000000000001</v>
      </c>
      <c r="F48" s="4">
        <v>12.026999999999999</v>
      </c>
      <c r="G48" s="4">
        <v>12.315</v>
      </c>
      <c r="H48" s="4">
        <v>9.5259999999999998</v>
      </c>
      <c r="I48" s="4">
        <v>12.087999999999999</v>
      </c>
      <c r="J48" s="4">
        <v>8.3379999999999992</v>
      </c>
      <c r="K48" s="4">
        <v>12.042</v>
      </c>
      <c r="L48" s="4">
        <v>13.288</v>
      </c>
      <c r="M48" s="4">
        <v>9.4120000000000008</v>
      </c>
      <c r="N48" s="4">
        <v>12.188000000000001</v>
      </c>
      <c r="O48" s="4">
        <v>8.1219999999999999</v>
      </c>
      <c r="P48" s="4">
        <v>11.077999999999999</v>
      </c>
      <c r="Q48" s="4">
        <v>7.3019999999999996</v>
      </c>
      <c r="R48" s="4">
        <v>7.0030000000000001</v>
      </c>
      <c r="S48" s="4">
        <v>11.307</v>
      </c>
      <c r="T48" s="4">
        <v>11.763</v>
      </c>
      <c r="U48" s="4">
        <v>11.489000000000001</v>
      </c>
      <c r="V48" s="4">
        <v>12.103</v>
      </c>
      <c r="W48" s="4">
        <v>11.385</v>
      </c>
      <c r="X48" s="4">
        <v>13.420999999999999</v>
      </c>
      <c r="Y48" s="4">
        <v>11.444000000000001</v>
      </c>
      <c r="Z48" s="4">
        <v>8.5250000000000004</v>
      </c>
      <c r="AA48" s="4">
        <v>13.337999999999999</v>
      </c>
      <c r="AB48" s="4">
        <v>8.7050000000000001</v>
      </c>
      <c r="AC48" s="4">
        <v>12.047000000000001</v>
      </c>
      <c r="AD48" s="4">
        <v>10.605</v>
      </c>
      <c r="AE48" s="4">
        <v>11.702</v>
      </c>
      <c r="AF48" s="4">
        <v>13.738</v>
      </c>
      <c r="AG48" s="4">
        <v>10.734999999999999</v>
      </c>
      <c r="AH48" s="4">
        <v>12.566000000000001</v>
      </c>
      <c r="AI48" s="4">
        <v>8.9260000000000002</v>
      </c>
      <c r="AJ48" s="4">
        <v>12.645</v>
      </c>
      <c r="AK48" s="4">
        <v>13.276</v>
      </c>
      <c r="AL48" s="4">
        <v>13.878</v>
      </c>
      <c r="AM48" s="4">
        <v>10.933</v>
      </c>
      <c r="AN48" s="4">
        <v>12.913</v>
      </c>
      <c r="AO48" s="4">
        <v>11.151</v>
      </c>
      <c r="AP48" s="4">
        <v>10.366</v>
      </c>
      <c r="AQ48" s="4">
        <v>8.968</v>
      </c>
      <c r="AR48" s="4">
        <v>10.089</v>
      </c>
      <c r="AS48" s="4">
        <v>11.41</v>
      </c>
      <c r="AT48" s="4">
        <v>11.351000000000001</v>
      </c>
      <c r="AU48" s="4">
        <v>12.342000000000001</v>
      </c>
      <c r="AV48" s="4">
        <v>12.170999999999999</v>
      </c>
      <c r="AW48" s="4">
        <v>12.305999999999999</v>
      </c>
      <c r="AX48" s="4">
        <v>13.308</v>
      </c>
      <c r="AY48" s="4">
        <v>11.846</v>
      </c>
      <c r="AZ48" s="4">
        <v>11.526999999999999</v>
      </c>
      <c r="BA48" s="4">
        <v>13.61</v>
      </c>
      <c r="BB48" s="4">
        <v>11.395</v>
      </c>
      <c r="BC48" s="4">
        <v>14.289</v>
      </c>
      <c r="BD48" s="4">
        <v>10.959</v>
      </c>
      <c r="BE48" s="4">
        <v>11.835000000000001</v>
      </c>
      <c r="BF48" s="4">
        <v>10.909000000000001</v>
      </c>
      <c r="BG48" s="4">
        <v>11.337</v>
      </c>
      <c r="BH48" s="4">
        <v>12.134</v>
      </c>
      <c r="BI48" s="4">
        <v>12.304</v>
      </c>
      <c r="BJ48" s="4">
        <v>8.5570000000000004</v>
      </c>
      <c r="BK48" s="4">
        <v>11.38</v>
      </c>
      <c r="BL48" s="4">
        <v>8.1289999999999996</v>
      </c>
      <c r="BM48" s="4">
        <v>7.9009999999999998</v>
      </c>
      <c r="BN48" s="4">
        <v>10.223000000000001</v>
      </c>
      <c r="BO48" s="4">
        <v>6.2510000000000003</v>
      </c>
      <c r="BP48" s="4">
        <v>11.736000000000001</v>
      </c>
      <c r="BQ48" s="4">
        <v>11.877000000000001</v>
      </c>
      <c r="BR48" s="4">
        <v>12.353</v>
      </c>
      <c r="BS48" s="4">
        <v>13.385</v>
      </c>
      <c r="BT48" s="4">
        <v>11.96</v>
      </c>
      <c r="BU48" s="4">
        <v>12.010999999999999</v>
      </c>
      <c r="BV48" s="4">
        <v>12.551</v>
      </c>
      <c r="BW48" s="4">
        <v>10.707000000000001</v>
      </c>
      <c r="BX48" s="4">
        <v>10.653</v>
      </c>
      <c r="BY48" s="4">
        <v>11.535</v>
      </c>
      <c r="BZ48" s="4">
        <v>11.821</v>
      </c>
      <c r="CA48" s="4">
        <v>13.536</v>
      </c>
      <c r="CB48" s="4">
        <v>12.323</v>
      </c>
      <c r="CC48" s="4">
        <v>9.4670000000000005</v>
      </c>
      <c r="CD48" s="4">
        <v>12.603999999999999</v>
      </c>
      <c r="CE48" s="4">
        <v>8.8420000000000005</v>
      </c>
      <c r="CF48" s="4">
        <v>11.135999999999999</v>
      </c>
      <c r="CG48" s="4">
        <v>12.792</v>
      </c>
      <c r="CH48" s="4">
        <v>12.516</v>
      </c>
      <c r="CI48" s="4">
        <v>11.163</v>
      </c>
      <c r="CJ48" s="4">
        <v>7.681</v>
      </c>
      <c r="CK48" s="4">
        <v>13.647</v>
      </c>
      <c r="CL48" s="4">
        <v>7.4390000000000001</v>
      </c>
      <c r="CM48" s="4">
        <v>13.304</v>
      </c>
      <c r="CN48" s="4">
        <v>11.814</v>
      </c>
      <c r="CO48" s="4">
        <v>12.286</v>
      </c>
      <c r="CP48" s="4">
        <v>10.747999999999999</v>
      </c>
      <c r="CQ48" s="4">
        <v>13.715999999999999</v>
      </c>
      <c r="CR48" s="4">
        <v>12.407</v>
      </c>
      <c r="CS48" s="4">
        <v>12.821</v>
      </c>
      <c r="CT48" s="4">
        <v>12.773999999999999</v>
      </c>
      <c r="CU48" s="4">
        <v>11.765000000000001</v>
      </c>
      <c r="CV48" s="4">
        <v>12.643000000000001</v>
      </c>
      <c r="CW48" s="4">
        <v>11.154</v>
      </c>
      <c r="CX48" s="4">
        <v>12.242000000000001</v>
      </c>
      <c r="CY48" s="4">
        <v>12.205</v>
      </c>
      <c r="CZ48" s="4">
        <v>12.961</v>
      </c>
      <c r="DA48" s="4">
        <v>7.4550000000000001</v>
      </c>
      <c r="DB48" s="4">
        <v>11.77</v>
      </c>
      <c r="DC48" s="4">
        <v>9.5350000000000001</v>
      </c>
      <c r="DD48" s="4">
        <v>8.4879999999999995</v>
      </c>
      <c r="DE48" s="4">
        <v>13.446999999999999</v>
      </c>
      <c r="DF48" s="4">
        <v>6.282</v>
      </c>
      <c r="DG48" s="4">
        <v>12.486000000000001</v>
      </c>
      <c r="DH48" s="4">
        <v>13.151999999999999</v>
      </c>
      <c r="DI48" s="4">
        <v>11.000999999999999</v>
      </c>
      <c r="DJ48" s="4">
        <v>13.750999999999999</v>
      </c>
      <c r="DK48" s="4">
        <v>11.994</v>
      </c>
      <c r="DL48" s="4">
        <v>12.287000000000001</v>
      </c>
      <c r="DM48" s="4">
        <v>13.721</v>
      </c>
      <c r="DN48" s="4">
        <v>11.326000000000001</v>
      </c>
      <c r="DO48" s="4">
        <v>12.29</v>
      </c>
      <c r="DP48" s="4">
        <v>5.923</v>
      </c>
      <c r="DQ48" s="4">
        <v>11.866</v>
      </c>
      <c r="DR48" s="4">
        <v>12.911</v>
      </c>
      <c r="DS48" s="4">
        <v>12.278</v>
      </c>
      <c r="DT48" s="4">
        <v>12.006</v>
      </c>
      <c r="DU48" s="4">
        <v>10.456</v>
      </c>
      <c r="DV48" s="4">
        <v>10.445</v>
      </c>
      <c r="DW48" s="4">
        <v>13.122999999999999</v>
      </c>
      <c r="DX48" s="4">
        <v>11.752000000000001</v>
      </c>
      <c r="DY48" s="4">
        <v>11.618</v>
      </c>
      <c r="DZ48" s="4">
        <v>12.859</v>
      </c>
      <c r="EA48" s="4">
        <v>13.275</v>
      </c>
      <c r="EB48" s="4">
        <v>12.250999999999999</v>
      </c>
      <c r="EC48" s="4">
        <v>6.681</v>
      </c>
      <c r="ED48" s="4">
        <v>13.154999999999999</v>
      </c>
      <c r="EE48" s="4">
        <v>13.965999999999999</v>
      </c>
      <c r="EF48" s="4">
        <v>11.353</v>
      </c>
      <c r="EG48" s="4">
        <v>11.43</v>
      </c>
      <c r="EH48" s="4">
        <v>10.364000000000001</v>
      </c>
      <c r="EI48" s="4">
        <v>12.32</v>
      </c>
      <c r="EJ48" s="4">
        <v>12.246</v>
      </c>
      <c r="EK48" s="4">
        <v>12.896000000000001</v>
      </c>
      <c r="EL48" s="4">
        <v>12.305999999999999</v>
      </c>
      <c r="EM48" s="4">
        <v>12.183</v>
      </c>
      <c r="EN48" s="4">
        <v>11.07</v>
      </c>
      <c r="EO48" s="4">
        <v>12.35</v>
      </c>
      <c r="EP48" s="4">
        <v>12.167</v>
      </c>
      <c r="EQ48" s="4">
        <v>10.129</v>
      </c>
      <c r="ER48" s="4">
        <v>13.898</v>
      </c>
      <c r="ES48" s="4">
        <v>10.599</v>
      </c>
      <c r="ET48" s="4">
        <v>9.1820000000000004</v>
      </c>
      <c r="EU48" s="4">
        <v>13.641999999999999</v>
      </c>
      <c r="EV48" s="4">
        <v>8.1419999999999995</v>
      </c>
      <c r="EW48" s="4">
        <v>13.127000000000001</v>
      </c>
      <c r="EX48" s="4">
        <v>7.4050000000000002</v>
      </c>
      <c r="EY48" s="4">
        <v>11.666</v>
      </c>
      <c r="EZ48" s="4">
        <v>13.968</v>
      </c>
      <c r="FA48" s="4">
        <v>9.5809999999999995</v>
      </c>
      <c r="FB48" s="4">
        <v>12.396000000000001</v>
      </c>
      <c r="FC48" s="4">
        <v>12.268000000000001</v>
      </c>
      <c r="FD48" s="4">
        <v>12.12</v>
      </c>
      <c r="FE48" s="4">
        <v>12.563000000000001</v>
      </c>
      <c r="FF48" s="4">
        <v>11.975</v>
      </c>
      <c r="FG48" s="4">
        <v>13.097</v>
      </c>
      <c r="FH48" s="4">
        <v>13.276999999999999</v>
      </c>
      <c r="FI48" s="4">
        <v>10.662000000000001</v>
      </c>
      <c r="FJ48" s="4">
        <v>13.613</v>
      </c>
      <c r="FK48" s="4">
        <v>12.105</v>
      </c>
      <c r="FL48" s="4">
        <v>12.209</v>
      </c>
      <c r="FM48" s="4">
        <v>10.987</v>
      </c>
      <c r="FN48" s="4">
        <v>12.895</v>
      </c>
      <c r="FO48" s="4">
        <v>11.137</v>
      </c>
      <c r="FP48" s="4">
        <v>10.872</v>
      </c>
      <c r="FQ48" s="4">
        <v>10.682</v>
      </c>
      <c r="FR48" s="4">
        <v>10.382999999999999</v>
      </c>
      <c r="FS48" s="4">
        <v>9.9779999999999998</v>
      </c>
      <c r="FT48" s="4">
        <v>12.483000000000001</v>
      </c>
      <c r="FU48" s="4">
        <v>12.291</v>
      </c>
      <c r="FV48" s="4">
        <v>7.5380000000000003</v>
      </c>
      <c r="FW48" s="4">
        <v>12.468</v>
      </c>
      <c r="FX48" s="4">
        <v>12.837999999999999</v>
      </c>
      <c r="FY48" s="4">
        <v>12.411</v>
      </c>
      <c r="FZ48" s="4">
        <v>13.163</v>
      </c>
      <c r="GA48" s="4">
        <v>10.789</v>
      </c>
      <c r="GB48" s="4">
        <v>13.957000000000001</v>
      </c>
      <c r="GC48" s="4">
        <v>12.07</v>
      </c>
      <c r="GD48" s="4">
        <v>12.648999999999999</v>
      </c>
      <c r="GE48" s="4">
        <v>11.738</v>
      </c>
      <c r="GF48" s="4">
        <v>12.535</v>
      </c>
      <c r="GG48" s="4">
        <v>10.351000000000001</v>
      </c>
      <c r="GH48" s="4">
        <v>10.369</v>
      </c>
      <c r="GI48" s="4">
        <v>12.792999999999999</v>
      </c>
      <c r="GJ48" s="4">
        <v>12.441000000000001</v>
      </c>
      <c r="GK48" s="4">
        <v>13.052</v>
      </c>
      <c r="GL48" s="4">
        <v>12.834</v>
      </c>
      <c r="GM48" s="4">
        <v>12.663</v>
      </c>
      <c r="GN48" s="4">
        <v>8.9440000000000008</v>
      </c>
      <c r="GO48" s="4">
        <v>11.712999999999999</v>
      </c>
      <c r="GP48" s="4">
        <v>10.247</v>
      </c>
      <c r="GQ48" s="4">
        <v>8.4939999999999998</v>
      </c>
      <c r="GR48" s="4">
        <v>8.2940000000000005</v>
      </c>
      <c r="GS48" s="4">
        <v>13.204000000000001</v>
      </c>
      <c r="GT48" s="4">
        <v>7.5469999999999997</v>
      </c>
      <c r="GU48" s="4">
        <v>12.726000000000001</v>
      </c>
      <c r="GV48" s="4">
        <v>8.9390000000000001</v>
      </c>
      <c r="GW48" s="4">
        <v>10.28</v>
      </c>
      <c r="GX48" s="4">
        <v>6.96</v>
      </c>
      <c r="GY48" s="4">
        <v>9.2249999999999996</v>
      </c>
      <c r="GZ48" s="4">
        <v>13.420999999999999</v>
      </c>
      <c r="HA48" s="4">
        <v>11.865</v>
      </c>
      <c r="HB48" s="4">
        <v>11.305</v>
      </c>
      <c r="HC48" s="4">
        <v>12.698</v>
      </c>
      <c r="HD48" s="4">
        <v>8.0950000000000006</v>
      </c>
      <c r="HE48" s="4">
        <v>11.29</v>
      </c>
      <c r="HF48" s="4">
        <v>8.3469999999999995</v>
      </c>
      <c r="HG48" s="4">
        <v>12.384</v>
      </c>
      <c r="HH48" s="4">
        <v>10.885999999999999</v>
      </c>
      <c r="HI48" s="4">
        <v>11.489000000000001</v>
      </c>
      <c r="HJ48" s="4">
        <v>12.458</v>
      </c>
      <c r="HK48" s="4">
        <v>13.677</v>
      </c>
      <c r="HL48" s="4">
        <v>13.051</v>
      </c>
      <c r="HM48" s="4">
        <v>11.832000000000001</v>
      </c>
      <c r="HN48" s="4">
        <v>8.8559999999999999</v>
      </c>
      <c r="HO48" s="4">
        <v>11.036</v>
      </c>
      <c r="HP48" s="4">
        <v>11.555999999999999</v>
      </c>
      <c r="HQ48" s="4">
        <v>13.422000000000001</v>
      </c>
      <c r="HR48" s="4">
        <v>12.010999999999999</v>
      </c>
      <c r="HS48" s="4">
        <v>10.927</v>
      </c>
      <c r="HT48" s="4">
        <v>11.75</v>
      </c>
      <c r="HU48" s="4">
        <v>12.567</v>
      </c>
      <c r="HV48" s="4">
        <v>12.554</v>
      </c>
      <c r="HW48" s="4">
        <v>9.8130000000000006</v>
      </c>
      <c r="HX48" s="4">
        <v>12.852</v>
      </c>
      <c r="HY48" s="4">
        <v>13.01</v>
      </c>
      <c r="HZ48" s="4">
        <v>13.446999999999999</v>
      </c>
      <c r="IA48" s="4">
        <v>7.742</v>
      </c>
      <c r="IB48" s="4">
        <v>13.340999999999999</v>
      </c>
      <c r="IC48" s="4">
        <v>13.574</v>
      </c>
      <c r="ID48" s="4">
        <v>12.686999999999999</v>
      </c>
      <c r="IE48" s="4">
        <v>13.036</v>
      </c>
      <c r="IF48" s="4">
        <v>12.898999999999999</v>
      </c>
      <c r="IG48" s="4">
        <v>11.112</v>
      </c>
      <c r="IH48" s="4">
        <v>7.87</v>
      </c>
      <c r="II48" s="4">
        <v>8.0779999999999994</v>
      </c>
      <c r="IJ48" s="4">
        <v>12.428000000000001</v>
      </c>
      <c r="IK48" s="4">
        <v>12.856999999999999</v>
      </c>
      <c r="IL48" s="4">
        <v>9.0069999999999997</v>
      </c>
      <c r="IM48" s="4">
        <v>13.006</v>
      </c>
      <c r="IN48" s="4">
        <v>10.946</v>
      </c>
      <c r="IO48" s="4">
        <v>11.003</v>
      </c>
      <c r="IP48" s="4">
        <v>11.579000000000001</v>
      </c>
      <c r="IQ48" s="4">
        <v>13.436</v>
      </c>
      <c r="IR48" s="4">
        <v>13.504</v>
      </c>
      <c r="IS48" s="4">
        <v>8.7070000000000007</v>
      </c>
      <c r="IT48" s="4">
        <v>11.771000000000001</v>
      </c>
      <c r="IU48" s="4">
        <v>8.8320000000000007</v>
      </c>
      <c r="IV48" s="4">
        <v>12.789</v>
      </c>
      <c r="IW48" s="4">
        <v>7.0990000000000002</v>
      </c>
      <c r="IX48" s="4">
        <v>12.464</v>
      </c>
      <c r="IY48" s="4">
        <v>11.329000000000001</v>
      </c>
      <c r="IZ48" s="4">
        <v>11.93</v>
      </c>
      <c r="JA48" s="4">
        <v>11.48</v>
      </c>
      <c r="JB48" s="4">
        <v>11.387</v>
      </c>
      <c r="JC48" s="4">
        <v>10.726000000000001</v>
      </c>
      <c r="JD48" s="4">
        <v>12.327</v>
      </c>
      <c r="JE48" s="4">
        <v>13.49</v>
      </c>
      <c r="JF48" s="4">
        <v>13.08</v>
      </c>
      <c r="JG48" s="4">
        <v>12.087</v>
      </c>
      <c r="JH48" s="4">
        <v>13.226000000000001</v>
      </c>
      <c r="JI48" s="4">
        <v>10.866</v>
      </c>
      <c r="JJ48" s="4">
        <v>11.461</v>
      </c>
      <c r="JK48" s="4">
        <v>11.69</v>
      </c>
      <c r="JL48" s="4">
        <v>13.967000000000001</v>
      </c>
      <c r="JM48" s="4">
        <v>12.193</v>
      </c>
      <c r="JN48" s="4">
        <v>12.901999999999999</v>
      </c>
      <c r="JO48" s="4">
        <v>12.77</v>
      </c>
      <c r="JP48" s="4">
        <v>12.456</v>
      </c>
      <c r="JQ48" s="4">
        <v>12.433</v>
      </c>
      <c r="JR48" s="4">
        <v>11.35</v>
      </c>
      <c r="JS48" s="4">
        <v>9.7260000000000009</v>
      </c>
      <c r="JT48" s="4">
        <v>12.67</v>
      </c>
      <c r="JU48" s="4">
        <v>12.619</v>
      </c>
      <c r="JV48" s="4">
        <v>12.164</v>
      </c>
      <c r="JW48" s="4">
        <v>12.343</v>
      </c>
      <c r="JX48" s="4">
        <v>11.798999999999999</v>
      </c>
      <c r="JY48" s="4">
        <v>12.776999999999999</v>
      </c>
      <c r="JZ48" s="4">
        <v>12.192</v>
      </c>
      <c r="KA48" s="4">
        <v>12.279</v>
      </c>
      <c r="KB48" s="4">
        <v>9.1189999999999998</v>
      </c>
      <c r="KC48" s="4">
        <v>10.077</v>
      </c>
      <c r="KD48" s="4">
        <v>11.974</v>
      </c>
      <c r="KE48" s="4">
        <v>13.651</v>
      </c>
      <c r="KF48" s="4">
        <v>11.79</v>
      </c>
      <c r="KG48" s="4">
        <v>12.858000000000001</v>
      </c>
      <c r="KH48" s="4">
        <v>12.044</v>
      </c>
      <c r="KI48" s="4">
        <v>12.114000000000001</v>
      </c>
      <c r="KJ48" s="4">
        <v>13.364000000000001</v>
      </c>
      <c r="KK48" s="4">
        <v>12.121</v>
      </c>
      <c r="KL48" s="4">
        <v>11.612</v>
      </c>
      <c r="KM48" s="4">
        <v>8.3190000000000008</v>
      </c>
      <c r="KN48" s="4">
        <v>12.162000000000001</v>
      </c>
      <c r="KO48" s="4">
        <v>8.4550000000000001</v>
      </c>
      <c r="KP48" s="4">
        <v>12.177</v>
      </c>
      <c r="KQ48" s="4">
        <v>13.151</v>
      </c>
      <c r="KR48" s="4">
        <v>11.534000000000001</v>
      </c>
      <c r="KS48" s="4">
        <v>13.746</v>
      </c>
    </row>
    <row r="49" spans="1:305" x14ac:dyDescent="0.25">
      <c r="A49" s="4">
        <v>2017</v>
      </c>
      <c r="B49" s="4">
        <v>10</v>
      </c>
      <c r="C49" s="4">
        <v>0.32600000000000001</v>
      </c>
      <c r="D49" s="4">
        <v>7.8079999999999998</v>
      </c>
      <c r="E49" s="4">
        <v>8.8979999999999997</v>
      </c>
      <c r="F49" s="4">
        <v>8.27</v>
      </c>
      <c r="G49" s="4">
        <v>8.8239999999999998</v>
      </c>
      <c r="H49" s="4">
        <v>3.895</v>
      </c>
      <c r="I49" s="4">
        <v>8.27</v>
      </c>
      <c r="J49" s="4">
        <v>2.3279999999999998</v>
      </c>
      <c r="K49" s="4">
        <v>8.0440000000000005</v>
      </c>
      <c r="L49" s="4">
        <v>10.417999999999999</v>
      </c>
      <c r="M49" s="4">
        <v>4.0259999999999998</v>
      </c>
      <c r="N49" s="4">
        <v>7.3239999999999998</v>
      </c>
      <c r="O49" s="4">
        <v>3</v>
      </c>
      <c r="P49" s="4">
        <v>6.6310000000000002</v>
      </c>
      <c r="Q49" s="4">
        <v>1.218</v>
      </c>
      <c r="R49" s="4">
        <v>0.91800000000000004</v>
      </c>
      <c r="S49" s="4">
        <v>6.5490000000000004</v>
      </c>
      <c r="T49" s="4">
        <v>7.6630000000000003</v>
      </c>
      <c r="U49" s="4">
        <v>7.2859999999999996</v>
      </c>
      <c r="V49" s="4">
        <v>7.8220000000000001</v>
      </c>
      <c r="W49" s="4">
        <v>6.0179999999999998</v>
      </c>
      <c r="X49" s="4">
        <v>10.462999999999999</v>
      </c>
      <c r="Y49" s="4">
        <v>7.27</v>
      </c>
      <c r="Z49" s="4">
        <v>3.0089999999999999</v>
      </c>
      <c r="AA49" s="4">
        <v>10.377000000000001</v>
      </c>
      <c r="AB49" s="4">
        <v>2.6720000000000002</v>
      </c>
      <c r="AC49" s="4">
        <v>8.1769999999999996</v>
      </c>
      <c r="AD49" s="4">
        <v>5.0949999999999998</v>
      </c>
      <c r="AE49" s="4">
        <v>7.7329999999999997</v>
      </c>
      <c r="AF49" s="4">
        <v>9.8800000000000008</v>
      </c>
      <c r="AG49" s="4">
        <v>5.5389999999999997</v>
      </c>
      <c r="AH49" s="4">
        <v>7.39</v>
      </c>
      <c r="AI49" s="4">
        <v>3.5310000000000001</v>
      </c>
      <c r="AJ49" s="4">
        <v>9.3379999999999992</v>
      </c>
      <c r="AK49" s="4">
        <v>9.8610000000000007</v>
      </c>
      <c r="AL49" s="4">
        <v>11.057</v>
      </c>
      <c r="AM49" s="4">
        <v>5.8490000000000002</v>
      </c>
      <c r="AN49" s="4">
        <v>7.6360000000000001</v>
      </c>
      <c r="AO49" s="4">
        <v>6.69</v>
      </c>
      <c r="AP49" s="4">
        <v>5.3250000000000002</v>
      </c>
      <c r="AQ49" s="4">
        <v>3.0350000000000001</v>
      </c>
      <c r="AR49" s="4">
        <v>4.4960000000000004</v>
      </c>
      <c r="AS49" s="4">
        <v>7.2190000000000003</v>
      </c>
      <c r="AT49" s="4">
        <v>7.4059999999999997</v>
      </c>
      <c r="AU49" s="4">
        <v>8.4529999999999994</v>
      </c>
      <c r="AV49" s="4">
        <v>7.0220000000000002</v>
      </c>
      <c r="AW49" s="4">
        <v>7.2859999999999996</v>
      </c>
      <c r="AX49" s="4">
        <v>10.308</v>
      </c>
      <c r="AY49" s="4">
        <v>8.0679999999999996</v>
      </c>
      <c r="AZ49" s="4">
        <v>6.3630000000000004</v>
      </c>
      <c r="BA49" s="4">
        <v>10.182</v>
      </c>
      <c r="BB49" s="4">
        <v>7.4870000000000001</v>
      </c>
      <c r="BC49" s="4">
        <v>11.645</v>
      </c>
      <c r="BD49" s="4">
        <v>5.5940000000000003</v>
      </c>
      <c r="BE49" s="4">
        <v>7.8440000000000003</v>
      </c>
      <c r="BF49" s="4">
        <v>5.9589999999999996</v>
      </c>
      <c r="BG49" s="4">
        <v>6.1669999999999998</v>
      </c>
      <c r="BH49" s="4">
        <v>7.5620000000000003</v>
      </c>
      <c r="BI49" s="4">
        <v>7.1369999999999996</v>
      </c>
      <c r="BJ49" s="4">
        <v>3.0760000000000001</v>
      </c>
      <c r="BK49" s="4">
        <v>6.84</v>
      </c>
      <c r="BL49" s="4">
        <v>2.3809999999999998</v>
      </c>
      <c r="BM49" s="4">
        <v>1.792</v>
      </c>
      <c r="BN49" s="4">
        <v>4.9130000000000003</v>
      </c>
      <c r="BO49" s="4">
        <v>0.13700000000000001</v>
      </c>
      <c r="BP49" s="4">
        <v>6.4219999999999997</v>
      </c>
      <c r="BQ49" s="4">
        <v>7.907</v>
      </c>
      <c r="BR49" s="4">
        <v>7.1340000000000003</v>
      </c>
      <c r="BS49" s="4">
        <v>9.7200000000000006</v>
      </c>
      <c r="BT49" s="4">
        <v>8.2780000000000005</v>
      </c>
      <c r="BU49" s="4">
        <v>8.3559999999999999</v>
      </c>
      <c r="BV49" s="4">
        <v>7.35</v>
      </c>
      <c r="BW49" s="4">
        <v>5.4809999999999999</v>
      </c>
      <c r="BX49" s="4">
        <v>5.7770000000000001</v>
      </c>
      <c r="BY49" s="4">
        <v>7.306</v>
      </c>
      <c r="BZ49" s="4">
        <v>6.7949999999999999</v>
      </c>
      <c r="CA49" s="4">
        <v>10.185</v>
      </c>
      <c r="CB49" s="4">
        <v>8.1389999999999993</v>
      </c>
      <c r="CC49" s="4">
        <v>3.8159999999999998</v>
      </c>
      <c r="CD49" s="4">
        <v>7.5579999999999998</v>
      </c>
      <c r="CE49" s="4">
        <v>2.8620000000000001</v>
      </c>
      <c r="CF49" s="4">
        <v>5.9420000000000002</v>
      </c>
      <c r="CG49" s="4">
        <v>9.0559999999999992</v>
      </c>
      <c r="CH49" s="4">
        <v>9.4600000000000009</v>
      </c>
      <c r="CI49" s="4">
        <v>5.7839999999999998</v>
      </c>
      <c r="CJ49" s="4">
        <v>2.4260000000000002</v>
      </c>
      <c r="CK49" s="4">
        <v>10.762</v>
      </c>
      <c r="CL49" s="4">
        <v>1.4390000000000001</v>
      </c>
      <c r="CM49" s="4">
        <v>8.6929999999999996</v>
      </c>
      <c r="CN49" s="4">
        <v>7.8929999999999998</v>
      </c>
      <c r="CO49" s="4">
        <v>8.6050000000000004</v>
      </c>
      <c r="CP49" s="4">
        <v>5.399</v>
      </c>
      <c r="CQ49" s="4">
        <v>10.988</v>
      </c>
      <c r="CR49" s="4">
        <v>8.4079999999999995</v>
      </c>
      <c r="CS49" s="4">
        <v>9.8010000000000002</v>
      </c>
      <c r="CT49" s="4">
        <v>9.7620000000000005</v>
      </c>
      <c r="CU49" s="4">
        <v>7.7039999999999997</v>
      </c>
      <c r="CV49" s="4">
        <v>7.4850000000000003</v>
      </c>
      <c r="CW49" s="4">
        <v>6.1639999999999997</v>
      </c>
      <c r="CX49" s="4">
        <v>8.0749999999999993</v>
      </c>
      <c r="CY49" s="4">
        <v>8.5709999999999997</v>
      </c>
      <c r="CZ49" s="4">
        <v>7.7649999999999997</v>
      </c>
      <c r="DA49" s="4">
        <v>0.99</v>
      </c>
      <c r="DB49" s="4">
        <v>7.9050000000000002</v>
      </c>
      <c r="DC49" s="4">
        <v>3.621</v>
      </c>
      <c r="DD49" s="4">
        <v>2.5950000000000002</v>
      </c>
      <c r="DE49" s="4">
        <v>9.673</v>
      </c>
      <c r="DF49" s="4">
        <v>-0.65400000000000003</v>
      </c>
      <c r="DG49" s="4">
        <v>8.5719999999999992</v>
      </c>
      <c r="DH49" s="4">
        <v>9.6560000000000006</v>
      </c>
      <c r="DI49" s="4">
        <v>6.47</v>
      </c>
      <c r="DJ49" s="4">
        <v>10.051</v>
      </c>
      <c r="DK49" s="4">
        <v>7.6669999999999998</v>
      </c>
      <c r="DL49" s="4">
        <v>7.2560000000000002</v>
      </c>
      <c r="DM49" s="4">
        <v>10.762</v>
      </c>
      <c r="DN49" s="4">
        <v>6.9020000000000001</v>
      </c>
      <c r="DO49" s="4">
        <v>8.4359999999999999</v>
      </c>
      <c r="DP49" s="4">
        <v>-0.29399999999999998</v>
      </c>
      <c r="DQ49" s="4">
        <v>7.7370000000000001</v>
      </c>
      <c r="DR49" s="4">
        <v>9.984</v>
      </c>
      <c r="DS49" s="4">
        <v>6.9130000000000003</v>
      </c>
      <c r="DT49" s="4">
        <v>7.0410000000000004</v>
      </c>
      <c r="DU49" s="4">
        <v>5.4580000000000002</v>
      </c>
      <c r="DV49" s="4">
        <v>4.9020000000000001</v>
      </c>
      <c r="DW49" s="4">
        <v>10.035</v>
      </c>
      <c r="DX49" s="4">
        <v>7.2629999999999999</v>
      </c>
      <c r="DY49" s="4">
        <v>7.3639999999999999</v>
      </c>
      <c r="DZ49" s="4">
        <v>9.1620000000000008</v>
      </c>
      <c r="EA49" s="4">
        <v>9.6259999999999994</v>
      </c>
      <c r="EB49" s="4">
        <v>7.3440000000000003</v>
      </c>
      <c r="EC49" s="4">
        <v>0.47199999999999998</v>
      </c>
      <c r="ED49" s="4">
        <v>10.041</v>
      </c>
      <c r="EE49" s="4">
        <v>11.019</v>
      </c>
      <c r="EF49" s="4">
        <v>7.1849999999999996</v>
      </c>
      <c r="EG49" s="4">
        <v>7.1360000000000001</v>
      </c>
      <c r="EH49" s="4">
        <v>4.9400000000000004</v>
      </c>
      <c r="EI49" s="4">
        <v>8.5920000000000005</v>
      </c>
      <c r="EJ49" s="4">
        <v>8.2029999999999994</v>
      </c>
      <c r="EK49" s="4">
        <v>7.61</v>
      </c>
      <c r="EL49" s="4">
        <v>8.6679999999999993</v>
      </c>
      <c r="EM49" s="4">
        <v>8.4610000000000003</v>
      </c>
      <c r="EN49" s="4">
        <v>6.23</v>
      </c>
      <c r="EO49" s="4">
        <v>8.1479999999999997</v>
      </c>
      <c r="EP49" s="4">
        <v>8.56</v>
      </c>
      <c r="EQ49" s="4">
        <v>4.8440000000000003</v>
      </c>
      <c r="ER49" s="4">
        <v>11.061999999999999</v>
      </c>
      <c r="ES49" s="4">
        <v>5.57</v>
      </c>
      <c r="ET49" s="4">
        <v>3.508</v>
      </c>
      <c r="EU49" s="4">
        <v>10.759</v>
      </c>
      <c r="EV49" s="4">
        <v>2.4540000000000002</v>
      </c>
      <c r="EW49" s="4">
        <v>9.5960000000000001</v>
      </c>
      <c r="EX49" s="4">
        <v>1.415</v>
      </c>
      <c r="EY49" s="4">
        <v>7.7880000000000003</v>
      </c>
      <c r="EZ49" s="4">
        <v>11.156000000000001</v>
      </c>
      <c r="FA49" s="4">
        <v>4.2629999999999999</v>
      </c>
      <c r="FB49" s="4">
        <v>8.7110000000000003</v>
      </c>
      <c r="FC49" s="4">
        <v>9.0340000000000007</v>
      </c>
      <c r="FD49" s="4">
        <v>6.7759999999999998</v>
      </c>
      <c r="FE49" s="4">
        <v>8.7080000000000002</v>
      </c>
      <c r="FF49" s="4">
        <v>8.1180000000000003</v>
      </c>
      <c r="FG49" s="4">
        <v>9.3870000000000005</v>
      </c>
      <c r="FH49" s="4">
        <v>9.3520000000000003</v>
      </c>
      <c r="FI49" s="4">
        <v>5.2130000000000001</v>
      </c>
      <c r="FJ49" s="4">
        <v>9.8309999999999995</v>
      </c>
      <c r="FK49" s="4">
        <v>8.1219999999999999</v>
      </c>
      <c r="FL49" s="4">
        <v>8.2050000000000001</v>
      </c>
      <c r="FM49" s="4">
        <v>5.944</v>
      </c>
      <c r="FN49" s="4">
        <v>7.641</v>
      </c>
      <c r="FO49" s="4">
        <v>7.1840000000000002</v>
      </c>
      <c r="FP49" s="4">
        <v>6.194</v>
      </c>
      <c r="FQ49" s="4">
        <v>5.5730000000000004</v>
      </c>
      <c r="FR49" s="4">
        <v>5.42</v>
      </c>
      <c r="FS49" s="4">
        <v>4.6150000000000002</v>
      </c>
      <c r="FT49" s="4">
        <v>7.9589999999999996</v>
      </c>
      <c r="FU49" s="4">
        <v>6.8780000000000001</v>
      </c>
      <c r="FV49" s="4">
        <v>1.841</v>
      </c>
      <c r="FW49" s="4">
        <v>8.7170000000000005</v>
      </c>
      <c r="FX49" s="4">
        <v>7.9059999999999997</v>
      </c>
      <c r="FY49" s="4">
        <v>7.2329999999999997</v>
      </c>
      <c r="FZ49" s="4">
        <v>8.3580000000000005</v>
      </c>
      <c r="GA49" s="4">
        <v>5.4660000000000002</v>
      </c>
      <c r="GB49" s="4">
        <v>10.696</v>
      </c>
      <c r="GC49" s="4">
        <v>8.4090000000000007</v>
      </c>
      <c r="GD49" s="4">
        <v>9.2029999999999994</v>
      </c>
      <c r="GE49" s="4">
        <v>7.3019999999999996</v>
      </c>
      <c r="GF49" s="4">
        <v>9.5289999999999999</v>
      </c>
      <c r="GG49" s="4">
        <v>4.8760000000000003</v>
      </c>
      <c r="GH49" s="4">
        <v>4.8819999999999997</v>
      </c>
      <c r="GI49" s="4">
        <v>9.1</v>
      </c>
      <c r="GJ49" s="4">
        <v>9.1069999999999993</v>
      </c>
      <c r="GK49" s="4">
        <v>9.0020000000000007</v>
      </c>
      <c r="GL49" s="4">
        <v>7.5220000000000002</v>
      </c>
      <c r="GM49" s="4">
        <v>7.3230000000000004</v>
      </c>
      <c r="GN49" s="4">
        <v>3.7919999999999998</v>
      </c>
      <c r="GO49" s="4">
        <v>6.601</v>
      </c>
      <c r="GP49" s="4">
        <v>5.0209999999999999</v>
      </c>
      <c r="GQ49" s="4">
        <v>1.94</v>
      </c>
      <c r="GR49" s="4">
        <v>1.9550000000000001</v>
      </c>
      <c r="GS49" s="4">
        <v>8.4809999999999999</v>
      </c>
      <c r="GT49" s="4">
        <v>0.66600000000000004</v>
      </c>
      <c r="GU49" s="4">
        <v>9.0050000000000008</v>
      </c>
      <c r="GV49" s="4">
        <v>3.238</v>
      </c>
      <c r="GW49" s="4">
        <v>4.8739999999999997</v>
      </c>
      <c r="GX49" s="4">
        <v>1.0149999999999999</v>
      </c>
      <c r="GY49" s="4">
        <v>3.8319999999999999</v>
      </c>
      <c r="GZ49" s="4">
        <v>9.7929999999999993</v>
      </c>
      <c r="HA49" s="4">
        <v>7.7839999999999998</v>
      </c>
      <c r="HB49" s="4">
        <v>6.1849999999999996</v>
      </c>
      <c r="HC49" s="4">
        <v>7.5439999999999996</v>
      </c>
      <c r="HD49" s="4">
        <v>2.9750000000000001</v>
      </c>
      <c r="HE49" s="4">
        <v>5.9770000000000003</v>
      </c>
      <c r="HF49" s="4">
        <v>2.5649999999999999</v>
      </c>
      <c r="HG49" s="4">
        <v>8.7919999999999998</v>
      </c>
      <c r="HH49" s="4">
        <v>5.657</v>
      </c>
      <c r="HI49" s="4">
        <v>7.4539999999999997</v>
      </c>
      <c r="HJ49" s="4">
        <v>7.1779999999999999</v>
      </c>
      <c r="HK49" s="4">
        <v>10.667</v>
      </c>
      <c r="HL49" s="4">
        <v>10.169</v>
      </c>
      <c r="HM49" s="4">
        <v>7.9829999999999997</v>
      </c>
      <c r="HN49" s="4">
        <v>3.5070000000000001</v>
      </c>
      <c r="HO49" s="4">
        <v>6.1189999999999998</v>
      </c>
      <c r="HP49" s="4">
        <v>7.806</v>
      </c>
      <c r="HQ49" s="4">
        <v>10.478</v>
      </c>
      <c r="HR49" s="4">
        <v>6.91</v>
      </c>
      <c r="HS49" s="4">
        <v>5.8609999999999998</v>
      </c>
      <c r="HT49" s="4">
        <v>6.5590000000000002</v>
      </c>
      <c r="HU49" s="4">
        <v>8.077</v>
      </c>
      <c r="HV49" s="4">
        <v>7.3860000000000001</v>
      </c>
      <c r="HW49" s="4">
        <v>3.8</v>
      </c>
      <c r="HX49" s="4">
        <v>7.6180000000000003</v>
      </c>
      <c r="HY49" s="4">
        <v>7.7629999999999999</v>
      </c>
      <c r="HZ49" s="4">
        <v>10.003</v>
      </c>
      <c r="IA49" s="4">
        <v>1.462</v>
      </c>
      <c r="IB49" s="4">
        <v>10.045999999999999</v>
      </c>
      <c r="IC49" s="4">
        <v>10.742000000000001</v>
      </c>
      <c r="ID49" s="4">
        <v>9.0269999999999992</v>
      </c>
      <c r="IE49" s="4">
        <v>7.81</v>
      </c>
      <c r="IF49" s="4">
        <v>7.6619999999999999</v>
      </c>
      <c r="IG49" s="4">
        <v>6.3239999999999998</v>
      </c>
      <c r="IH49" s="4">
        <v>2.54</v>
      </c>
      <c r="II49" s="4">
        <v>1.869</v>
      </c>
      <c r="IJ49" s="4">
        <v>7.2370000000000001</v>
      </c>
      <c r="IK49" s="4">
        <v>8.9920000000000009</v>
      </c>
      <c r="IL49" s="4">
        <v>3.363</v>
      </c>
      <c r="IM49" s="4">
        <v>7.7750000000000004</v>
      </c>
      <c r="IN49" s="4">
        <v>5.8259999999999996</v>
      </c>
      <c r="IO49" s="4">
        <v>6.29</v>
      </c>
      <c r="IP49" s="4">
        <v>6.5279999999999996</v>
      </c>
      <c r="IQ49" s="4">
        <v>10.391999999999999</v>
      </c>
      <c r="IR49" s="4">
        <v>10.647</v>
      </c>
      <c r="IS49" s="4">
        <v>3.2349999999999999</v>
      </c>
      <c r="IT49" s="4">
        <v>7.843</v>
      </c>
      <c r="IU49" s="4">
        <v>3.5390000000000001</v>
      </c>
      <c r="IV49" s="4">
        <v>7.5049999999999999</v>
      </c>
      <c r="IW49" s="4">
        <v>1.8089999999999999</v>
      </c>
      <c r="IX49" s="4">
        <v>8.5449999999999999</v>
      </c>
      <c r="IY49" s="4">
        <v>6.0469999999999997</v>
      </c>
      <c r="IZ49" s="4">
        <v>8.1150000000000002</v>
      </c>
      <c r="JA49" s="4">
        <v>7.6539999999999999</v>
      </c>
      <c r="JB49" s="4">
        <v>6.1920000000000002</v>
      </c>
      <c r="JC49" s="4">
        <v>5.4349999999999996</v>
      </c>
      <c r="JD49" s="4">
        <v>8.6890000000000001</v>
      </c>
      <c r="JE49" s="4">
        <v>10.143000000000001</v>
      </c>
      <c r="JF49" s="4">
        <v>10.16</v>
      </c>
      <c r="JG49" s="4">
        <v>8.0429999999999993</v>
      </c>
      <c r="JH49" s="4">
        <v>9.5830000000000002</v>
      </c>
      <c r="JI49" s="4">
        <v>5.6929999999999996</v>
      </c>
      <c r="JJ49" s="4">
        <v>7.6609999999999996</v>
      </c>
      <c r="JK49" s="4">
        <v>7.6890000000000001</v>
      </c>
      <c r="JL49" s="4">
        <v>11.183999999999999</v>
      </c>
      <c r="JM49" s="4">
        <v>8.3889999999999993</v>
      </c>
      <c r="JN49" s="4">
        <v>7.89</v>
      </c>
      <c r="JO49" s="4">
        <v>7.5940000000000003</v>
      </c>
      <c r="JP49" s="4">
        <v>8.61</v>
      </c>
      <c r="JQ49" s="4">
        <v>8.7799999999999994</v>
      </c>
      <c r="JR49" s="4">
        <v>7.39</v>
      </c>
      <c r="JS49" s="4">
        <v>4.1890000000000001</v>
      </c>
      <c r="JT49" s="4">
        <v>7.5039999999999996</v>
      </c>
      <c r="JU49" s="4">
        <v>7.3659999999999997</v>
      </c>
      <c r="JV49" s="4">
        <v>6.8390000000000004</v>
      </c>
      <c r="JW49" s="4">
        <v>8.5649999999999995</v>
      </c>
      <c r="JX49" s="4">
        <v>7.6959999999999997</v>
      </c>
      <c r="JY49" s="4">
        <v>8.3379999999999992</v>
      </c>
      <c r="JZ49" s="4">
        <v>6.8159999999999998</v>
      </c>
      <c r="KA49" s="4">
        <v>8.4440000000000008</v>
      </c>
      <c r="KB49" s="4">
        <v>3.5569999999999999</v>
      </c>
      <c r="KC49" s="4">
        <v>4.7480000000000002</v>
      </c>
      <c r="KD49" s="4">
        <v>8.2059999999999995</v>
      </c>
      <c r="KE49" s="4">
        <v>10.196</v>
      </c>
      <c r="KF49" s="4">
        <v>7.9370000000000003</v>
      </c>
      <c r="KG49" s="4">
        <v>7.6150000000000002</v>
      </c>
      <c r="KH49" s="4">
        <v>8.1219999999999999</v>
      </c>
      <c r="KI49" s="4">
        <v>7.109</v>
      </c>
      <c r="KJ49" s="4">
        <v>9.1240000000000006</v>
      </c>
      <c r="KK49" s="4">
        <v>8.218</v>
      </c>
      <c r="KL49" s="4">
        <v>7.5830000000000002</v>
      </c>
      <c r="KM49" s="4">
        <v>2.1920000000000002</v>
      </c>
      <c r="KN49" s="4">
        <v>7.9429999999999996</v>
      </c>
      <c r="KO49" s="4">
        <v>2.823</v>
      </c>
      <c r="KP49" s="4">
        <v>7.3360000000000003</v>
      </c>
      <c r="KQ49" s="4">
        <v>8.8520000000000003</v>
      </c>
      <c r="KR49" s="4">
        <v>7.5659999999999998</v>
      </c>
      <c r="KS49" s="4">
        <v>10.728</v>
      </c>
    </row>
    <row r="50" spans="1:305" x14ac:dyDescent="0.25">
      <c r="A50" s="4">
        <v>2017</v>
      </c>
      <c r="B50" s="4">
        <v>11</v>
      </c>
      <c r="C50" s="4">
        <v>-5.282</v>
      </c>
      <c r="D50" s="4">
        <v>3.4540000000000002</v>
      </c>
      <c r="E50" s="4">
        <v>3.5920000000000001</v>
      </c>
      <c r="F50" s="4">
        <v>2.8140000000000001</v>
      </c>
      <c r="G50" s="4">
        <v>3.395</v>
      </c>
      <c r="H50" s="4">
        <v>-1.804</v>
      </c>
      <c r="I50" s="4">
        <v>3.0209999999999999</v>
      </c>
      <c r="J50" s="4">
        <v>-4.6740000000000004</v>
      </c>
      <c r="K50" s="4">
        <v>2.2930000000000001</v>
      </c>
      <c r="L50" s="4">
        <v>5.0830000000000002</v>
      </c>
      <c r="M50" s="4">
        <v>-2.3290000000000002</v>
      </c>
      <c r="N50" s="4">
        <v>2.4830000000000001</v>
      </c>
      <c r="O50" s="4">
        <v>-4.1390000000000002</v>
      </c>
      <c r="P50" s="4">
        <v>1.141</v>
      </c>
      <c r="Q50" s="4">
        <v>-6.9329999999999998</v>
      </c>
      <c r="R50" s="4">
        <v>-5.9649999999999999</v>
      </c>
      <c r="S50" s="4">
        <v>0.72099999999999997</v>
      </c>
      <c r="T50" s="4">
        <v>2.7389999999999999</v>
      </c>
      <c r="U50" s="4">
        <v>2.62</v>
      </c>
      <c r="V50" s="4">
        <v>2.64</v>
      </c>
      <c r="W50" s="4">
        <v>1.0900000000000001</v>
      </c>
      <c r="X50" s="4">
        <v>5.2549999999999999</v>
      </c>
      <c r="Y50" s="4">
        <v>1.6240000000000001</v>
      </c>
      <c r="Z50" s="4">
        <v>-2.9089999999999998</v>
      </c>
      <c r="AA50" s="4">
        <v>5.085</v>
      </c>
      <c r="AB50" s="4">
        <v>-4.4800000000000004</v>
      </c>
      <c r="AC50" s="4">
        <v>2.7349999999999999</v>
      </c>
      <c r="AD50" s="4">
        <v>9.4E-2</v>
      </c>
      <c r="AE50" s="4">
        <v>2.4500000000000002</v>
      </c>
      <c r="AF50" s="4">
        <v>4.883</v>
      </c>
      <c r="AG50" s="4">
        <v>0.68600000000000005</v>
      </c>
      <c r="AH50" s="4">
        <v>3.0390000000000001</v>
      </c>
      <c r="AI50" s="4">
        <v>-2.86</v>
      </c>
      <c r="AJ50" s="4">
        <v>4.0519999999999996</v>
      </c>
      <c r="AK50" s="4">
        <v>4.6840000000000002</v>
      </c>
      <c r="AL50" s="4">
        <v>5.9740000000000002</v>
      </c>
      <c r="AM50" s="4">
        <v>-7.0999999999999994E-2</v>
      </c>
      <c r="AN50" s="4">
        <v>3.472</v>
      </c>
      <c r="AO50" s="4">
        <v>1.629</v>
      </c>
      <c r="AP50" s="4">
        <v>-0.217</v>
      </c>
      <c r="AQ50" s="4">
        <v>-4.9580000000000002</v>
      </c>
      <c r="AR50" s="4">
        <v>-0.317</v>
      </c>
      <c r="AS50" s="4">
        <v>1.758</v>
      </c>
      <c r="AT50" s="4">
        <v>2.298</v>
      </c>
      <c r="AU50" s="4">
        <v>3.302</v>
      </c>
      <c r="AV50" s="4">
        <v>2.4329999999999998</v>
      </c>
      <c r="AW50" s="4">
        <v>2.7290000000000001</v>
      </c>
      <c r="AX50" s="4">
        <v>5.0910000000000002</v>
      </c>
      <c r="AY50" s="4">
        <v>2.5870000000000002</v>
      </c>
      <c r="AZ50" s="4">
        <v>1.141</v>
      </c>
      <c r="BA50" s="4">
        <v>5.36</v>
      </c>
      <c r="BB50" s="4">
        <v>2.2999999999999998</v>
      </c>
      <c r="BC50" s="4">
        <v>7.2220000000000004</v>
      </c>
      <c r="BD50" s="4">
        <v>0.73399999999999999</v>
      </c>
      <c r="BE50" s="4">
        <v>2.484</v>
      </c>
      <c r="BF50" s="4">
        <v>0.92500000000000004</v>
      </c>
      <c r="BG50" s="4">
        <v>1.859</v>
      </c>
      <c r="BH50" s="4">
        <v>2.5</v>
      </c>
      <c r="BI50" s="4">
        <v>2.4380000000000002</v>
      </c>
      <c r="BJ50" s="4">
        <v>-4.4020000000000001</v>
      </c>
      <c r="BK50" s="4">
        <v>1.3180000000000001</v>
      </c>
      <c r="BL50" s="4">
        <v>-4.0960000000000001</v>
      </c>
      <c r="BM50" s="4">
        <v>-5.6760000000000002</v>
      </c>
      <c r="BN50" s="4">
        <v>8.4000000000000005E-2</v>
      </c>
      <c r="BO50" s="4">
        <v>-7.4740000000000002</v>
      </c>
      <c r="BP50" s="4">
        <v>1.911</v>
      </c>
      <c r="BQ50" s="4">
        <v>2.6339999999999999</v>
      </c>
      <c r="BR50" s="4">
        <v>2.6280000000000001</v>
      </c>
      <c r="BS50" s="4">
        <v>4.7229999999999999</v>
      </c>
      <c r="BT50" s="4">
        <v>3.1139999999999999</v>
      </c>
      <c r="BU50" s="4">
        <v>2.8889999999999998</v>
      </c>
      <c r="BV50" s="4">
        <v>3.01</v>
      </c>
      <c r="BW50" s="4">
        <v>9.9000000000000005E-2</v>
      </c>
      <c r="BX50" s="4">
        <v>0.91500000000000004</v>
      </c>
      <c r="BY50" s="4">
        <v>2.39</v>
      </c>
      <c r="BZ50" s="4">
        <v>1.9019999999999999</v>
      </c>
      <c r="CA50" s="4">
        <v>5.141</v>
      </c>
      <c r="CB50" s="4">
        <v>2.923</v>
      </c>
      <c r="CC50" s="4">
        <v>-3.1150000000000002</v>
      </c>
      <c r="CD50" s="4">
        <v>3.1440000000000001</v>
      </c>
      <c r="CE50" s="4">
        <v>-1.9570000000000001</v>
      </c>
      <c r="CF50" s="4">
        <v>0.318</v>
      </c>
      <c r="CG50" s="4">
        <v>3.86</v>
      </c>
      <c r="CH50" s="4">
        <v>3.9470000000000001</v>
      </c>
      <c r="CI50" s="4">
        <v>0.93300000000000005</v>
      </c>
      <c r="CJ50" s="4">
        <v>-4.016</v>
      </c>
      <c r="CK50" s="4">
        <v>5.5780000000000003</v>
      </c>
      <c r="CL50" s="4">
        <v>-5.5250000000000004</v>
      </c>
      <c r="CM50" s="4">
        <v>4.8310000000000004</v>
      </c>
      <c r="CN50" s="4">
        <v>2.5640000000000001</v>
      </c>
      <c r="CO50" s="4">
        <v>3.7480000000000002</v>
      </c>
      <c r="CP50" s="4">
        <v>0.86299999999999999</v>
      </c>
      <c r="CQ50" s="4">
        <v>6.0170000000000003</v>
      </c>
      <c r="CR50" s="4">
        <v>3.14</v>
      </c>
      <c r="CS50" s="4">
        <v>4.4779999999999998</v>
      </c>
      <c r="CT50" s="4">
        <v>4.5670000000000002</v>
      </c>
      <c r="CU50" s="4">
        <v>2.585</v>
      </c>
      <c r="CV50" s="4">
        <v>3.1709999999999998</v>
      </c>
      <c r="CW50" s="4">
        <v>0.80300000000000005</v>
      </c>
      <c r="CX50" s="4">
        <v>2.847</v>
      </c>
      <c r="CY50" s="4">
        <v>3.1680000000000001</v>
      </c>
      <c r="CZ50" s="4">
        <v>3.6309999999999998</v>
      </c>
      <c r="DA50" s="4">
        <v>-7.2809999999999997</v>
      </c>
      <c r="DB50" s="4">
        <v>2.76</v>
      </c>
      <c r="DC50" s="4">
        <v>-3.9580000000000002</v>
      </c>
      <c r="DD50" s="4">
        <v>-3.258</v>
      </c>
      <c r="DE50" s="4">
        <v>4.524</v>
      </c>
      <c r="DF50" s="4">
        <v>-8.6820000000000004</v>
      </c>
      <c r="DG50" s="4">
        <v>3.742</v>
      </c>
      <c r="DH50" s="4">
        <v>4.5709999999999997</v>
      </c>
      <c r="DI50" s="4">
        <v>1.4690000000000001</v>
      </c>
      <c r="DJ50" s="4">
        <v>5.2649999999999997</v>
      </c>
      <c r="DK50" s="4">
        <v>2.4169999999999998</v>
      </c>
      <c r="DL50" s="4">
        <v>2.4159999999999999</v>
      </c>
      <c r="DM50" s="4">
        <v>5.6189999999999998</v>
      </c>
      <c r="DN50" s="4">
        <v>1.2470000000000001</v>
      </c>
      <c r="DO50" s="4">
        <v>3.032</v>
      </c>
      <c r="DP50" s="4">
        <v>-7.51</v>
      </c>
      <c r="DQ50" s="4">
        <v>2.5259999999999998</v>
      </c>
      <c r="DR50" s="4">
        <v>4.5410000000000004</v>
      </c>
      <c r="DS50" s="4">
        <v>2.5819999999999999</v>
      </c>
      <c r="DT50" s="4">
        <v>2.1749999999999998</v>
      </c>
      <c r="DU50" s="4">
        <v>0.44900000000000001</v>
      </c>
      <c r="DV50" s="4">
        <v>-1.323</v>
      </c>
      <c r="DW50" s="4">
        <v>4.7060000000000004</v>
      </c>
      <c r="DX50" s="4">
        <v>2.2829999999999999</v>
      </c>
      <c r="DY50" s="4">
        <v>2.3769999999999998</v>
      </c>
      <c r="DZ50" s="4">
        <v>3.9660000000000002</v>
      </c>
      <c r="EA50" s="4">
        <v>4.6180000000000003</v>
      </c>
      <c r="EB50" s="4">
        <v>2.6459999999999999</v>
      </c>
      <c r="EC50" s="4">
        <v>-7.3849999999999998</v>
      </c>
      <c r="ED50" s="4">
        <v>4.6970000000000001</v>
      </c>
      <c r="EE50" s="4">
        <v>5.9470000000000001</v>
      </c>
      <c r="EF50" s="4">
        <v>2.367</v>
      </c>
      <c r="EG50" s="4">
        <v>2.1520000000000001</v>
      </c>
      <c r="EH50" s="4">
        <v>4.2000000000000003E-2</v>
      </c>
      <c r="EI50" s="4">
        <v>3.258</v>
      </c>
      <c r="EJ50" s="4">
        <v>3.11</v>
      </c>
      <c r="EK50" s="4">
        <v>3.3809999999999998</v>
      </c>
      <c r="EL50" s="4">
        <v>3.3290000000000002</v>
      </c>
      <c r="EM50" s="4">
        <v>3.048</v>
      </c>
      <c r="EN50" s="4">
        <v>1.0840000000000001</v>
      </c>
      <c r="EO50" s="4">
        <v>3.234</v>
      </c>
      <c r="EP50" s="4">
        <v>3.129</v>
      </c>
      <c r="EQ50" s="4">
        <v>-0.93200000000000005</v>
      </c>
      <c r="ER50" s="4">
        <v>5.9880000000000004</v>
      </c>
      <c r="ES50" s="4">
        <v>0.80900000000000005</v>
      </c>
      <c r="ET50" s="4">
        <v>-2.63</v>
      </c>
      <c r="EU50" s="4">
        <v>5.601</v>
      </c>
      <c r="EV50" s="4">
        <v>-5.1319999999999997</v>
      </c>
      <c r="EW50" s="4">
        <v>4.8570000000000002</v>
      </c>
      <c r="EX50" s="4">
        <v>-5.8289999999999997</v>
      </c>
      <c r="EY50" s="4">
        <v>2.8580000000000001</v>
      </c>
      <c r="EZ50" s="4">
        <v>6.1390000000000002</v>
      </c>
      <c r="FA50" s="4">
        <v>-1.3540000000000001</v>
      </c>
      <c r="FB50" s="4">
        <v>3.5790000000000002</v>
      </c>
      <c r="FC50" s="4">
        <v>3.6419999999999999</v>
      </c>
      <c r="FD50" s="4">
        <v>2.391</v>
      </c>
      <c r="FE50" s="4">
        <v>3.1659999999999999</v>
      </c>
      <c r="FF50" s="4">
        <v>3.1749999999999998</v>
      </c>
      <c r="FG50" s="4">
        <v>4.2779999999999996</v>
      </c>
      <c r="FH50" s="4">
        <v>4.0369999999999999</v>
      </c>
      <c r="FI50" s="4">
        <v>-7.2999999999999995E-2</v>
      </c>
      <c r="FJ50" s="4">
        <v>4.9290000000000003</v>
      </c>
      <c r="FK50" s="4">
        <v>3.306</v>
      </c>
      <c r="FL50" s="4">
        <v>3.0680000000000001</v>
      </c>
      <c r="FM50" s="4">
        <v>0.60099999999999998</v>
      </c>
      <c r="FN50" s="4">
        <v>3.37</v>
      </c>
      <c r="FO50" s="4">
        <v>2.121</v>
      </c>
      <c r="FP50" s="4">
        <v>1.282</v>
      </c>
      <c r="FQ50" s="4">
        <v>0.76200000000000001</v>
      </c>
      <c r="FR50" s="4">
        <v>-7.0000000000000007E-2</v>
      </c>
      <c r="FS50" s="4">
        <v>-0.93799999999999994</v>
      </c>
      <c r="FT50" s="4">
        <v>3.0489999999999999</v>
      </c>
      <c r="FU50" s="4">
        <v>2.6989999999999998</v>
      </c>
      <c r="FV50" s="4">
        <v>-4.8710000000000004</v>
      </c>
      <c r="FW50" s="4">
        <v>3.4820000000000002</v>
      </c>
      <c r="FX50" s="4">
        <v>3.07</v>
      </c>
      <c r="FY50" s="4">
        <v>2.7530000000000001</v>
      </c>
      <c r="FZ50" s="4">
        <v>4.0670000000000002</v>
      </c>
      <c r="GA50" s="4">
        <v>0.86299999999999999</v>
      </c>
      <c r="GB50" s="4">
        <v>6.14</v>
      </c>
      <c r="GC50" s="4">
        <v>3.661</v>
      </c>
      <c r="GD50" s="4">
        <v>3.952</v>
      </c>
      <c r="GE50" s="4">
        <v>2.1640000000000001</v>
      </c>
      <c r="GF50" s="4">
        <v>3.9820000000000002</v>
      </c>
      <c r="GG50" s="4">
        <v>-0.93</v>
      </c>
      <c r="GH50" s="4">
        <v>-0.5</v>
      </c>
      <c r="GI50" s="4">
        <v>4.0890000000000004</v>
      </c>
      <c r="GJ50" s="4">
        <v>3.7429999999999999</v>
      </c>
      <c r="GK50" s="4">
        <v>3.4870000000000001</v>
      </c>
      <c r="GL50" s="4">
        <v>3.2280000000000002</v>
      </c>
      <c r="GM50" s="4">
        <v>3.0910000000000002</v>
      </c>
      <c r="GN50" s="4">
        <v>-2.827</v>
      </c>
      <c r="GO50" s="4">
        <v>2.3530000000000002</v>
      </c>
      <c r="GP50" s="4">
        <v>-0.60399999999999998</v>
      </c>
      <c r="GQ50" s="4">
        <v>-5.22</v>
      </c>
      <c r="GR50" s="4">
        <v>-4.5170000000000003</v>
      </c>
      <c r="GS50" s="4">
        <v>3.722</v>
      </c>
      <c r="GT50" s="4">
        <v>-6.4640000000000004</v>
      </c>
      <c r="GU50" s="4">
        <v>3.7879999999999998</v>
      </c>
      <c r="GV50" s="4">
        <v>-2.8119999999999998</v>
      </c>
      <c r="GW50" s="4">
        <v>-6.8000000000000005E-2</v>
      </c>
      <c r="GX50" s="4">
        <v>-4.4039999999999999</v>
      </c>
      <c r="GY50" s="4">
        <v>-1.4059999999999999</v>
      </c>
      <c r="GZ50" s="4">
        <v>4.8330000000000002</v>
      </c>
      <c r="HA50" s="4">
        <v>2.0059999999999998</v>
      </c>
      <c r="HB50" s="4">
        <v>1.4590000000000001</v>
      </c>
      <c r="HC50" s="4">
        <v>3.1859999999999999</v>
      </c>
      <c r="HD50" s="4">
        <v>-2.6150000000000002</v>
      </c>
      <c r="HE50" s="4">
        <v>1.3959999999999999</v>
      </c>
      <c r="HF50" s="4">
        <v>-3.8740000000000001</v>
      </c>
      <c r="HG50" s="4">
        <v>3.4</v>
      </c>
      <c r="HH50" s="4">
        <v>0.84399999999999997</v>
      </c>
      <c r="HI50" s="4">
        <v>2.363</v>
      </c>
      <c r="HJ50" s="4">
        <v>2.9039999999999999</v>
      </c>
      <c r="HK50" s="4">
        <v>5.96</v>
      </c>
      <c r="HL50" s="4">
        <v>5.016</v>
      </c>
      <c r="HM50" s="4">
        <v>2.83</v>
      </c>
      <c r="HN50" s="4">
        <v>-2.4710000000000001</v>
      </c>
      <c r="HO50" s="4">
        <v>1.042</v>
      </c>
      <c r="HP50" s="4">
        <v>2.6629999999999998</v>
      </c>
      <c r="HQ50" s="4">
        <v>5.4859999999999998</v>
      </c>
      <c r="HR50" s="4">
        <v>2.3490000000000002</v>
      </c>
      <c r="HS50" s="4">
        <v>0.98299999999999998</v>
      </c>
      <c r="HT50" s="4">
        <v>1.679</v>
      </c>
      <c r="HU50" s="4">
        <v>3.097</v>
      </c>
      <c r="HV50" s="4">
        <v>2.948</v>
      </c>
      <c r="HW50" s="4">
        <v>-3.1989999999999998</v>
      </c>
      <c r="HX50" s="4">
        <v>3.5110000000000001</v>
      </c>
      <c r="HY50" s="4">
        <v>3.5910000000000002</v>
      </c>
      <c r="HZ50" s="4">
        <v>5.0279999999999996</v>
      </c>
      <c r="IA50" s="4">
        <v>-6.915</v>
      </c>
      <c r="IB50" s="4">
        <v>5.5380000000000003</v>
      </c>
      <c r="IC50" s="4">
        <v>5.5659999999999998</v>
      </c>
      <c r="ID50" s="4">
        <v>3.9630000000000001</v>
      </c>
      <c r="IE50" s="4">
        <v>3.6480000000000001</v>
      </c>
      <c r="IF50" s="4">
        <v>3.4239999999999999</v>
      </c>
      <c r="IG50" s="4">
        <v>1.2909999999999999</v>
      </c>
      <c r="IH50" s="4">
        <v>-4.3849999999999998</v>
      </c>
      <c r="II50" s="4">
        <v>-5.9089999999999998</v>
      </c>
      <c r="IJ50" s="4">
        <v>2.62</v>
      </c>
      <c r="IK50" s="4">
        <v>4.1749999999999998</v>
      </c>
      <c r="IL50" s="4">
        <v>-4.0970000000000004</v>
      </c>
      <c r="IM50" s="4">
        <v>3.625</v>
      </c>
      <c r="IN50" s="4">
        <v>-0.25600000000000001</v>
      </c>
      <c r="IO50" s="4">
        <v>0.76100000000000001</v>
      </c>
      <c r="IP50" s="4">
        <v>1.6180000000000001</v>
      </c>
      <c r="IQ50" s="4">
        <v>5.1449999999999996</v>
      </c>
      <c r="IR50" s="4">
        <v>5.4630000000000001</v>
      </c>
      <c r="IS50" s="4">
        <v>-2.544</v>
      </c>
      <c r="IT50" s="4">
        <v>2.5710000000000002</v>
      </c>
      <c r="IU50" s="4">
        <v>-2.863</v>
      </c>
      <c r="IV50" s="4">
        <v>3.367</v>
      </c>
      <c r="IW50" s="4">
        <v>-4.6849999999999996</v>
      </c>
      <c r="IX50" s="4">
        <v>3.65</v>
      </c>
      <c r="IY50" s="4">
        <v>1.524</v>
      </c>
      <c r="IZ50" s="4">
        <v>2.97</v>
      </c>
      <c r="JA50" s="4">
        <v>2.5030000000000001</v>
      </c>
      <c r="JB50" s="4">
        <v>1.6719999999999999</v>
      </c>
      <c r="JC50" s="4">
        <v>-0.95599999999999996</v>
      </c>
      <c r="JD50" s="4">
        <v>3.4990000000000001</v>
      </c>
      <c r="JE50" s="4">
        <v>5.5339999999999998</v>
      </c>
      <c r="JF50" s="4">
        <v>5.0449999999999999</v>
      </c>
      <c r="JG50" s="4">
        <v>2.8119999999999998</v>
      </c>
      <c r="JH50" s="4">
        <v>4.4870000000000001</v>
      </c>
      <c r="JI50" s="4">
        <v>6.7000000000000004E-2</v>
      </c>
      <c r="JJ50" s="4">
        <v>2.7229999999999999</v>
      </c>
      <c r="JK50" s="4">
        <v>2.4460000000000002</v>
      </c>
      <c r="JL50" s="4">
        <v>6.4429999999999996</v>
      </c>
      <c r="JM50" s="4">
        <v>2.8130000000000002</v>
      </c>
      <c r="JN50" s="4">
        <v>3.3639999999999999</v>
      </c>
      <c r="JO50" s="4">
        <v>3.254</v>
      </c>
      <c r="JP50" s="4">
        <v>3.4580000000000002</v>
      </c>
      <c r="JQ50" s="4">
        <v>3.3639999999999999</v>
      </c>
      <c r="JR50" s="4">
        <v>2.2570000000000001</v>
      </c>
      <c r="JS50" s="4">
        <v>-0.96699999999999997</v>
      </c>
      <c r="JT50" s="4">
        <v>3.26</v>
      </c>
      <c r="JU50" s="4">
        <v>3.238</v>
      </c>
      <c r="JV50" s="4">
        <v>2.4289999999999998</v>
      </c>
      <c r="JW50" s="4">
        <v>3.7839999999999998</v>
      </c>
      <c r="JX50" s="4">
        <v>2.419</v>
      </c>
      <c r="JY50" s="4">
        <v>3.0859999999999999</v>
      </c>
      <c r="JZ50" s="4">
        <v>2.68</v>
      </c>
      <c r="KA50" s="4">
        <v>2.8969999999999998</v>
      </c>
      <c r="KB50" s="4">
        <v>-2.1360000000000001</v>
      </c>
      <c r="KC50" s="4">
        <v>-0.50800000000000001</v>
      </c>
      <c r="KD50" s="4">
        <v>2.9089999999999998</v>
      </c>
      <c r="KE50" s="4">
        <v>5.5229999999999997</v>
      </c>
      <c r="KF50" s="4">
        <v>2.528</v>
      </c>
      <c r="KG50" s="4">
        <v>3.2930000000000001</v>
      </c>
      <c r="KH50" s="4">
        <v>2.835</v>
      </c>
      <c r="KI50" s="4">
        <v>2.4039999999999999</v>
      </c>
      <c r="KJ50" s="4">
        <v>3.8580000000000001</v>
      </c>
      <c r="KK50" s="4">
        <v>3.0459999999999998</v>
      </c>
      <c r="KL50" s="4">
        <v>2.544</v>
      </c>
      <c r="KM50" s="4">
        <v>-5.8810000000000002</v>
      </c>
      <c r="KN50" s="4">
        <v>2.7490000000000001</v>
      </c>
      <c r="KO50" s="4">
        <v>-3.4380000000000002</v>
      </c>
      <c r="KP50" s="4">
        <v>2.415</v>
      </c>
      <c r="KQ50" s="4">
        <v>5.0419999999999998</v>
      </c>
      <c r="KR50" s="4">
        <v>2.5169999999999999</v>
      </c>
      <c r="KS50" s="4">
        <v>6.1420000000000003</v>
      </c>
    </row>
    <row r="51" spans="1:305" x14ac:dyDescent="0.25">
      <c r="A51" s="4">
        <v>2017</v>
      </c>
      <c r="B51" s="4">
        <v>12</v>
      </c>
      <c r="C51" s="4">
        <v>-8.7910000000000004</v>
      </c>
      <c r="D51" s="4">
        <v>1.109</v>
      </c>
      <c r="E51" s="4">
        <v>2.5150000000000001</v>
      </c>
      <c r="F51" s="4">
        <v>1.88</v>
      </c>
      <c r="G51" s="4">
        <v>1.91</v>
      </c>
      <c r="H51" s="4">
        <v>-5.9390000000000001</v>
      </c>
      <c r="I51" s="4">
        <v>1.663</v>
      </c>
      <c r="J51" s="4">
        <v>-8.7680000000000007</v>
      </c>
      <c r="K51" s="4">
        <v>0.92</v>
      </c>
      <c r="L51" s="4">
        <v>3.2040000000000002</v>
      </c>
      <c r="M51" s="4">
        <v>-5.8810000000000002</v>
      </c>
      <c r="N51" s="4">
        <v>0.52900000000000003</v>
      </c>
      <c r="O51" s="4">
        <v>-5.4939999999999998</v>
      </c>
      <c r="P51" s="4">
        <v>-0.61499999999999999</v>
      </c>
      <c r="Q51" s="4">
        <v>-8.8960000000000008</v>
      </c>
      <c r="R51" s="4">
        <v>-7.593</v>
      </c>
      <c r="S51" s="4">
        <v>-1.81</v>
      </c>
      <c r="T51" s="4">
        <v>1.2290000000000001</v>
      </c>
      <c r="U51" s="4">
        <v>1.1279999999999999</v>
      </c>
      <c r="V51" s="4">
        <v>1.3009999999999999</v>
      </c>
      <c r="W51" s="4">
        <v>-1.036</v>
      </c>
      <c r="X51" s="4">
        <v>3.246</v>
      </c>
      <c r="Y51" s="4">
        <v>0.35</v>
      </c>
      <c r="Z51" s="4">
        <v>-5.258</v>
      </c>
      <c r="AA51" s="4">
        <v>3.2759999999999998</v>
      </c>
      <c r="AB51" s="4">
        <v>-9.3640000000000008</v>
      </c>
      <c r="AC51" s="4">
        <v>1.8120000000000001</v>
      </c>
      <c r="AD51" s="4">
        <v>-3.1459999999999999</v>
      </c>
      <c r="AE51" s="4">
        <v>1.45</v>
      </c>
      <c r="AF51" s="4">
        <v>2.8540000000000001</v>
      </c>
      <c r="AG51" s="4">
        <v>-1.92</v>
      </c>
      <c r="AH51" s="4">
        <v>0.86099999999999999</v>
      </c>
      <c r="AI51" s="4">
        <v>-5.6740000000000004</v>
      </c>
      <c r="AJ51" s="4">
        <v>2.476</v>
      </c>
      <c r="AK51" s="4">
        <v>3.1560000000000001</v>
      </c>
      <c r="AL51" s="4">
        <v>4.0119999999999996</v>
      </c>
      <c r="AM51" s="4">
        <v>-3.2639999999999998</v>
      </c>
      <c r="AN51" s="4">
        <v>1.157</v>
      </c>
      <c r="AO51" s="4">
        <v>0.25800000000000001</v>
      </c>
      <c r="AP51" s="4">
        <v>-3.528</v>
      </c>
      <c r="AQ51" s="4">
        <v>-6.7649999999999997</v>
      </c>
      <c r="AR51" s="4">
        <v>-3.9430000000000001</v>
      </c>
      <c r="AS51" s="4">
        <v>0.46200000000000002</v>
      </c>
      <c r="AT51" s="4">
        <v>0.878</v>
      </c>
      <c r="AU51" s="4">
        <v>1.8109999999999999</v>
      </c>
      <c r="AV51" s="4">
        <v>0.17</v>
      </c>
      <c r="AW51" s="4">
        <v>0.54</v>
      </c>
      <c r="AX51" s="4">
        <v>3.3079999999999998</v>
      </c>
      <c r="AY51" s="4">
        <v>1.6080000000000001</v>
      </c>
      <c r="AZ51" s="4">
        <v>-0.86899999999999999</v>
      </c>
      <c r="BA51" s="4">
        <v>3.5030000000000001</v>
      </c>
      <c r="BB51" s="4">
        <v>1.036</v>
      </c>
      <c r="BC51" s="4">
        <v>4.6900000000000004</v>
      </c>
      <c r="BD51" s="4">
        <v>-2.12</v>
      </c>
      <c r="BE51" s="4">
        <v>1.2130000000000001</v>
      </c>
      <c r="BF51" s="4">
        <v>-1.1970000000000001</v>
      </c>
      <c r="BG51" s="4">
        <v>-0.42799999999999999</v>
      </c>
      <c r="BH51" s="4">
        <v>0.91</v>
      </c>
      <c r="BI51" s="4">
        <v>0.504</v>
      </c>
      <c r="BJ51" s="4">
        <v>-5.5990000000000002</v>
      </c>
      <c r="BK51" s="4">
        <v>-0.83699999999999997</v>
      </c>
      <c r="BL51" s="4">
        <v>-6.0129999999999999</v>
      </c>
      <c r="BM51" s="4">
        <v>-7.2969999999999997</v>
      </c>
      <c r="BN51" s="4">
        <v>-2.5550000000000002</v>
      </c>
      <c r="BO51" s="4">
        <v>-10.848000000000001</v>
      </c>
      <c r="BP51" s="4">
        <v>-0.33200000000000002</v>
      </c>
      <c r="BQ51" s="4">
        <v>1.446</v>
      </c>
      <c r="BR51" s="4">
        <v>0.50800000000000001</v>
      </c>
      <c r="BS51" s="4">
        <v>3.3079999999999998</v>
      </c>
      <c r="BT51" s="4">
        <v>1.7430000000000001</v>
      </c>
      <c r="BU51" s="4">
        <v>1.75</v>
      </c>
      <c r="BV51" s="4">
        <v>0.68700000000000006</v>
      </c>
      <c r="BW51" s="4">
        <v>-2.629</v>
      </c>
      <c r="BX51" s="4">
        <v>-1.1839999999999999</v>
      </c>
      <c r="BY51" s="4">
        <v>0.93</v>
      </c>
      <c r="BZ51" s="4">
        <v>-0.13800000000000001</v>
      </c>
      <c r="CA51" s="4">
        <v>3.254</v>
      </c>
      <c r="CB51" s="4">
        <v>0.97</v>
      </c>
      <c r="CC51" s="4">
        <v>-5.7750000000000004</v>
      </c>
      <c r="CD51" s="4">
        <v>1.131</v>
      </c>
      <c r="CE51" s="4">
        <v>-7.0629999999999997</v>
      </c>
      <c r="CF51" s="4">
        <v>-1.9059999999999999</v>
      </c>
      <c r="CG51" s="4">
        <v>2.6960000000000002</v>
      </c>
      <c r="CH51" s="4">
        <v>2.4540000000000002</v>
      </c>
      <c r="CI51" s="4">
        <v>-1.343</v>
      </c>
      <c r="CJ51" s="4">
        <v>-7.5010000000000003</v>
      </c>
      <c r="CK51" s="4">
        <v>3.6669999999999998</v>
      </c>
      <c r="CL51" s="4">
        <v>-6.641</v>
      </c>
      <c r="CM51" s="4">
        <v>3.0939999999999999</v>
      </c>
      <c r="CN51" s="4">
        <v>1.454</v>
      </c>
      <c r="CO51" s="4">
        <v>2.294</v>
      </c>
      <c r="CP51" s="4">
        <v>-1.623</v>
      </c>
      <c r="CQ51" s="4">
        <v>3.8359999999999999</v>
      </c>
      <c r="CR51" s="4">
        <v>1.7330000000000001</v>
      </c>
      <c r="CS51" s="4">
        <v>2.8380000000000001</v>
      </c>
      <c r="CT51" s="4">
        <v>2.8330000000000002</v>
      </c>
      <c r="CU51" s="4">
        <v>1.3</v>
      </c>
      <c r="CV51" s="4">
        <v>0.99399999999999999</v>
      </c>
      <c r="CW51" s="4">
        <v>-1.639</v>
      </c>
      <c r="CX51" s="4">
        <v>1.4630000000000001</v>
      </c>
      <c r="CY51" s="4">
        <v>1.982</v>
      </c>
      <c r="CZ51" s="4">
        <v>1.2609999999999999</v>
      </c>
      <c r="DA51" s="4">
        <v>-10.444000000000001</v>
      </c>
      <c r="DB51" s="4">
        <v>1.3640000000000001</v>
      </c>
      <c r="DC51" s="4">
        <v>-6.3970000000000002</v>
      </c>
      <c r="DD51" s="4">
        <v>-8.3719999999999999</v>
      </c>
      <c r="DE51" s="4">
        <v>2.7389999999999999</v>
      </c>
      <c r="DF51" s="4">
        <v>-13.363</v>
      </c>
      <c r="DG51" s="4">
        <v>2.2250000000000001</v>
      </c>
      <c r="DH51" s="4">
        <v>3.0289999999999999</v>
      </c>
      <c r="DI51" s="4">
        <v>-2.5999999999999999E-2</v>
      </c>
      <c r="DJ51" s="4">
        <v>3.5550000000000002</v>
      </c>
      <c r="DK51" s="4">
        <v>0.40799999999999997</v>
      </c>
      <c r="DL51" s="4">
        <v>0.57599999999999996</v>
      </c>
      <c r="DM51" s="4">
        <v>3.7589999999999999</v>
      </c>
      <c r="DN51" s="4">
        <v>-0.9</v>
      </c>
      <c r="DO51" s="4">
        <v>2.0289999999999999</v>
      </c>
      <c r="DP51" s="4">
        <v>-10.763</v>
      </c>
      <c r="DQ51" s="4">
        <v>1.266</v>
      </c>
      <c r="DR51" s="4">
        <v>2.855</v>
      </c>
      <c r="DS51" s="4">
        <v>0.19500000000000001</v>
      </c>
      <c r="DT51" s="4">
        <v>0.16500000000000001</v>
      </c>
      <c r="DU51" s="4">
        <v>-1.589</v>
      </c>
      <c r="DV51" s="4">
        <v>-4.0119999999999996</v>
      </c>
      <c r="DW51" s="4">
        <v>3.2229999999999999</v>
      </c>
      <c r="DX51" s="4">
        <v>0.56699999999999995</v>
      </c>
      <c r="DY51" s="4">
        <v>0.90900000000000003</v>
      </c>
      <c r="DZ51" s="4">
        <v>2.7890000000000001</v>
      </c>
      <c r="EA51" s="4">
        <v>3.1949999999999998</v>
      </c>
      <c r="EB51" s="4">
        <v>0.55900000000000005</v>
      </c>
      <c r="EC51" s="4">
        <v>-10.641</v>
      </c>
      <c r="ED51" s="4">
        <v>2.9140000000000001</v>
      </c>
      <c r="EE51" s="4">
        <v>3.988</v>
      </c>
      <c r="EF51" s="4">
        <v>1.0349999999999999</v>
      </c>
      <c r="EG51" s="4">
        <v>0.754</v>
      </c>
      <c r="EH51" s="4">
        <v>-2.6989999999999998</v>
      </c>
      <c r="EI51" s="4">
        <v>2.2509999999999999</v>
      </c>
      <c r="EJ51" s="4">
        <v>1.6739999999999999</v>
      </c>
      <c r="EK51" s="4">
        <v>1.109</v>
      </c>
      <c r="EL51" s="4">
        <v>1.9059999999999999</v>
      </c>
      <c r="EM51" s="4">
        <v>1.964</v>
      </c>
      <c r="EN51" s="4">
        <v>-0.55200000000000005</v>
      </c>
      <c r="EO51" s="4">
        <v>1.677</v>
      </c>
      <c r="EP51" s="4">
        <v>1.8480000000000001</v>
      </c>
      <c r="EQ51" s="4">
        <v>-4.8760000000000003</v>
      </c>
      <c r="ER51" s="4">
        <v>4.0289999999999999</v>
      </c>
      <c r="ES51" s="4">
        <v>-1.4039999999999999</v>
      </c>
      <c r="ET51" s="4">
        <v>-7.0609999999999999</v>
      </c>
      <c r="EU51" s="4">
        <v>3.7210000000000001</v>
      </c>
      <c r="EV51" s="4">
        <v>-7.3940000000000001</v>
      </c>
      <c r="EW51" s="4">
        <v>3.0739999999999998</v>
      </c>
      <c r="EX51" s="4">
        <v>-7.4420000000000002</v>
      </c>
      <c r="EY51" s="4">
        <v>1.361</v>
      </c>
      <c r="EZ51" s="4">
        <v>4.0880000000000001</v>
      </c>
      <c r="FA51" s="4">
        <v>-5.0019999999999998</v>
      </c>
      <c r="FB51" s="4">
        <v>2.1720000000000002</v>
      </c>
      <c r="FC51" s="4">
        <v>2.0779999999999998</v>
      </c>
      <c r="FD51" s="4">
        <v>1.4999999999999999E-2</v>
      </c>
      <c r="FE51" s="4">
        <v>1.7749999999999999</v>
      </c>
      <c r="FF51" s="4">
        <v>1.704</v>
      </c>
      <c r="FG51" s="4">
        <v>2.9950000000000001</v>
      </c>
      <c r="FH51" s="4">
        <v>2.3290000000000002</v>
      </c>
      <c r="FI51" s="4">
        <v>-3.9209999999999998</v>
      </c>
      <c r="FJ51" s="4">
        <v>3.069</v>
      </c>
      <c r="FK51" s="4">
        <v>1.845</v>
      </c>
      <c r="FL51" s="4">
        <v>1.639</v>
      </c>
      <c r="FM51" s="4">
        <v>-1.738</v>
      </c>
      <c r="FN51" s="4">
        <v>1.119</v>
      </c>
      <c r="FO51" s="4">
        <v>0.71499999999999997</v>
      </c>
      <c r="FP51" s="4">
        <v>-0.307</v>
      </c>
      <c r="FQ51" s="4">
        <v>-1.6459999999999999</v>
      </c>
      <c r="FR51" s="4">
        <v>-2.3130000000000002</v>
      </c>
      <c r="FS51" s="4">
        <v>-3.4790000000000001</v>
      </c>
      <c r="FT51" s="4">
        <v>1.306</v>
      </c>
      <c r="FU51" s="4">
        <v>0.35199999999999998</v>
      </c>
      <c r="FV51" s="4">
        <v>-6.8529999999999998</v>
      </c>
      <c r="FW51" s="4">
        <v>1.9279999999999999</v>
      </c>
      <c r="FX51" s="4">
        <v>1.1379999999999999</v>
      </c>
      <c r="FY51" s="4">
        <v>0.52600000000000002</v>
      </c>
      <c r="FZ51" s="4">
        <v>2.0030000000000001</v>
      </c>
      <c r="GA51" s="4">
        <v>-1.679</v>
      </c>
      <c r="GB51" s="4">
        <v>4.2809999999999997</v>
      </c>
      <c r="GC51" s="4">
        <v>2.1760000000000002</v>
      </c>
      <c r="GD51" s="4">
        <v>2.4239999999999999</v>
      </c>
      <c r="GE51" s="4">
        <v>0.65300000000000002</v>
      </c>
      <c r="GF51" s="4">
        <v>2.411</v>
      </c>
      <c r="GG51" s="4">
        <v>-3.4</v>
      </c>
      <c r="GH51" s="4">
        <v>-4.49</v>
      </c>
      <c r="GI51" s="4">
        <v>2.5339999999999998</v>
      </c>
      <c r="GJ51" s="4">
        <v>2.1619999999999999</v>
      </c>
      <c r="GK51" s="4">
        <v>1.8640000000000001</v>
      </c>
      <c r="GL51" s="4">
        <v>0.999</v>
      </c>
      <c r="GM51" s="4">
        <v>0.84399999999999997</v>
      </c>
      <c r="GN51" s="4">
        <v>-4.8079999999999998</v>
      </c>
      <c r="GO51" s="4">
        <v>-6.6000000000000003E-2</v>
      </c>
      <c r="GP51" s="4">
        <v>-4.6589999999999998</v>
      </c>
      <c r="GQ51" s="4">
        <v>-10.593</v>
      </c>
      <c r="GR51" s="4">
        <v>-10.117000000000001</v>
      </c>
      <c r="GS51" s="4">
        <v>1.7470000000000001</v>
      </c>
      <c r="GT51" s="4">
        <v>-11.643000000000001</v>
      </c>
      <c r="GU51" s="4">
        <v>2.6579999999999999</v>
      </c>
      <c r="GV51" s="4">
        <v>-6.5609999999999999</v>
      </c>
      <c r="GW51" s="4">
        <v>-3.0790000000000002</v>
      </c>
      <c r="GX51" s="4">
        <v>-7.8920000000000003</v>
      </c>
      <c r="GY51" s="4">
        <v>-4.17</v>
      </c>
      <c r="GZ51" s="4">
        <v>3.258</v>
      </c>
      <c r="HA51" s="4">
        <v>0.52800000000000002</v>
      </c>
      <c r="HB51" s="4">
        <v>-0.65400000000000003</v>
      </c>
      <c r="HC51" s="4">
        <v>0.88100000000000001</v>
      </c>
      <c r="HD51" s="4">
        <v>-5.8440000000000003</v>
      </c>
      <c r="HE51" s="4">
        <v>-0.89200000000000002</v>
      </c>
      <c r="HF51" s="4">
        <v>-8.8829999999999991</v>
      </c>
      <c r="HG51" s="4">
        <v>1.984</v>
      </c>
      <c r="HH51" s="4">
        <v>-1.5669999999999999</v>
      </c>
      <c r="HI51" s="4">
        <v>1.024</v>
      </c>
      <c r="HJ51" s="4">
        <v>0.55400000000000005</v>
      </c>
      <c r="HK51" s="4">
        <v>4.0620000000000003</v>
      </c>
      <c r="HL51" s="4">
        <v>3.1080000000000001</v>
      </c>
      <c r="HM51" s="4">
        <v>1.4930000000000001</v>
      </c>
      <c r="HN51" s="4">
        <v>-5.1109999999999998</v>
      </c>
      <c r="HO51" s="4">
        <v>-0.81</v>
      </c>
      <c r="HP51" s="4">
        <v>1.36</v>
      </c>
      <c r="HQ51" s="4">
        <v>3.5640000000000001</v>
      </c>
      <c r="HR51" s="4">
        <v>0.11799999999999999</v>
      </c>
      <c r="HS51" s="4">
        <v>-1.212</v>
      </c>
      <c r="HT51" s="4">
        <v>-0.97599999999999998</v>
      </c>
      <c r="HU51" s="4">
        <v>1.4530000000000001</v>
      </c>
      <c r="HV51" s="4">
        <v>0.68799999999999994</v>
      </c>
      <c r="HW51" s="4">
        <v>-5.577</v>
      </c>
      <c r="HX51" s="4">
        <v>1.1579999999999999</v>
      </c>
      <c r="HY51" s="4">
        <v>1.246</v>
      </c>
      <c r="HZ51" s="4">
        <v>3.3940000000000001</v>
      </c>
      <c r="IA51" s="4">
        <v>-8.391</v>
      </c>
      <c r="IB51" s="4">
        <v>3.6120000000000001</v>
      </c>
      <c r="IC51" s="4">
        <v>3.6819999999999999</v>
      </c>
      <c r="ID51" s="4">
        <v>2.613</v>
      </c>
      <c r="IE51" s="4">
        <v>1.2829999999999999</v>
      </c>
      <c r="IF51" s="4">
        <v>1.139</v>
      </c>
      <c r="IG51" s="4">
        <v>-0.58499999999999996</v>
      </c>
      <c r="IH51" s="4">
        <v>-5.3129999999999997</v>
      </c>
      <c r="II51" s="4">
        <v>-7.5880000000000001</v>
      </c>
      <c r="IJ51" s="4">
        <v>0.39200000000000002</v>
      </c>
      <c r="IK51" s="4">
        <v>2.0779999999999998</v>
      </c>
      <c r="IL51" s="4">
        <v>-5.569</v>
      </c>
      <c r="IM51" s="4">
        <v>1.2669999999999999</v>
      </c>
      <c r="IN51" s="4">
        <v>-2.746</v>
      </c>
      <c r="IO51" s="4">
        <v>-1.907</v>
      </c>
      <c r="IP51" s="4">
        <v>-0.39700000000000002</v>
      </c>
      <c r="IQ51" s="4">
        <v>3.387</v>
      </c>
      <c r="IR51" s="4">
        <v>3.6110000000000002</v>
      </c>
      <c r="IS51" s="4">
        <v>-7.49</v>
      </c>
      <c r="IT51" s="4">
        <v>1.5069999999999999</v>
      </c>
      <c r="IU51" s="4">
        <v>-6.3780000000000001</v>
      </c>
      <c r="IV51" s="4">
        <v>1.054</v>
      </c>
      <c r="IW51" s="4">
        <v>-6.5670000000000002</v>
      </c>
      <c r="IX51" s="4">
        <v>1.825</v>
      </c>
      <c r="IY51" s="4">
        <v>-0.68200000000000005</v>
      </c>
      <c r="IZ51" s="4">
        <v>1.71</v>
      </c>
      <c r="JA51" s="4">
        <v>1.123</v>
      </c>
      <c r="JB51" s="4">
        <v>-0.51400000000000001</v>
      </c>
      <c r="JC51" s="4">
        <v>-3.5590000000000002</v>
      </c>
      <c r="JD51" s="4">
        <v>1.99</v>
      </c>
      <c r="JE51" s="4">
        <v>3.7879999999999998</v>
      </c>
      <c r="JF51" s="4">
        <v>3.266</v>
      </c>
      <c r="JG51" s="4">
        <v>1.569</v>
      </c>
      <c r="JH51" s="4">
        <v>2.8069999999999999</v>
      </c>
      <c r="JI51" s="4">
        <v>-3.4380000000000002</v>
      </c>
      <c r="JJ51" s="4">
        <v>1.2250000000000001</v>
      </c>
      <c r="JK51" s="4">
        <v>1.329</v>
      </c>
      <c r="JL51" s="4">
        <v>4.3129999999999997</v>
      </c>
      <c r="JM51" s="4">
        <v>1.7210000000000001</v>
      </c>
      <c r="JN51" s="4">
        <v>1.2629999999999999</v>
      </c>
      <c r="JO51" s="4">
        <v>1.109</v>
      </c>
      <c r="JP51" s="4">
        <v>2.004</v>
      </c>
      <c r="JQ51" s="4">
        <v>2.2599999999999998</v>
      </c>
      <c r="JR51" s="4">
        <v>1.0169999999999999</v>
      </c>
      <c r="JS51" s="4">
        <v>-3.786</v>
      </c>
      <c r="JT51" s="4">
        <v>0.92200000000000004</v>
      </c>
      <c r="JU51" s="4">
        <v>0.9</v>
      </c>
      <c r="JV51" s="4">
        <v>5.0999999999999997E-2</v>
      </c>
      <c r="JW51" s="4">
        <v>2.2789999999999999</v>
      </c>
      <c r="JX51" s="4">
        <v>1.2310000000000001</v>
      </c>
      <c r="JY51" s="4">
        <v>1.556</v>
      </c>
      <c r="JZ51" s="4">
        <v>0.38600000000000001</v>
      </c>
      <c r="KA51" s="4">
        <v>1.6839999999999999</v>
      </c>
      <c r="KB51" s="4">
        <v>-4.7640000000000002</v>
      </c>
      <c r="KC51" s="4">
        <v>-3.5590000000000002</v>
      </c>
      <c r="KD51" s="4">
        <v>1.6659999999999999</v>
      </c>
      <c r="KE51" s="4">
        <v>3.6219999999999999</v>
      </c>
      <c r="KF51" s="4">
        <v>1.538</v>
      </c>
      <c r="KG51" s="4">
        <v>1.1040000000000001</v>
      </c>
      <c r="KH51" s="4">
        <v>1.583</v>
      </c>
      <c r="KI51" s="4">
        <v>0.216</v>
      </c>
      <c r="KJ51" s="4">
        <v>2.3170000000000002</v>
      </c>
      <c r="KK51" s="4">
        <v>1.6160000000000001</v>
      </c>
      <c r="KL51" s="4">
        <v>1.0589999999999999</v>
      </c>
      <c r="KM51" s="4">
        <v>-7.5330000000000004</v>
      </c>
      <c r="KN51" s="4">
        <v>1.3859999999999999</v>
      </c>
      <c r="KO51" s="4">
        <v>-6.2720000000000002</v>
      </c>
      <c r="KP51" s="4">
        <v>0.57499999999999996</v>
      </c>
      <c r="KQ51" s="4">
        <v>3.0960000000000001</v>
      </c>
      <c r="KR51" s="4">
        <v>1.133</v>
      </c>
      <c r="KS51" s="4">
        <v>4.0880000000000001</v>
      </c>
    </row>
    <row r="52" spans="1:305" x14ac:dyDescent="0.25">
      <c r="A52" s="4">
        <v>2018</v>
      </c>
      <c r="B52" s="4">
        <v>1</v>
      </c>
      <c r="C52" s="4">
        <v>-12.717000000000001</v>
      </c>
      <c r="D52" s="4">
        <v>-0.36599999999999999</v>
      </c>
      <c r="E52" s="4">
        <v>1.1539999999999999</v>
      </c>
      <c r="F52" s="4">
        <v>0.52</v>
      </c>
      <c r="G52" s="4">
        <v>0.68</v>
      </c>
      <c r="H52" s="4">
        <v>-7.0190000000000001</v>
      </c>
      <c r="I52" s="4">
        <v>0.317</v>
      </c>
      <c r="J52" s="4">
        <v>-11.536</v>
      </c>
      <c r="K52" s="4">
        <v>-0.253</v>
      </c>
      <c r="L52" s="4">
        <v>2.0739999999999998</v>
      </c>
      <c r="M52" s="4">
        <v>-8.4930000000000003</v>
      </c>
      <c r="N52" s="4">
        <v>-1.2529999999999999</v>
      </c>
      <c r="O52" s="4">
        <v>-7.694</v>
      </c>
      <c r="P52" s="4">
        <v>-1.6379999999999999</v>
      </c>
      <c r="Q52" s="4">
        <v>-12.814</v>
      </c>
      <c r="R52" s="4">
        <v>-11.388999999999999</v>
      </c>
      <c r="S52" s="4">
        <v>-1.806</v>
      </c>
      <c r="T52" s="4">
        <v>-0.32900000000000001</v>
      </c>
      <c r="U52" s="4">
        <v>-0.67800000000000005</v>
      </c>
      <c r="V52" s="4">
        <v>-0.373</v>
      </c>
      <c r="W52" s="4">
        <v>-2.9780000000000002</v>
      </c>
      <c r="X52" s="4">
        <v>1.946</v>
      </c>
      <c r="Y52" s="4">
        <v>-0.71399999999999997</v>
      </c>
      <c r="Z52" s="4">
        <v>-7.9020000000000001</v>
      </c>
      <c r="AA52" s="4">
        <v>2.09</v>
      </c>
      <c r="AB52" s="4">
        <v>-11.387</v>
      </c>
      <c r="AC52" s="4">
        <v>0.443</v>
      </c>
      <c r="AD52" s="4">
        <v>-5.484</v>
      </c>
      <c r="AE52" s="4">
        <v>-3.0000000000000001E-3</v>
      </c>
      <c r="AF52" s="4">
        <v>1.615</v>
      </c>
      <c r="AG52" s="4">
        <v>-3.6230000000000002</v>
      </c>
      <c r="AH52" s="4">
        <v>-0.60499999999999998</v>
      </c>
      <c r="AI52" s="4">
        <v>-8.4290000000000003</v>
      </c>
      <c r="AJ52" s="4">
        <v>1.5129999999999999</v>
      </c>
      <c r="AK52" s="4">
        <v>2.0379999999999998</v>
      </c>
      <c r="AL52" s="4">
        <v>2.6819999999999999</v>
      </c>
      <c r="AM52" s="4">
        <v>-2.9710000000000001</v>
      </c>
      <c r="AN52" s="4">
        <v>-0.26500000000000001</v>
      </c>
      <c r="AO52" s="4">
        <v>-1.2849999999999999</v>
      </c>
      <c r="AP52" s="4">
        <v>-6.125</v>
      </c>
      <c r="AQ52" s="4">
        <v>-9.0489999999999995</v>
      </c>
      <c r="AR52" s="4">
        <v>-6.1379999999999999</v>
      </c>
      <c r="AS52" s="4">
        <v>-0.61899999999999999</v>
      </c>
      <c r="AT52" s="4">
        <v>-0.77100000000000002</v>
      </c>
      <c r="AU52" s="4">
        <v>0.44800000000000001</v>
      </c>
      <c r="AV52" s="4">
        <v>-1.4370000000000001</v>
      </c>
      <c r="AW52" s="4">
        <v>-1.0509999999999999</v>
      </c>
      <c r="AX52" s="4">
        <v>2.1509999999999998</v>
      </c>
      <c r="AY52" s="4">
        <v>0.34899999999999998</v>
      </c>
      <c r="AZ52" s="4">
        <v>-3.028</v>
      </c>
      <c r="BA52" s="4">
        <v>2.1160000000000001</v>
      </c>
      <c r="BB52" s="4">
        <v>-0.443</v>
      </c>
      <c r="BC52" s="4">
        <v>3.4380000000000002</v>
      </c>
      <c r="BD52" s="4">
        <v>-3.6539999999999999</v>
      </c>
      <c r="BE52" s="4">
        <v>8.1000000000000003E-2</v>
      </c>
      <c r="BF52" s="4">
        <v>-2.38</v>
      </c>
      <c r="BG52" s="4">
        <v>-1.988</v>
      </c>
      <c r="BH52" s="4">
        <v>-0.35399999999999998</v>
      </c>
      <c r="BI52" s="4">
        <v>-0.97699999999999998</v>
      </c>
      <c r="BJ52" s="4">
        <v>-8.5690000000000008</v>
      </c>
      <c r="BK52" s="4">
        <v>-1.5289999999999999</v>
      </c>
      <c r="BL52" s="4">
        <v>-8.7360000000000007</v>
      </c>
      <c r="BM52" s="4">
        <v>-9.9109999999999996</v>
      </c>
      <c r="BN52" s="4">
        <v>-4.21</v>
      </c>
      <c r="BO52" s="4">
        <v>-13.566000000000001</v>
      </c>
      <c r="BP52" s="4">
        <v>-2.2469999999999999</v>
      </c>
      <c r="BQ52" s="4">
        <v>0.124</v>
      </c>
      <c r="BR52" s="4">
        <v>-1.042</v>
      </c>
      <c r="BS52" s="4">
        <v>1.7410000000000001</v>
      </c>
      <c r="BT52" s="4">
        <v>0.23699999999999999</v>
      </c>
      <c r="BU52" s="4">
        <v>0.435</v>
      </c>
      <c r="BV52" s="4">
        <v>-0.85799999999999998</v>
      </c>
      <c r="BW52" s="4">
        <v>-3.496</v>
      </c>
      <c r="BX52" s="4">
        <v>-2.669</v>
      </c>
      <c r="BY52" s="4">
        <v>-0.83699999999999997</v>
      </c>
      <c r="BZ52" s="4">
        <v>-1.9019999999999999</v>
      </c>
      <c r="CA52" s="4">
        <v>2.0470000000000002</v>
      </c>
      <c r="CB52" s="4">
        <v>-0.28699999999999998</v>
      </c>
      <c r="CC52" s="4">
        <v>-8.1509999999999998</v>
      </c>
      <c r="CD52" s="4">
        <v>-0.44900000000000001</v>
      </c>
      <c r="CE52" s="4">
        <v>-9.4450000000000003</v>
      </c>
      <c r="CF52" s="4">
        <v>-3.7869999999999999</v>
      </c>
      <c r="CG52" s="4">
        <v>1.2549999999999999</v>
      </c>
      <c r="CH52" s="4">
        <v>1.47</v>
      </c>
      <c r="CI52" s="4">
        <v>-3.2029999999999998</v>
      </c>
      <c r="CJ52" s="4">
        <v>-9.6809999999999992</v>
      </c>
      <c r="CK52" s="4">
        <v>2.3319999999999999</v>
      </c>
      <c r="CL52" s="4">
        <v>-9.9830000000000005</v>
      </c>
      <c r="CM52" s="4">
        <v>0.98199999999999998</v>
      </c>
      <c r="CN52" s="4">
        <v>7.4999999999999997E-2</v>
      </c>
      <c r="CO52" s="4">
        <v>0.71199999999999997</v>
      </c>
      <c r="CP52" s="4">
        <v>-3.4180000000000001</v>
      </c>
      <c r="CQ52" s="4">
        <v>2.444</v>
      </c>
      <c r="CR52" s="4">
        <v>0.24399999999999999</v>
      </c>
      <c r="CS52" s="4">
        <v>1.7709999999999999</v>
      </c>
      <c r="CT52" s="4">
        <v>1.7490000000000001</v>
      </c>
      <c r="CU52" s="4">
        <v>-0.2</v>
      </c>
      <c r="CV52" s="4">
        <v>-0.498</v>
      </c>
      <c r="CW52" s="4">
        <v>-4.0209999999999999</v>
      </c>
      <c r="CX52" s="4">
        <v>-0.14099999999999999</v>
      </c>
      <c r="CY52" s="4">
        <v>0.77600000000000002</v>
      </c>
      <c r="CZ52" s="4">
        <v>-0.19600000000000001</v>
      </c>
      <c r="DA52" s="4">
        <v>-14.266999999999999</v>
      </c>
      <c r="DB52" s="4">
        <v>-0.121</v>
      </c>
      <c r="DC52" s="4">
        <v>-8.6240000000000006</v>
      </c>
      <c r="DD52" s="4">
        <v>-10.542</v>
      </c>
      <c r="DE52" s="4">
        <v>1.3819999999999999</v>
      </c>
      <c r="DF52" s="4">
        <v>-14.743</v>
      </c>
      <c r="DG52" s="4">
        <v>0.67</v>
      </c>
      <c r="DH52" s="4">
        <v>1.75</v>
      </c>
      <c r="DI52" s="4">
        <v>-1.621</v>
      </c>
      <c r="DJ52" s="4">
        <v>1.9419999999999999</v>
      </c>
      <c r="DK52" s="4">
        <v>-0.72199999999999998</v>
      </c>
      <c r="DL52" s="4">
        <v>-0.76300000000000001</v>
      </c>
      <c r="DM52" s="4">
        <v>2.4590000000000001</v>
      </c>
      <c r="DN52" s="4">
        <v>-1.5269999999999999</v>
      </c>
      <c r="DO52" s="4">
        <v>0.752</v>
      </c>
      <c r="DP52" s="4">
        <v>-14.722</v>
      </c>
      <c r="DQ52" s="4">
        <v>-0.63800000000000001</v>
      </c>
      <c r="DR52" s="4">
        <v>1.8520000000000001</v>
      </c>
      <c r="DS52" s="4">
        <v>-1.2989999999999999</v>
      </c>
      <c r="DT52" s="4">
        <v>-1.627</v>
      </c>
      <c r="DU52" s="4">
        <v>-3.2290000000000001</v>
      </c>
      <c r="DV52" s="4">
        <v>-6.1260000000000003</v>
      </c>
      <c r="DW52" s="4">
        <v>2.1890000000000001</v>
      </c>
      <c r="DX52" s="4">
        <v>-0.85399999999999998</v>
      </c>
      <c r="DY52" s="4">
        <v>-0.85</v>
      </c>
      <c r="DZ52" s="4">
        <v>1.369</v>
      </c>
      <c r="EA52" s="4">
        <v>1.6719999999999999</v>
      </c>
      <c r="EB52" s="4">
        <v>-1.2490000000000001</v>
      </c>
      <c r="EC52" s="4">
        <v>-14.66</v>
      </c>
      <c r="ED52" s="4">
        <v>1.8320000000000001</v>
      </c>
      <c r="EE52" s="4">
        <v>2.5859999999999999</v>
      </c>
      <c r="EF52" s="4">
        <v>-0.78500000000000003</v>
      </c>
      <c r="EG52" s="4">
        <v>-1.0960000000000001</v>
      </c>
      <c r="EH52" s="4">
        <v>-4.4610000000000003</v>
      </c>
      <c r="EI52" s="4">
        <v>0.876</v>
      </c>
      <c r="EJ52" s="4">
        <v>0.23699999999999999</v>
      </c>
      <c r="EK52" s="4">
        <v>-0.314</v>
      </c>
      <c r="EL52" s="4">
        <v>0.45</v>
      </c>
      <c r="EM52" s="4">
        <v>0.70099999999999996</v>
      </c>
      <c r="EN52" s="4">
        <v>-2.3650000000000002</v>
      </c>
      <c r="EO52" s="4">
        <v>1.2E-2</v>
      </c>
      <c r="EP52" s="4">
        <v>0.58799999999999997</v>
      </c>
      <c r="EQ52" s="4">
        <v>-7.2930000000000001</v>
      </c>
      <c r="ER52" s="4">
        <v>2.6920000000000002</v>
      </c>
      <c r="ES52" s="4">
        <v>-3.323</v>
      </c>
      <c r="ET52" s="4">
        <v>-9.6470000000000002</v>
      </c>
      <c r="EU52" s="4">
        <v>2.448</v>
      </c>
      <c r="EV52" s="4">
        <v>-9.94</v>
      </c>
      <c r="EW52" s="4">
        <v>1.327</v>
      </c>
      <c r="EX52" s="4">
        <v>-10.887</v>
      </c>
      <c r="EY52" s="4">
        <v>-0.437</v>
      </c>
      <c r="EZ52" s="4">
        <v>2.7719999999999998</v>
      </c>
      <c r="FA52" s="4">
        <v>-6.133</v>
      </c>
      <c r="FB52" s="4">
        <v>0.56999999999999995</v>
      </c>
      <c r="FC52" s="4">
        <v>1.0580000000000001</v>
      </c>
      <c r="FD52" s="4">
        <v>-1.5309999999999999</v>
      </c>
      <c r="FE52" s="4">
        <v>0.53400000000000003</v>
      </c>
      <c r="FF52" s="4">
        <v>-8.5000000000000006E-2</v>
      </c>
      <c r="FG52" s="4">
        <v>1.4990000000000001</v>
      </c>
      <c r="FH52" s="4">
        <v>1.1559999999999999</v>
      </c>
      <c r="FI52" s="4">
        <v>-5.4450000000000003</v>
      </c>
      <c r="FJ52" s="4">
        <v>1.575</v>
      </c>
      <c r="FK52" s="4">
        <v>-8.5000000000000006E-2</v>
      </c>
      <c r="FL52" s="4">
        <v>0.36899999999999999</v>
      </c>
      <c r="FM52" s="4">
        <v>-2.5249999999999999</v>
      </c>
      <c r="FN52" s="4">
        <v>-0.31900000000000001</v>
      </c>
      <c r="FO52" s="4">
        <v>-0.92200000000000004</v>
      </c>
      <c r="FP52" s="4">
        <v>-2.2050000000000001</v>
      </c>
      <c r="FQ52" s="4">
        <v>-3.5059999999999998</v>
      </c>
      <c r="FR52" s="4">
        <v>-4.8040000000000003</v>
      </c>
      <c r="FS52" s="4">
        <v>-5.6710000000000003</v>
      </c>
      <c r="FT52" s="4">
        <v>-5.7000000000000002E-2</v>
      </c>
      <c r="FU52" s="4">
        <v>-1.111</v>
      </c>
      <c r="FV52" s="4">
        <v>-10.042999999999999</v>
      </c>
      <c r="FW52" s="4">
        <v>0.56599999999999995</v>
      </c>
      <c r="FX52" s="4">
        <v>-0.36</v>
      </c>
      <c r="FY52" s="4">
        <v>-0.92200000000000004</v>
      </c>
      <c r="FZ52" s="4">
        <v>0.33200000000000002</v>
      </c>
      <c r="GA52" s="4">
        <v>-3.73</v>
      </c>
      <c r="GB52" s="4">
        <v>2.4169999999999998</v>
      </c>
      <c r="GC52" s="4">
        <v>0.33600000000000002</v>
      </c>
      <c r="GD52" s="4">
        <v>1.31</v>
      </c>
      <c r="GE52" s="4">
        <v>-1.127</v>
      </c>
      <c r="GF52" s="4">
        <v>1.444</v>
      </c>
      <c r="GG52" s="4">
        <v>-5.6769999999999996</v>
      </c>
      <c r="GH52" s="4">
        <v>-5.8390000000000004</v>
      </c>
      <c r="GI52" s="4">
        <v>0.998</v>
      </c>
      <c r="GJ52" s="4">
        <v>1.139</v>
      </c>
      <c r="GK52" s="4">
        <v>0.67100000000000004</v>
      </c>
      <c r="GL52" s="4">
        <v>-0.42699999999999999</v>
      </c>
      <c r="GM52" s="4">
        <v>-0.57299999999999995</v>
      </c>
      <c r="GN52" s="4">
        <v>-8.0950000000000006</v>
      </c>
      <c r="GO52" s="4">
        <v>-1.5720000000000001</v>
      </c>
      <c r="GP52" s="4">
        <v>-4.6189999999999998</v>
      </c>
      <c r="GQ52" s="4">
        <v>-12.821999999999999</v>
      </c>
      <c r="GR52" s="4">
        <v>-11.837999999999999</v>
      </c>
      <c r="GS52" s="4">
        <v>0.27900000000000003</v>
      </c>
      <c r="GT52" s="4">
        <v>-13.286</v>
      </c>
      <c r="GU52" s="4">
        <v>1.2529999999999999</v>
      </c>
      <c r="GV52" s="4">
        <v>-9.4559999999999995</v>
      </c>
      <c r="GW52" s="4">
        <v>-4.8689999999999998</v>
      </c>
      <c r="GX52" s="4">
        <v>-12.065</v>
      </c>
      <c r="GY52" s="4">
        <v>-6.6289999999999996</v>
      </c>
      <c r="GZ52" s="4">
        <v>1.76</v>
      </c>
      <c r="HA52" s="4">
        <v>-0.55800000000000005</v>
      </c>
      <c r="HB52" s="4">
        <v>-2.5379999999999998</v>
      </c>
      <c r="HC52" s="4">
        <v>-0.51700000000000002</v>
      </c>
      <c r="HD52" s="4">
        <v>-7.1970000000000001</v>
      </c>
      <c r="HE52" s="4">
        <v>-2.774</v>
      </c>
      <c r="HF52" s="4">
        <v>-10.928000000000001</v>
      </c>
      <c r="HG52" s="4">
        <v>0.5</v>
      </c>
      <c r="HH52" s="4">
        <v>-3.419</v>
      </c>
      <c r="HI52" s="4">
        <v>-0.52600000000000002</v>
      </c>
      <c r="HJ52" s="4">
        <v>-0.97699999999999998</v>
      </c>
      <c r="HK52" s="4">
        <v>2.726</v>
      </c>
      <c r="HL52" s="4">
        <v>1.9059999999999999</v>
      </c>
      <c r="HM52" s="4">
        <v>3.4000000000000002E-2</v>
      </c>
      <c r="HN52" s="4">
        <v>-8.1419999999999995</v>
      </c>
      <c r="HO52" s="4">
        <v>-2.9180000000000001</v>
      </c>
      <c r="HP52" s="4">
        <v>-0.26700000000000002</v>
      </c>
      <c r="HQ52" s="4">
        <v>2.2999999999999998</v>
      </c>
      <c r="HR52" s="4">
        <v>-1.7829999999999999</v>
      </c>
      <c r="HS52" s="4">
        <v>-3.1869999999999998</v>
      </c>
      <c r="HT52" s="4">
        <v>-3.2879999999999998</v>
      </c>
      <c r="HU52" s="4">
        <v>5.1999999999999998E-2</v>
      </c>
      <c r="HV52" s="4">
        <v>-0.70199999999999996</v>
      </c>
      <c r="HW52" s="4">
        <v>-7.7160000000000002</v>
      </c>
      <c r="HX52" s="4">
        <v>-0.29099999999999998</v>
      </c>
      <c r="HY52" s="4">
        <v>-0.187</v>
      </c>
      <c r="HZ52" s="4">
        <v>2.1739999999999999</v>
      </c>
      <c r="IA52" s="4">
        <v>-12.186999999999999</v>
      </c>
      <c r="IB52" s="4">
        <v>1.7230000000000001</v>
      </c>
      <c r="IC52" s="4">
        <v>2.411</v>
      </c>
      <c r="ID52" s="4">
        <v>1.0549999999999999</v>
      </c>
      <c r="IE52" s="4">
        <v>-0.153</v>
      </c>
      <c r="IF52" s="4">
        <v>-0.311</v>
      </c>
      <c r="IG52" s="4">
        <v>-1.869</v>
      </c>
      <c r="IH52" s="4">
        <v>-6.3949999999999996</v>
      </c>
      <c r="II52" s="4">
        <v>-10.895</v>
      </c>
      <c r="IJ52" s="4">
        <v>-1.004</v>
      </c>
      <c r="IK52" s="4">
        <v>0.53400000000000003</v>
      </c>
      <c r="IL52" s="4">
        <v>-8.4589999999999996</v>
      </c>
      <c r="IM52" s="4">
        <v>-0.17399999999999999</v>
      </c>
      <c r="IN52" s="4">
        <v>-5.17</v>
      </c>
      <c r="IO52" s="4">
        <v>-2.3039999999999998</v>
      </c>
      <c r="IP52" s="4">
        <v>-2.2559999999999998</v>
      </c>
      <c r="IQ52" s="4">
        <v>2.141</v>
      </c>
      <c r="IR52" s="4">
        <v>2.38</v>
      </c>
      <c r="IS52" s="4">
        <v>-9.9860000000000007</v>
      </c>
      <c r="IT52" s="4">
        <v>0.14499999999999999</v>
      </c>
      <c r="IU52" s="4">
        <v>-8.8829999999999991</v>
      </c>
      <c r="IV52" s="4">
        <v>-0.36599999999999999</v>
      </c>
      <c r="IW52" s="4">
        <v>-8.4030000000000005</v>
      </c>
      <c r="IX52" s="4">
        <v>0.37</v>
      </c>
      <c r="IY52" s="4">
        <v>-2.456</v>
      </c>
      <c r="IZ52" s="4">
        <v>0.184</v>
      </c>
      <c r="JA52" s="4">
        <v>-0.42199999999999999</v>
      </c>
      <c r="JB52" s="4">
        <v>-2.1890000000000001</v>
      </c>
      <c r="JC52" s="4">
        <v>-5.8360000000000003</v>
      </c>
      <c r="JD52" s="4">
        <v>0.66600000000000004</v>
      </c>
      <c r="JE52" s="4">
        <v>1.869</v>
      </c>
      <c r="JF52" s="4">
        <v>2.004</v>
      </c>
      <c r="JG52" s="4">
        <v>0.17599999999999999</v>
      </c>
      <c r="JH52" s="4">
        <v>1.3779999999999999</v>
      </c>
      <c r="JI52" s="4">
        <v>-3.5750000000000002</v>
      </c>
      <c r="JJ52" s="4">
        <v>-0.53400000000000003</v>
      </c>
      <c r="JK52" s="4">
        <v>-1.7999999999999999E-2</v>
      </c>
      <c r="JL52" s="4">
        <v>3.05</v>
      </c>
      <c r="JM52" s="4">
        <v>0.59399999999999997</v>
      </c>
      <c r="JN52" s="4">
        <v>-0.34899999999999998</v>
      </c>
      <c r="JO52" s="4">
        <v>-0.374</v>
      </c>
      <c r="JP52" s="4">
        <v>0.73499999999999999</v>
      </c>
      <c r="JQ52" s="4">
        <v>1.042</v>
      </c>
      <c r="JR52" s="4">
        <v>-0.47499999999999998</v>
      </c>
      <c r="JS52" s="4">
        <v>-5.79</v>
      </c>
      <c r="JT52" s="4">
        <v>-0.626</v>
      </c>
      <c r="JU52" s="4">
        <v>-0.57199999999999995</v>
      </c>
      <c r="JV52" s="4">
        <v>-1.5089999999999999</v>
      </c>
      <c r="JW52" s="4">
        <v>0.28100000000000003</v>
      </c>
      <c r="JX52" s="4">
        <v>-0.17799999999999999</v>
      </c>
      <c r="JY52" s="4">
        <v>0.23799999999999999</v>
      </c>
      <c r="JZ52" s="4">
        <v>-1.008</v>
      </c>
      <c r="KA52" s="4">
        <v>0.53900000000000003</v>
      </c>
      <c r="KB52" s="4">
        <v>-7.2119999999999997</v>
      </c>
      <c r="KC52" s="4">
        <v>-5.1479999999999997</v>
      </c>
      <c r="KD52" s="4">
        <v>0.29299999999999998</v>
      </c>
      <c r="KE52" s="4">
        <v>2.056</v>
      </c>
      <c r="KF52" s="4">
        <v>0.17100000000000001</v>
      </c>
      <c r="KG52" s="4">
        <v>-0.34200000000000003</v>
      </c>
      <c r="KH52" s="4">
        <v>0.23499999999999999</v>
      </c>
      <c r="KI52" s="4">
        <v>-1.4950000000000001</v>
      </c>
      <c r="KJ52" s="4">
        <v>0.751</v>
      </c>
      <c r="KK52" s="4">
        <v>0.255</v>
      </c>
      <c r="KL52" s="4">
        <v>-0.47799999999999998</v>
      </c>
      <c r="KM52" s="4">
        <v>-10.218999999999999</v>
      </c>
      <c r="KN52" s="4">
        <v>-0.33600000000000002</v>
      </c>
      <c r="KO52" s="4">
        <v>-8.5030000000000001</v>
      </c>
      <c r="KP52" s="4">
        <v>-0.81699999999999995</v>
      </c>
      <c r="KQ52" s="4">
        <v>0.92400000000000004</v>
      </c>
      <c r="KR52" s="4">
        <v>-0.74199999999999999</v>
      </c>
      <c r="KS52" s="4">
        <v>2.6760000000000002</v>
      </c>
    </row>
    <row r="53" spans="1:305" x14ac:dyDescent="0.25">
      <c r="A53" s="4">
        <v>2018</v>
      </c>
      <c r="B53" s="4">
        <v>2</v>
      </c>
      <c r="C53" s="4">
        <v>-15.224</v>
      </c>
      <c r="D53" s="4">
        <v>-3.7549999999999999</v>
      </c>
      <c r="E53" s="4">
        <v>-2.5840000000000001</v>
      </c>
      <c r="F53" s="4">
        <v>-3.2890000000000001</v>
      </c>
      <c r="G53" s="4">
        <v>-3.399</v>
      </c>
      <c r="H53" s="4">
        <v>-8.173</v>
      </c>
      <c r="I53" s="4">
        <v>-3.5110000000000001</v>
      </c>
      <c r="J53" s="4">
        <v>-13.709</v>
      </c>
      <c r="K53" s="4">
        <v>-3.6179999999999999</v>
      </c>
      <c r="L53" s="4">
        <v>-1.6719999999999999</v>
      </c>
      <c r="M53" s="4">
        <v>-9.8160000000000007</v>
      </c>
      <c r="N53" s="4">
        <v>-4.4089999999999998</v>
      </c>
      <c r="O53" s="4">
        <v>-9.8539999999999992</v>
      </c>
      <c r="P53" s="4">
        <v>-4.8970000000000002</v>
      </c>
      <c r="Q53" s="4">
        <v>-13.821999999999999</v>
      </c>
      <c r="R53" s="4">
        <v>-13.154999999999999</v>
      </c>
      <c r="S53" s="4">
        <v>-5.0970000000000004</v>
      </c>
      <c r="T53" s="4">
        <v>-3.8210000000000002</v>
      </c>
      <c r="U53" s="4">
        <v>-4.5190000000000001</v>
      </c>
      <c r="V53" s="4">
        <v>-4.7249999999999996</v>
      </c>
      <c r="W53" s="4">
        <v>-5.7629999999999999</v>
      </c>
      <c r="X53" s="4">
        <v>-1.7649999999999999</v>
      </c>
      <c r="Y53" s="4">
        <v>-4.1500000000000004</v>
      </c>
      <c r="Z53" s="4">
        <v>-11.31</v>
      </c>
      <c r="AA53" s="4">
        <v>-1.631</v>
      </c>
      <c r="AB53" s="4">
        <v>-13.673999999999999</v>
      </c>
      <c r="AC53" s="4">
        <v>-3.41</v>
      </c>
      <c r="AD53" s="4">
        <v>-7.5460000000000003</v>
      </c>
      <c r="AE53" s="4">
        <v>-3.9220000000000002</v>
      </c>
      <c r="AF53" s="4">
        <v>-1.7549999999999999</v>
      </c>
      <c r="AG53" s="4">
        <v>-6.5819999999999999</v>
      </c>
      <c r="AH53" s="4">
        <v>-3.9180000000000001</v>
      </c>
      <c r="AI53" s="4">
        <v>-10.412000000000001</v>
      </c>
      <c r="AJ53" s="4">
        <v>-2.6019999999999999</v>
      </c>
      <c r="AK53" s="4">
        <v>-1.8740000000000001</v>
      </c>
      <c r="AL53" s="4">
        <v>-0.98899999999999999</v>
      </c>
      <c r="AM53" s="4">
        <v>-5.625</v>
      </c>
      <c r="AN53" s="4">
        <v>-3.827</v>
      </c>
      <c r="AO53" s="4">
        <v>-4.931</v>
      </c>
      <c r="AP53" s="4">
        <v>-8.2159999999999993</v>
      </c>
      <c r="AQ53" s="4">
        <v>-11.519</v>
      </c>
      <c r="AR53" s="4">
        <v>-7.8680000000000003</v>
      </c>
      <c r="AS53" s="4">
        <v>-4.1070000000000002</v>
      </c>
      <c r="AT53" s="4">
        <v>-4.3220000000000001</v>
      </c>
      <c r="AU53" s="4">
        <v>-3.1589999999999998</v>
      </c>
      <c r="AV53" s="4">
        <v>-4.7990000000000004</v>
      </c>
      <c r="AW53" s="4">
        <v>-4.4059999999999997</v>
      </c>
      <c r="AX53" s="4">
        <v>-1.68</v>
      </c>
      <c r="AY53" s="4">
        <v>-3.46</v>
      </c>
      <c r="AZ53" s="4">
        <v>-5.8570000000000002</v>
      </c>
      <c r="BA53" s="4">
        <v>-1.7130000000000001</v>
      </c>
      <c r="BB53" s="4">
        <v>-4.5609999999999999</v>
      </c>
      <c r="BC53" s="4">
        <v>2.5000000000000001E-2</v>
      </c>
      <c r="BD53" s="4">
        <v>-6.6079999999999997</v>
      </c>
      <c r="BE53" s="4">
        <v>-3.4319999999999999</v>
      </c>
      <c r="BF53" s="4">
        <v>-5.8339999999999996</v>
      </c>
      <c r="BG53" s="4">
        <v>-4.827</v>
      </c>
      <c r="BH53" s="4">
        <v>-4.452</v>
      </c>
      <c r="BI53" s="4">
        <v>-4.7469999999999999</v>
      </c>
      <c r="BJ53" s="4">
        <v>-10.353999999999999</v>
      </c>
      <c r="BK53" s="4">
        <v>-4.8879999999999999</v>
      </c>
      <c r="BL53" s="4">
        <v>-11.53</v>
      </c>
      <c r="BM53" s="4">
        <v>-12.096</v>
      </c>
      <c r="BN53" s="4">
        <v>-6.9870000000000001</v>
      </c>
      <c r="BO53" s="4">
        <v>-14.513</v>
      </c>
      <c r="BP53" s="4">
        <v>-4.8410000000000002</v>
      </c>
      <c r="BQ53" s="4">
        <v>-3.7469999999999999</v>
      </c>
      <c r="BR53" s="4">
        <v>-4.3620000000000001</v>
      </c>
      <c r="BS53" s="4">
        <v>-1.909</v>
      </c>
      <c r="BT53" s="4">
        <v>-3.625</v>
      </c>
      <c r="BU53" s="4">
        <v>-3.1219999999999999</v>
      </c>
      <c r="BV53" s="4">
        <v>-4.2469999999999999</v>
      </c>
      <c r="BW53" s="4">
        <v>-6.1970000000000001</v>
      </c>
      <c r="BX53" s="4">
        <v>-6.06</v>
      </c>
      <c r="BY53" s="4">
        <v>-4.4859999999999998</v>
      </c>
      <c r="BZ53" s="4">
        <v>-4.8899999999999997</v>
      </c>
      <c r="CA53" s="4">
        <v>-1.744</v>
      </c>
      <c r="CB53" s="4">
        <v>-3.7730000000000001</v>
      </c>
      <c r="CC53" s="4">
        <v>-10.303000000000001</v>
      </c>
      <c r="CD53" s="4">
        <v>-3.7210000000000001</v>
      </c>
      <c r="CE53" s="4">
        <v>-12.532</v>
      </c>
      <c r="CF53" s="4">
        <v>-7.5030000000000001</v>
      </c>
      <c r="CG53" s="4">
        <v>-2.4870000000000001</v>
      </c>
      <c r="CH53" s="4">
        <v>-2.6190000000000002</v>
      </c>
      <c r="CI53" s="4">
        <v>-6.1989999999999998</v>
      </c>
      <c r="CJ53" s="4">
        <v>-10.135</v>
      </c>
      <c r="CK53" s="4">
        <v>-1.196</v>
      </c>
      <c r="CL53" s="4">
        <v>-12.25</v>
      </c>
      <c r="CM53" s="4">
        <v>-2.0249999999999999</v>
      </c>
      <c r="CN53" s="4">
        <v>-3.919</v>
      </c>
      <c r="CO53" s="4">
        <v>-3.234</v>
      </c>
      <c r="CP53" s="4">
        <v>-6.33</v>
      </c>
      <c r="CQ53" s="4">
        <v>-0.95199999999999996</v>
      </c>
      <c r="CR53" s="4">
        <v>-3.3460000000000001</v>
      </c>
      <c r="CS53" s="4">
        <v>-2.2290000000000001</v>
      </c>
      <c r="CT53" s="4">
        <v>-2.2759999999999998</v>
      </c>
      <c r="CU53" s="4">
        <v>-4.1779999999999999</v>
      </c>
      <c r="CV53" s="4">
        <v>-3.839</v>
      </c>
      <c r="CW53" s="4">
        <v>-6.91</v>
      </c>
      <c r="CX53" s="4">
        <v>-3.7709999999999999</v>
      </c>
      <c r="CY53" s="4">
        <v>-3.34</v>
      </c>
      <c r="CZ53" s="4">
        <v>-3.72</v>
      </c>
      <c r="DA53" s="4">
        <v>-15.677</v>
      </c>
      <c r="DB53" s="4">
        <v>-3.754</v>
      </c>
      <c r="DC53" s="4">
        <v>-11.125999999999999</v>
      </c>
      <c r="DD53" s="4">
        <v>-12.842000000000001</v>
      </c>
      <c r="DE53" s="4">
        <v>-2.177</v>
      </c>
      <c r="DF53" s="4">
        <v>-16.190000000000001</v>
      </c>
      <c r="DG53" s="4">
        <v>-3.266</v>
      </c>
      <c r="DH53" s="4">
        <v>-2.0619999999999998</v>
      </c>
      <c r="DI53" s="4">
        <v>-5.226</v>
      </c>
      <c r="DJ53" s="4">
        <v>-1.63</v>
      </c>
      <c r="DK53" s="4">
        <v>-4.1769999999999996</v>
      </c>
      <c r="DL53" s="4">
        <v>-4.5670000000000002</v>
      </c>
      <c r="DM53" s="4">
        <v>-1.2110000000000001</v>
      </c>
      <c r="DN53" s="4">
        <v>-4.8869999999999996</v>
      </c>
      <c r="DO53" s="4">
        <v>-3.1720000000000002</v>
      </c>
      <c r="DP53" s="4">
        <v>-15.868</v>
      </c>
      <c r="DQ53" s="4">
        <v>-4.5839999999999996</v>
      </c>
      <c r="DR53" s="4">
        <v>-2.0699999999999998</v>
      </c>
      <c r="DS53" s="4">
        <v>-4.601</v>
      </c>
      <c r="DT53" s="4">
        <v>-4.734</v>
      </c>
      <c r="DU53" s="4">
        <v>-6.399</v>
      </c>
      <c r="DV53" s="4">
        <v>-9.7409999999999997</v>
      </c>
      <c r="DW53" s="4">
        <v>-1.86</v>
      </c>
      <c r="DX53" s="4">
        <v>-4.4320000000000004</v>
      </c>
      <c r="DY53" s="4">
        <v>-4.4539999999999997</v>
      </c>
      <c r="DZ53" s="4">
        <v>-2.339</v>
      </c>
      <c r="EA53" s="4">
        <v>-2.0710000000000002</v>
      </c>
      <c r="EB53" s="4">
        <v>-4.4379999999999997</v>
      </c>
      <c r="EC53" s="4">
        <v>-15.952</v>
      </c>
      <c r="ED53" s="4">
        <v>-2.052</v>
      </c>
      <c r="EE53" s="4">
        <v>-0.88900000000000001</v>
      </c>
      <c r="EF53" s="4">
        <v>-4.5419999999999998</v>
      </c>
      <c r="EG53" s="4">
        <v>-4.7450000000000001</v>
      </c>
      <c r="EH53" s="4">
        <v>-7.1769999999999996</v>
      </c>
      <c r="EI53" s="4">
        <v>-2.9119999999999999</v>
      </c>
      <c r="EJ53" s="4">
        <v>-3.32</v>
      </c>
      <c r="EK53" s="4">
        <v>-3.8460000000000001</v>
      </c>
      <c r="EL53" s="4">
        <v>-3.141</v>
      </c>
      <c r="EM53" s="4">
        <v>-2.9569999999999999</v>
      </c>
      <c r="EN53" s="4">
        <v>-5.4610000000000003</v>
      </c>
      <c r="EO53" s="4">
        <v>-4.3360000000000003</v>
      </c>
      <c r="EP53" s="4">
        <v>-3.4420000000000002</v>
      </c>
      <c r="EQ53" s="4">
        <v>-8.7010000000000005</v>
      </c>
      <c r="ER53" s="4">
        <v>-0.96799999999999997</v>
      </c>
      <c r="ES53" s="4">
        <v>-6.3380000000000001</v>
      </c>
      <c r="ET53" s="4">
        <v>-12.721</v>
      </c>
      <c r="EU53" s="4">
        <v>-1.28</v>
      </c>
      <c r="EV53" s="4">
        <v>-12.888</v>
      </c>
      <c r="EW53" s="4">
        <v>-2.0680000000000001</v>
      </c>
      <c r="EX53" s="4">
        <v>-13.23</v>
      </c>
      <c r="EY53" s="4">
        <v>-4.3579999999999997</v>
      </c>
      <c r="EZ53" s="4">
        <v>-0.86299999999999999</v>
      </c>
      <c r="FA53" s="4">
        <v>-7.415</v>
      </c>
      <c r="FB53" s="4">
        <v>-3.5310000000000001</v>
      </c>
      <c r="FC53" s="4">
        <v>-2.9649999999999999</v>
      </c>
      <c r="FD53" s="4">
        <v>-4.7140000000000004</v>
      </c>
      <c r="FE53" s="4">
        <v>-2.9119999999999999</v>
      </c>
      <c r="FF53" s="4">
        <v>-4.3550000000000004</v>
      </c>
      <c r="FG53" s="4">
        <v>-2.2010000000000001</v>
      </c>
      <c r="FH53" s="4">
        <v>-2.34</v>
      </c>
      <c r="FI53" s="4">
        <v>-7.3840000000000003</v>
      </c>
      <c r="FJ53" s="4">
        <v>-1.9019999999999999</v>
      </c>
      <c r="FK53" s="4">
        <v>-4.1619999999999999</v>
      </c>
      <c r="FL53" s="4">
        <v>-3.0179999999999998</v>
      </c>
      <c r="FM53" s="4">
        <v>-5.7279999999999998</v>
      </c>
      <c r="FN53" s="4">
        <v>-3.766</v>
      </c>
      <c r="FO53" s="4">
        <v>-4.5199999999999996</v>
      </c>
      <c r="FP53" s="4">
        <v>-5.4080000000000004</v>
      </c>
      <c r="FQ53" s="4">
        <v>-6.4710000000000001</v>
      </c>
      <c r="FR53" s="4">
        <v>-7.7359999999999998</v>
      </c>
      <c r="FS53" s="4">
        <v>-10.08</v>
      </c>
      <c r="FT53" s="4">
        <v>-4.3209999999999997</v>
      </c>
      <c r="FU53" s="4">
        <v>-4.4710000000000001</v>
      </c>
      <c r="FV53" s="4">
        <v>-12.935</v>
      </c>
      <c r="FW53" s="4">
        <v>-3.06</v>
      </c>
      <c r="FX53" s="4">
        <v>-3.9420000000000002</v>
      </c>
      <c r="FY53" s="4">
        <v>-4.2489999999999997</v>
      </c>
      <c r="FZ53" s="4">
        <v>-2.8439999999999999</v>
      </c>
      <c r="GA53" s="4">
        <v>-6.54</v>
      </c>
      <c r="GB53" s="4">
        <v>-1.161</v>
      </c>
      <c r="GC53" s="4">
        <v>-3.609</v>
      </c>
      <c r="GD53" s="4">
        <v>-2.7109999999999999</v>
      </c>
      <c r="GE53" s="4">
        <v>-4.548</v>
      </c>
      <c r="GF53" s="4">
        <v>-2.552</v>
      </c>
      <c r="GG53" s="4">
        <v>-9.8179999999999996</v>
      </c>
      <c r="GH53" s="4">
        <v>-7.7119999999999997</v>
      </c>
      <c r="GI53" s="4">
        <v>-2.4620000000000002</v>
      </c>
      <c r="GJ53" s="4">
        <v>-2.984</v>
      </c>
      <c r="GK53" s="4">
        <v>-2.786</v>
      </c>
      <c r="GL53" s="4">
        <v>-3.9929999999999999</v>
      </c>
      <c r="GM53" s="4">
        <v>-4.22</v>
      </c>
      <c r="GN53" s="4">
        <v>-10.090999999999999</v>
      </c>
      <c r="GO53" s="4">
        <v>-4.2850000000000001</v>
      </c>
      <c r="GP53" s="4">
        <v>-6.8230000000000004</v>
      </c>
      <c r="GQ53" s="4">
        <v>-13.622999999999999</v>
      </c>
      <c r="GR53" s="4">
        <v>-13.161</v>
      </c>
      <c r="GS53" s="4">
        <v>-3.31</v>
      </c>
      <c r="GT53" s="4">
        <v>-14.064</v>
      </c>
      <c r="GU53" s="4">
        <v>-2.4860000000000002</v>
      </c>
      <c r="GV53" s="4">
        <v>-12.186999999999999</v>
      </c>
      <c r="GW53" s="4">
        <v>-7.4189999999999996</v>
      </c>
      <c r="GX53" s="4">
        <v>-13.417</v>
      </c>
      <c r="GY53" s="4">
        <v>-10.564</v>
      </c>
      <c r="GZ53" s="4">
        <v>-1.925</v>
      </c>
      <c r="HA53" s="4">
        <v>-3.8690000000000002</v>
      </c>
      <c r="HB53" s="4">
        <v>-5.4429999999999996</v>
      </c>
      <c r="HC53" s="4">
        <v>-3.871</v>
      </c>
      <c r="HD53" s="4">
        <v>-8.5820000000000007</v>
      </c>
      <c r="HE53" s="4">
        <v>-5.734</v>
      </c>
      <c r="HF53" s="4">
        <v>-9.8219999999999992</v>
      </c>
      <c r="HG53" s="4">
        <v>-2.911</v>
      </c>
      <c r="HH53" s="4">
        <v>-6.43</v>
      </c>
      <c r="HI53" s="4">
        <v>-4.1319999999999997</v>
      </c>
      <c r="HJ53" s="4">
        <v>-4.3630000000000004</v>
      </c>
      <c r="HK53" s="4">
        <v>-0.46200000000000002</v>
      </c>
      <c r="HL53" s="4">
        <v>-1.91</v>
      </c>
      <c r="HM53" s="4">
        <v>-3.8359999999999999</v>
      </c>
      <c r="HN53" s="4">
        <v>-11.685</v>
      </c>
      <c r="HO53" s="4">
        <v>-5.7519999999999998</v>
      </c>
      <c r="HP53" s="4">
        <v>-4.34</v>
      </c>
      <c r="HQ53" s="4">
        <v>-1.3520000000000001</v>
      </c>
      <c r="HR53" s="4">
        <v>-4.133</v>
      </c>
      <c r="HS53" s="4">
        <v>-6.2229999999999999</v>
      </c>
      <c r="HT53" s="4">
        <v>-5.6970000000000001</v>
      </c>
      <c r="HU53" s="4">
        <v>-4.4210000000000003</v>
      </c>
      <c r="HV53" s="4">
        <v>-4.0170000000000003</v>
      </c>
      <c r="HW53" s="4">
        <v>-10.802</v>
      </c>
      <c r="HX53" s="4">
        <v>-3.867</v>
      </c>
      <c r="HY53" s="4">
        <v>-3.6850000000000001</v>
      </c>
      <c r="HZ53" s="4">
        <v>-1.6140000000000001</v>
      </c>
      <c r="IA53" s="4">
        <v>-13.646000000000001</v>
      </c>
      <c r="IB53" s="4">
        <v>-1.6910000000000001</v>
      </c>
      <c r="IC53" s="4">
        <v>-1.3320000000000001</v>
      </c>
      <c r="ID53" s="4">
        <v>-2.5579999999999998</v>
      </c>
      <c r="IE53" s="4">
        <v>-3.6429999999999998</v>
      </c>
      <c r="IF53" s="4">
        <v>-3.7269999999999999</v>
      </c>
      <c r="IG53" s="4">
        <v>-5.4</v>
      </c>
      <c r="IH53" s="4">
        <v>-9.2409999999999997</v>
      </c>
      <c r="II53" s="4">
        <v>-12.664999999999999</v>
      </c>
      <c r="IJ53" s="4">
        <v>-4.4779999999999998</v>
      </c>
      <c r="IK53" s="4">
        <v>-2.64</v>
      </c>
      <c r="IL53" s="4">
        <v>-10.747</v>
      </c>
      <c r="IM53" s="4">
        <v>-3.6869999999999998</v>
      </c>
      <c r="IN53" s="4">
        <v>-7.9539999999999997</v>
      </c>
      <c r="IO53" s="4">
        <v>-5.4960000000000004</v>
      </c>
      <c r="IP53" s="4">
        <v>-5.1159999999999997</v>
      </c>
      <c r="IQ53" s="4">
        <v>-1.591</v>
      </c>
      <c r="IR53" s="4">
        <v>-1.363</v>
      </c>
      <c r="IS53" s="4">
        <v>-9.8369999999999997</v>
      </c>
      <c r="IT53" s="4">
        <v>-3.7869999999999999</v>
      </c>
      <c r="IU53" s="4">
        <v>-10.003</v>
      </c>
      <c r="IV53" s="4">
        <v>-3.9729999999999999</v>
      </c>
      <c r="IW53" s="4">
        <v>-10.084</v>
      </c>
      <c r="IX53" s="4">
        <v>-2.9420000000000002</v>
      </c>
      <c r="IY53" s="4">
        <v>-5.2439999999999998</v>
      </c>
      <c r="IZ53" s="4">
        <v>-3.9390000000000001</v>
      </c>
      <c r="JA53" s="4">
        <v>-4.3869999999999996</v>
      </c>
      <c r="JB53" s="4">
        <v>-4.9950000000000001</v>
      </c>
      <c r="JC53" s="4">
        <v>-8.5449999999999999</v>
      </c>
      <c r="JD53" s="4">
        <v>-2.9950000000000001</v>
      </c>
      <c r="JE53" s="4">
        <v>-1.679</v>
      </c>
      <c r="JF53" s="4">
        <v>-1.619</v>
      </c>
      <c r="JG53" s="4">
        <v>-4.0129999999999999</v>
      </c>
      <c r="JH53" s="4">
        <v>-2.2170000000000001</v>
      </c>
      <c r="JI53" s="4">
        <v>-5.9420000000000002</v>
      </c>
      <c r="JJ53" s="4">
        <v>-4.3499999999999996</v>
      </c>
      <c r="JK53" s="4">
        <v>-3.9180000000000001</v>
      </c>
      <c r="JL53" s="4">
        <v>-0.51300000000000001</v>
      </c>
      <c r="JM53" s="4">
        <v>-2.903</v>
      </c>
      <c r="JN53" s="4">
        <v>-3.5830000000000002</v>
      </c>
      <c r="JO53" s="4">
        <v>-3.746</v>
      </c>
      <c r="JP53" s="4">
        <v>-2.7170000000000001</v>
      </c>
      <c r="JQ53" s="4">
        <v>-3.03</v>
      </c>
      <c r="JR53" s="4">
        <v>-4.4240000000000004</v>
      </c>
      <c r="JS53" s="4">
        <v>-10.288</v>
      </c>
      <c r="JT53" s="4">
        <v>-4.0579999999999998</v>
      </c>
      <c r="JU53" s="4">
        <v>-4.1420000000000003</v>
      </c>
      <c r="JV53" s="4">
        <v>-4.6769999999999996</v>
      </c>
      <c r="JW53" s="4">
        <v>-3.786</v>
      </c>
      <c r="JX53" s="4">
        <v>-3.9390000000000001</v>
      </c>
      <c r="JY53" s="4">
        <v>-4.1719999999999997</v>
      </c>
      <c r="JZ53" s="4">
        <v>-4.6719999999999997</v>
      </c>
      <c r="KA53" s="4">
        <v>-2.8690000000000002</v>
      </c>
      <c r="KB53" s="4">
        <v>-11.241</v>
      </c>
      <c r="KC53" s="4">
        <v>-7.1180000000000003</v>
      </c>
      <c r="KD53" s="4">
        <v>-3.581</v>
      </c>
      <c r="KE53" s="4">
        <v>-1.6779999999999999</v>
      </c>
      <c r="KF53" s="4">
        <v>-3.738</v>
      </c>
      <c r="KG53" s="4">
        <v>-3.794</v>
      </c>
      <c r="KH53" s="4">
        <v>-3.496</v>
      </c>
      <c r="KI53" s="4">
        <v>-4.6340000000000003</v>
      </c>
      <c r="KJ53" s="4">
        <v>-2.8140000000000001</v>
      </c>
      <c r="KK53" s="4">
        <v>-3.4289999999999998</v>
      </c>
      <c r="KL53" s="4">
        <v>-3.968</v>
      </c>
      <c r="KM53" s="4">
        <v>-12.263999999999999</v>
      </c>
      <c r="KN53" s="4">
        <v>-4</v>
      </c>
      <c r="KO53" s="4">
        <v>-12.042</v>
      </c>
      <c r="KP53" s="4">
        <v>-4.3449999999999998</v>
      </c>
      <c r="KQ53" s="4">
        <v>-1.972</v>
      </c>
      <c r="KR53" s="4">
        <v>-4.4080000000000004</v>
      </c>
      <c r="KS53" s="4">
        <v>-0.68200000000000005</v>
      </c>
    </row>
    <row r="54" spans="1:305" x14ac:dyDescent="0.25">
      <c r="A54" s="4">
        <v>2018</v>
      </c>
      <c r="B54" s="4">
        <v>3</v>
      </c>
      <c r="C54" s="4">
        <v>-10.459</v>
      </c>
      <c r="D54" s="4">
        <v>-2.1920000000000002</v>
      </c>
      <c r="E54" s="4">
        <v>-1.415</v>
      </c>
      <c r="F54" s="4">
        <v>-1.944</v>
      </c>
      <c r="G54" s="4">
        <v>-1.4590000000000001</v>
      </c>
      <c r="H54" s="4">
        <v>-6.1180000000000003</v>
      </c>
      <c r="I54" s="4">
        <v>-1.897</v>
      </c>
      <c r="J54" s="4">
        <v>-7.9290000000000003</v>
      </c>
      <c r="K54" s="4">
        <v>-2.1850000000000001</v>
      </c>
      <c r="L54" s="4">
        <v>-0.29699999999999999</v>
      </c>
      <c r="M54" s="4">
        <v>-6.8390000000000004</v>
      </c>
      <c r="N54" s="4">
        <v>-2.5169999999999999</v>
      </c>
      <c r="O54" s="4">
        <v>-7.7080000000000002</v>
      </c>
      <c r="P54" s="4">
        <v>-3.5680000000000001</v>
      </c>
      <c r="Q54" s="4">
        <v>-10.554</v>
      </c>
      <c r="R54" s="4">
        <v>-9.5090000000000003</v>
      </c>
      <c r="S54" s="4">
        <v>-3.476</v>
      </c>
      <c r="T54" s="4">
        <v>-2.4569999999999999</v>
      </c>
      <c r="U54" s="4">
        <v>-2.9289999999999998</v>
      </c>
      <c r="V54" s="4">
        <v>-2.452</v>
      </c>
      <c r="W54" s="4">
        <v>-3.5920000000000001</v>
      </c>
      <c r="X54" s="4">
        <v>-0.56899999999999995</v>
      </c>
      <c r="Y54" s="4">
        <v>-2.7469999999999999</v>
      </c>
      <c r="Z54" s="4">
        <v>-6.8090000000000002</v>
      </c>
      <c r="AA54" s="4">
        <v>-0.20799999999999999</v>
      </c>
      <c r="AB54" s="4">
        <v>-7.7389999999999999</v>
      </c>
      <c r="AC54" s="4">
        <v>-1.8919999999999999</v>
      </c>
      <c r="AD54" s="4">
        <v>-5.1319999999999997</v>
      </c>
      <c r="AE54" s="4">
        <v>-2.379</v>
      </c>
      <c r="AF54" s="4">
        <v>-0.28599999999999998</v>
      </c>
      <c r="AG54" s="4">
        <v>-4.1749999999999998</v>
      </c>
      <c r="AH54" s="4">
        <v>-2.2280000000000002</v>
      </c>
      <c r="AI54" s="4">
        <v>-7.7290000000000001</v>
      </c>
      <c r="AJ54" s="4">
        <v>-0.58899999999999997</v>
      </c>
      <c r="AK54" s="4">
        <v>-0.223</v>
      </c>
      <c r="AL54" s="4">
        <v>0.20699999999999999</v>
      </c>
      <c r="AM54" s="4">
        <v>-4.1840000000000002</v>
      </c>
      <c r="AN54" s="4">
        <v>-2.15</v>
      </c>
      <c r="AO54" s="4">
        <v>-3.0459999999999998</v>
      </c>
      <c r="AP54" s="4">
        <v>-5.8360000000000003</v>
      </c>
      <c r="AQ54" s="4">
        <v>-9.5440000000000005</v>
      </c>
      <c r="AR54" s="4">
        <v>-5.6849999999999996</v>
      </c>
      <c r="AS54" s="4">
        <v>-2.84</v>
      </c>
      <c r="AT54" s="4">
        <v>-2.899</v>
      </c>
      <c r="AU54" s="4">
        <v>-1.5449999999999999</v>
      </c>
      <c r="AV54" s="4">
        <v>-2.9620000000000002</v>
      </c>
      <c r="AW54" s="4">
        <v>-2.5979999999999999</v>
      </c>
      <c r="AX54" s="4">
        <v>-0.182</v>
      </c>
      <c r="AY54" s="4">
        <v>-2.036</v>
      </c>
      <c r="AZ54" s="4">
        <v>-3.5259999999999998</v>
      </c>
      <c r="BA54" s="4">
        <v>-0.54400000000000004</v>
      </c>
      <c r="BB54" s="4">
        <v>-3.1589999999999998</v>
      </c>
      <c r="BC54" s="4">
        <v>0.46200000000000002</v>
      </c>
      <c r="BD54" s="4">
        <v>-4.0919999999999996</v>
      </c>
      <c r="BE54" s="4">
        <v>-2.3130000000000002</v>
      </c>
      <c r="BF54" s="4">
        <v>-3.9660000000000002</v>
      </c>
      <c r="BG54" s="4">
        <v>-3.5139999999999998</v>
      </c>
      <c r="BH54" s="4">
        <v>-2.282</v>
      </c>
      <c r="BI54" s="4">
        <v>-2.6190000000000002</v>
      </c>
      <c r="BJ54" s="4">
        <v>-7.7779999999999996</v>
      </c>
      <c r="BK54" s="4">
        <v>-3.0979999999999999</v>
      </c>
      <c r="BL54" s="4">
        <v>-7.8819999999999997</v>
      </c>
      <c r="BM54" s="4">
        <v>-9.9550000000000001</v>
      </c>
      <c r="BN54" s="4">
        <v>-4.67</v>
      </c>
      <c r="BO54" s="4">
        <v>-9.8780000000000001</v>
      </c>
      <c r="BP54" s="4">
        <v>-3.2879999999999998</v>
      </c>
      <c r="BQ54" s="4">
        <v>-2.0390000000000001</v>
      </c>
      <c r="BR54" s="4">
        <v>-2.5760000000000001</v>
      </c>
      <c r="BS54" s="4">
        <v>-0.79400000000000004</v>
      </c>
      <c r="BT54" s="4">
        <v>-2.1269999999999998</v>
      </c>
      <c r="BU54" s="4">
        <v>-1.905</v>
      </c>
      <c r="BV54" s="4">
        <v>-2.6890000000000001</v>
      </c>
      <c r="BW54" s="4">
        <v>-4.3860000000000001</v>
      </c>
      <c r="BX54" s="4">
        <v>-4.0190000000000001</v>
      </c>
      <c r="BY54" s="4">
        <v>-2.706</v>
      </c>
      <c r="BZ54" s="4">
        <v>-2.8050000000000002</v>
      </c>
      <c r="CA54" s="4">
        <v>-0.39500000000000002</v>
      </c>
      <c r="CB54" s="4">
        <v>-2.3090000000000002</v>
      </c>
      <c r="CC54" s="4">
        <v>-7.2160000000000002</v>
      </c>
      <c r="CD54" s="4">
        <v>-2.0859999999999999</v>
      </c>
      <c r="CE54" s="4">
        <v>-7.9980000000000002</v>
      </c>
      <c r="CF54" s="4">
        <v>-4.9320000000000004</v>
      </c>
      <c r="CG54" s="4">
        <v>-1.19</v>
      </c>
      <c r="CH54" s="4">
        <v>-0.748</v>
      </c>
      <c r="CI54" s="4">
        <v>-3.8690000000000002</v>
      </c>
      <c r="CJ54" s="4">
        <v>-8.2629999999999999</v>
      </c>
      <c r="CK54" s="4">
        <v>-0.08</v>
      </c>
      <c r="CL54" s="4">
        <v>-11.824</v>
      </c>
      <c r="CM54" s="4">
        <v>-0.88400000000000001</v>
      </c>
      <c r="CN54" s="4">
        <v>-2.3559999999999999</v>
      </c>
      <c r="CO54" s="4">
        <v>-1.944</v>
      </c>
      <c r="CP54" s="4">
        <v>-3.9129999999999998</v>
      </c>
      <c r="CQ54" s="4">
        <v>-0.127</v>
      </c>
      <c r="CR54" s="4">
        <v>-1.4710000000000001</v>
      </c>
      <c r="CS54" s="4">
        <v>-0.56000000000000005</v>
      </c>
      <c r="CT54" s="4">
        <v>-0.629</v>
      </c>
      <c r="CU54" s="4">
        <v>-2.6179999999999999</v>
      </c>
      <c r="CV54" s="4">
        <v>-2.149</v>
      </c>
      <c r="CW54" s="4">
        <v>-4.7039999999999997</v>
      </c>
      <c r="CX54" s="4">
        <v>-2.0409999999999999</v>
      </c>
      <c r="CY54" s="4">
        <v>-1.5589999999999999</v>
      </c>
      <c r="CZ54" s="4">
        <v>-2.081</v>
      </c>
      <c r="DA54" s="4">
        <v>-10.004</v>
      </c>
      <c r="DB54" s="4">
        <v>-2.4529999999999998</v>
      </c>
      <c r="DC54" s="4">
        <v>-8.0950000000000006</v>
      </c>
      <c r="DD54" s="4">
        <v>-7.9610000000000003</v>
      </c>
      <c r="DE54" s="4">
        <v>-0.497</v>
      </c>
      <c r="DF54" s="4">
        <v>-12.204000000000001</v>
      </c>
      <c r="DG54" s="4">
        <v>-1.9259999999999999</v>
      </c>
      <c r="DH54" s="4">
        <v>-0.45100000000000001</v>
      </c>
      <c r="DI54" s="4">
        <v>-3.2970000000000002</v>
      </c>
      <c r="DJ54" s="4">
        <v>-0.27600000000000002</v>
      </c>
      <c r="DK54" s="4">
        <v>-2.5169999999999999</v>
      </c>
      <c r="DL54" s="4">
        <v>-2.4260000000000002</v>
      </c>
      <c r="DM54" s="4">
        <v>8.7999999999999995E-2</v>
      </c>
      <c r="DN54" s="4">
        <v>-3.1419999999999999</v>
      </c>
      <c r="DO54" s="4">
        <v>-1.546</v>
      </c>
      <c r="DP54" s="4">
        <v>-10.795</v>
      </c>
      <c r="DQ54" s="4">
        <v>-2.6840000000000002</v>
      </c>
      <c r="DR54" s="4">
        <v>-0.45400000000000001</v>
      </c>
      <c r="DS54" s="4">
        <v>-3.1019999999999999</v>
      </c>
      <c r="DT54" s="4">
        <v>-2.673</v>
      </c>
      <c r="DU54" s="4">
        <v>-4.0199999999999996</v>
      </c>
      <c r="DV54" s="4">
        <v>-6.2450000000000001</v>
      </c>
      <c r="DW54" s="4">
        <v>-7.2999999999999995E-2</v>
      </c>
      <c r="DX54" s="4">
        <v>-2.778</v>
      </c>
      <c r="DY54" s="4">
        <v>-2.5830000000000002</v>
      </c>
      <c r="DZ54" s="4">
        <v>-1.216</v>
      </c>
      <c r="EA54" s="4">
        <v>-0.80900000000000005</v>
      </c>
      <c r="EB54" s="4">
        <v>-2.5259999999999998</v>
      </c>
      <c r="EC54" s="4">
        <v>-10.374000000000001</v>
      </c>
      <c r="ED54" s="4">
        <v>-0.50600000000000001</v>
      </c>
      <c r="EE54" s="4">
        <v>6.8000000000000005E-2</v>
      </c>
      <c r="EF54" s="4">
        <v>-2.8359999999999999</v>
      </c>
      <c r="EG54" s="4">
        <v>-2.7490000000000001</v>
      </c>
      <c r="EH54" s="4">
        <v>-4.9370000000000003</v>
      </c>
      <c r="EI54" s="4">
        <v>-1.62</v>
      </c>
      <c r="EJ54" s="4">
        <v>-1.843</v>
      </c>
      <c r="EK54" s="4">
        <v>-2.1659999999999999</v>
      </c>
      <c r="EL54" s="4">
        <v>-1.841</v>
      </c>
      <c r="EM54" s="4">
        <v>-1.7669999999999999</v>
      </c>
      <c r="EN54" s="4">
        <v>-3.0790000000000002</v>
      </c>
      <c r="EO54" s="4">
        <v>-2.3149999999999999</v>
      </c>
      <c r="EP54" s="4">
        <v>-1.7669999999999999</v>
      </c>
      <c r="EQ54" s="4">
        <v>-6.1280000000000001</v>
      </c>
      <c r="ER54" s="4">
        <v>0.219</v>
      </c>
      <c r="ES54" s="4">
        <v>-3.94</v>
      </c>
      <c r="ET54" s="4">
        <v>-7.7240000000000002</v>
      </c>
      <c r="EU54" s="4">
        <v>5.8000000000000003E-2</v>
      </c>
      <c r="EV54" s="4">
        <v>-8.92</v>
      </c>
      <c r="EW54" s="4">
        <v>-1.3140000000000001</v>
      </c>
      <c r="EX54" s="4">
        <v>-9.3179999999999996</v>
      </c>
      <c r="EY54" s="4">
        <v>-2.7429999999999999</v>
      </c>
      <c r="EZ54" s="4">
        <v>0.24</v>
      </c>
      <c r="FA54" s="4">
        <v>-6.2350000000000003</v>
      </c>
      <c r="FB54" s="4">
        <v>-2.0819999999999999</v>
      </c>
      <c r="FC54" s="4">
        <v>-1.083</v>
      </c>
      <c r="FD54" s="4">
        <v>-3.2389999999999999</v>
      </c>
      <c r="FE54" s="4">
        <v>-1.9079999999999999</v>
      </c>
      <c r="FF54" s="4">
        <v>-2.7040000000000002</v>
      </c>
      <c r="FG54" s="4">
        <v>-0.97</v>
      </c>
      <c r="FH54" s="4">
        <v>-0.55300000000000005</v>
      </c>
      <c r="FI54" s="4">
        <v>-5.2869999999999999</v>
      </c>
      <c r="FJ54" s="4">
        <v>-0.48699999999999999</v>
      </c>
      <c r="FK54" s="4">
        <v>-2.5880000000000001</v>
      </c>
      <c r="FL54" s="4">
        <v>-1.9670000000000001</v>
      </c>
      <c r="FM54" s="4">
        <v>-3.7080000000000002</v>
      </c>
      <c r="FN54" s="4">
        <v>-2.097</v>
      </c>
      <c r="FO54" s="4">
        <v>-3.1419999999999999</v>
      </c>
      <c r="FP54" s="4">
        <v>-3.1520000000000001</v>
      </c>
      <c r="FQ54" s="4">
        <v>-4.0970000000000004</v>
      </c>
      <c r="FR54" s="4">
        <v>-4.9610000000000003</v>
      </c>
      <c r="FS54" s="4">
        <v>-5.6980000000000004</v>
      </c>
      <c r="FT54" s="4">
        <v>-2.1179999999999999</v>
      </c>
      <c r="FU54" s="4">
        <v>-3.0430000000000001</v>
      </c>
      <c r="FV54" s="4">
        <v>-8.5220000000000002</v>
      </c>
      <c r="FW54" s="4">
        <v>-1.2190000000000001</v>
      </c>
      <c r="FX54" s="4">
        <v>-1.968</v>
      </c>
      <c r="FY54" s="4">
        <v>-2.5179999999999998</v>
      </c>
      <c r="FZ54" s="4">
        <v>-1.6220000000000001</v>
      </c>
      <c r="GA54" s="4">
        <v>-4.2720000000000002</v>
      </c>
      <c r="GB54" s="4">
        <v>-0.61099999999999999</v>
      </c>
      <c r="GC54" s="4">
        <v>-2.1960000000000002</v>
      </c>
      <c r="GD54" s="4">
        <v>-0.73299999999999998</v>
      </c>
      <c r="GE54" s="4">
        <v>-2.4430000000000001</v>
      </c>
      <c r="GF54" s="4">
        <v>-0.82099999999999995</v>
      </c>
      <c r="GG54" s="4">
        <v>-5.923</v>
      </c>
      <c r="GH54" s="4">
        <v>-5.43</v>
      </c>
      <c r="GI54" s="4">
        <v>-1.448</v>
      </c>
      <c r="GJ54" s="4">
        <v>-0.94599999999999995</v>
      </c>
      <c r="GK54" s="4">
        <v>-0.91900000000000004</v>
      </c>
      <c r="GL54" s="4">
        <v>-2.3279999999999998</v>
      </c>
      <c r="GM54" s="4">
        <v>-2.5550000000000002</v>
      </c>
      <c r="GN54" s="4">
        <v>-7.5819999999999999</v>
      </c>
      <c r="GO54" s="4">
        <v>-3.177</v>
      </c>
      <c r="GP54" s="4">
        <v>-5.3140000000000001</v>
      </c>
      <c r="GQ54" s="4">
        <v>-8.4109999999999996</v>
      </c>
      <c r="GR54" s="4">
        <v>-8.2929999999999993</v>
      </c>
      <c r="GS54" s="4">
        <v>-1.6220000000000001</v>
      </c>
      <c r="GT54" s="4">
        <v>-9.2780000000000005</v>
      </c>
      <c r="GU54" s="4">
        <v>-1.256</v>
      </c>
      <c r="GV54" s="4">
        <v>-7.0439999999999996</v>
      </c>
      <c r="GW54" s="4">
        <v>-5.1980000000000004</v>
      </c>
      <c r="GX54" s="4">
        <v>-10.651</v>
      </c>
      <c r="GY54" s="4">
        <v>-6.2149999999999999</v>
      </c>
      <c r="GZ54" s="4">
        <v>-0.47299999999999998</v>
      </c>
      <c r="HA54" s="4">
        <v>-2.38</v>
      </c>
      <c r="HB54" s="4">
        <v>-3.4660000000000002</v>
      </c>
      <c r="HC54" s="4">
        <v>-2.1859999999999999</v>
      </c>
      <c r="HD54" s="4">
        <v>-7.0339999999999998</v>
      </c>
      <c r="HE54" s="4">
        <v>-3.5750000000000002</v>
      </c>
      <c r="HF54" s="4">
        <v>-9.0540000000000003</v>
      </c>
      <c r="HG54" s="4">
        <v>-1.895</v>
      </c>
      <c r="HH54" s="4">
        <v>-4.0519999999999996</v>
      </c>
      <c r="HI54" s="4">
        <v>-2.7450000000000001</v>
      </c>
      <c r="HJ54" s="4">
        <v>-2.8250000000000002</v>
      </c>
      <c r="HK54" s="4">
        <v>0.41499999999999998</v>
      </c>
      <c r="HL54" s="4">
        <v>-0.51100000000000001</v>
      </c>
      <c r="HM54" s="4">
        <v>-2.27</v>
      </c>
      <c r="HN54" s="4">
        <v>-6.4889999999999999</v>
      </c>
      <c r="HO54" s="4">
        <v>-3.4620000000000002</v>
      </c>
      <c r="HP54" s="4">
        <v>-2.7810000000000001</v>
      </c>
      <c r="HQ54" s="4">
        <v>-0.182</v>
      </c>
      <c r="HR54" s="4">
        <v>-2.9910000000000001</v>
      </c>
      <c r="HS54" s="4">
        <v>-3.7509999999999999</v>
      </c>
      <c r="HT54" s="4">
        <v>-3.956</v>
      </c>
      <c r="HU54" s="4">
        <v>-2.1480000000000001</v>
      </c>
      <c r="HV54" s="4">
        <v>-2.3079999999999998</v>
      </c>
      <c r="HW54" s="4">
        <v>-7.1470000000000002</v>
      </c>
      <c r="HX54" s="4">
        <v>-2.23</v>
      </c>
      <c r="HY54" s="4">
        <v>-2.0089999999999999</v>
      </c>
      <c r="HZ54" s="4">
        <v>-0.19500000000000001</v>
      </c>
      <c r="IA54" s="4">
        <v>-9.9979999999999993</v>
      </c>
      <c r="IB54" s="4">
        <v>-1.256</v>
      </c>
      <c r="IC54" s="4">
        <v>5.0000000000000001E-3</v>
      </c>
      <c r="ID54" s="4">
        <v>-1.4710000000000001</v>
      </c>
      <c r="IE54" s="4">
        <v>-1.9750000000000001</v>
      </c>
      <c r="IF54" s="4">
        <v>-2.0379999999999998</v>
      </c>
      <c r="IG54" s="4">
        <v>-3.5939999999999999</v>
      </c>
      <c r="IH54" s="4">
        <v>-8.1579999999999995</v>
      </c>
      <c r="II54" s="4">
        <v>-9.9749999999999996</v>
      </c>
      <c r="IJ54" s="4">
        <v>-2.6840000000000002</v>
      </c>
      <c r="IK54" s="4">
        <v>-1.637</v>
      </c>
      <c r="IL54" s="4">
        <v>-8.532</v>
      </c>
      <c r="IM54" s="4">
        <v>-2.0219999999999998</v>
      </c>
      <c r="IN54" s="4">
        <v>-5.0519999999999996</v>
      </c>
      <c r="IO54" s="4">
        <v>-3.6930000000000001</v>
      </c>
      <c r="IP54" s="4">
        <v>-2.992</v>
      </c>
      <c r="IQ54" s="4">
        <v>-0.161</v>
      </c>
      <c r="IR54" s="4">
        <v>-5.2999999999999999E-2</v>
      </c>
      <c r="IS54" s="4">
        <v>-8.125</v>
      </c>
      <c r="IT54" s="4">
        <v>-2.1469999999999998</v>
      </c>
      <c r="IU54" s="4">
        <v>-7.843</v>
      </c>
      <c r="IV54" s="4">
        <v>-2.3140000000000001</v>
      </c>
      <c r="IW54" s="4">
        <v>-8.6329999999999991</v>
      </c>
      <c r="IX54" s="4">
        <v>-1.9039999999999999</v>
      </c>
      <c r="IY54" s="4">
        <v>-3.4079999999999999</v>
      </c>
      <c r="IZ54" s="4">
        <v>-2.4380000000000002</v>
      </c>
      <c r="JA54" s="4">
        <v>-2.911</v>
      </c>
      <c r="JB54" s="4">
        <v>-3.4260000000000002</v>
      </c>
      <c r="JC54" s="4">
        <v>-5.556</v>
      </c>
      <c r="JD54" s="4">
        <v>-1.369</v>
      </c>
      <c r="JE54" s="4">
        <v>-1.028</v>
      </c>
      <c r="JF54" s="4">
        <v>-0.32600000000000001</v>
      </c>
      <c r="JG54" s="4">
        <v>-2.383</v>
      </c>
      <c r="JH54" s="4">
        <v>-0.61</v>
      </c>
      <c r="JI54" s="4">
        <v>-4.2489999999999997</v>
      </c>
      <c r="JJ54" s="4">
        <v>-2.8149999999999999</v>
      </c>
      <c r="JK54" s="4">
        <v>-2.27</v>
      </c>
      <c r="JL54" s="4">
        <v>0.375</v>
      </c>
      <c r="JM54" s="4">
        <v>-1.847</v>
      </c>
      <c r="JN54" s="4">
        <v>-2.1419999999999999</v>
      </c>
      <c r="JO54" s="4">
        <v>-2.1589999999999998</v>
      </c>
      <c r="JP54" s="4">
        <v>-1.7</v>
      </c>
      <c r="JQ54" s="4">
        <v>-1.34</v>
      </c>
      <c r="JR54" s="4">
        <v>-2.8740000000000001</v>
      </c>
      <c r="JS54" s="4">
        <v>-5.8780000000000001</v>
      </c>
      <c r="JT54" s="4">
        <v>-2.5209999999999999</v>
      </c>
      <c r="JU54" s="4">
        <v>-2.5510000000000002</v>
      </c>
      <c r="JV54" s="4">
        <v>-3.141</v>
      </c>
      <c r="JW54" s="4">
        <v>-2.3980000000000001</v>
      </c>
      <c r="JX54" s="4">
        <v>-2.5150000000000001</v>
      </c>
      <c r="JY54" s="4">
        <v>-1.5840000000000001</v>
      </c>
      <c r="JZ54" s="4">
        <v>-3.0880000000000001</v>
      </c>
      <c r="KA54" s="4">
        <v>-1.9370000000000001</v>
      </c>
      <c r="KB54" s="4">
        <v>-6.4859999999999998</v>
      </c>
      <c r="KC54" s="4">
        <v>-5.55</v>
      </c>
      <c r="KD54" s="4">
        <v>-2.012</v>
      </c>
      <c r="KE54" s="4">
        <v>-0.56799999999999995</v>
      </c>
      <c r="KF54" s="4">
        <v>-2.2330000000000001</v>
      </c>
      <c r="KG54" s="4">
        <v>-2.2120000000000002</v>
      </c>
      <c r="KH54" s="4">
        <v>-1.927</v>
      </c>
      <c r="KI54" s="4">
        <v>-2.681</v>
      </c>
      <c r="KJ54" s="4">
        <v>-0.94199999999999995</v>
      </c>
      <c r="KK54" s="4">
        <v>-1.877</v>
      </c>
      <c r="KL54" s="4">
        <v>-2.585</v>
      </c>
      <c r="KM54" s="4">
        <v>-10.38</v>
      </c>
      <c r="KN54" s="4">
        <v>-2.242</v>
      </c>
      <c r="KO54" s="4">
        <v>-7.4770000000000003</v>
      </c>
      <c r="KP54" s="4">
        <v>-2.3730000000000002</v>
      </c>
      <c r="KQ54" s="4">
        <v>-0.91300000000000003</v>
      </c>
      <c r="KR54" s="4">
        <v>-2.8540000000000001</v>
      </c>
      <c r="KS54" s="4">
        <v>0.124</v>
      </c>
    </row>
    <row r="55" spans="1:305" x14ac:dyDescent="0.25">
      <c r="A55" s="4">
        <v>2018</v>
      </c>
      <c r="B55" s="4">
        <v>4</v>
      </c>
      <c r="C55" s="4">
        <v>-1.587</v>
      </c>
      <c r="D55" s="4">
        <v>6.07</v>
      </c>
      <c r="E55" s="4">
        <v>7.21</v>
      </c>
      <c r="F55" s="4">
        <v>6.9269999999999996</v>
      </c>
      <c r="G55" s="4">
        <v>7.66</v>
      </c>
      <c r="H55" s="4">
        <v>2.7930000000000001</v>
      </c>
      <c r="I55" s="4">
        <v>7.3920000000000003</v>
      </c>
      <c r="J55" s="4">
        <v>1.4490000000000001</v>
      </c>
      <c r="K55" s="4">
        <v>6.0010000000000003</v>
      </c>
      <c r="L55" s="4">
        <v>8.8640000000000008</v>
      </c>
      <c r="M55" s="4">
        <v>2.4279999999999999</v>
      </c>
      <c r="N55" s="4">
        <v>6.3739999999999997</v>
      </c>
      <c r="O55" s="4">
        <v>1.7669999999999999</v>
      </c>
      <c r="P55" s="4">
        <v>5.38</v>
      </c>
      <c r="Q55" s="4">
        <v>-1.0580000000000001</v>
      </c>
      <c r="R55" s="4">
        <v>0.28000000000000003</v>
      </c>
      <c r="S55" s="4">
        <v>5.1609999999999996</v>
      </c>
      <c r="T55" s="4">
        <v>7.0359999999999996</v>
      </c>
      <c r="U55" s="4">
        <v>6.14</v>
      </c>
      <c r="V55" s="4">
        <v>6.66</v>
      </c>
      <c r="W55" s="4">
        <v>4.992</v>
      </c>
      <c r="X55" s="4">
        <v>8.3670000000000009</v>
      </c>
      <c r="Y55" s="4">
        <v>6.1529999999999996</v>
      </c>
      <c r="Z55" s="4">
        <v>2.448</v>
      </c>
      <c r="AA55" s="4">
        <v>9.2200000000000006</v>
      </c>
      <c r="AB55" s="4">
        <v>1.403</v>
      </c>
      <c r="AC55" s="4">
        <v>7.0810000000000004</v>
      </c>
      <c r="AD55" s="4">
        <v>3.6909999999999998</v>
      </c>
      <c r="AE55" s="4">
        <v>6.6870000000000003</v>
      </c>
      <c r="AF55" s="4">
        <v>7.6669999999999998</v>
      </c>
      <c r="AG55" s="4">
        <v>4.4580000000000002</v>
      </c>
      <c r="AH55" s="4">
        <v>6.125</v>
      </c>
      <c r="AI55" s="4">
        <v>1.6020000000000001</v>
      </c>
      <c r="AJ55" s="4">
        <v>8.3810000000000002</v>
      </c>
      <c r="AK55" s="4">
        <v>8.1470000000000002</v>
      </c>
      <c r="AL55" s="4">
        <v>9.3510000000000009</v>
      </c>
      <c r="AM55" s="4">
        <v>4.5919999999999996</v>
      </c>
      <c r="AN55" s="4">
        <v>6.4489999999999998</v>
      </c>
      <c r="AO55" s="4">
        <v>5.8730000000000002</v>
      </c>
      <c r="AP55" s="4">
        <v>2.9180000000000001</v>
      </c>
      <c r="AQ55" s="4">
        <v>0.77900000000000003</v>
      </c>
      <c r="AR55" s="4">
        <v>3.2090000000000001</v>
      </c>
      <c r="AS55" s="4">
        <v>6.0869999999999997</v>
      </c>
      <c r="AT55" s="4">
        <v>6.4630000000000001</v>
      </c>
      <c r="AU55" s="4">
        <v>7.5439999999999996</v>
      </c>
      <c r="AV55" s="4">
        <v>6.08</v>
      </c>
      <c r="AW55" s="4">
        <v>6.2939999999999996</v>
      </c>
      <c r="AX55" s="4">
        <v>9.2200000000000006</v>
      </c>
      <c r="AY55" s="4">
        <v>6.9379999999999997</v>
      </c>
      <c r="AZ55" s="4">
        <v>5.0469999999999997</v>
      </c>
      <c r="BA55" s="4">
        <v>7.9790000000000001</v>
      </c>
      <c r="BB55" s="4">
        <v>6.5179999999999998</v>
      </c>
      <c r="BC55" s="4">
        <v>7.4089999999999998</v>
      </c>
      <c r="BD55" s="4">
        <v>4.3220000000000001</v>
      </c>
      <c r="BE55" s="4">
        <v>6.266</v>
      </c>
      <c r="BF55" s="4">
        <v>4.8280000000000003</v>
      </c>
      <c r="BG55" s="4">
        <v>5.008</v>
      </c>
      <c r="BH55" s="4">
        <v>6.532</v>
      </c>
      <c r="BI55" s="4">
        <v>6.2039999999999997</v>
      </c>
      <c r="BJ55" s="4">
        <v>1.7290000000000001</v>
      </c>
      <c r="BK55" s="4">
        <v>5.8339999999999996</v>
      </c>
      <c r="BL55" s="4">
        <v>1.728</v>
      </c>
      <c r="BM55" s="4">
        <v>0.56899999999999995</v>
      </c>
      <c r="BN55" s="4">
        <v>4.1950000000000003</v>
      </c>
      <c r="BO55" s="4">
        <v>0.10299999999999999</v>
      </c>
      <c r="BP55" s="4">
        <v>4.4509999999999996</v>
      </c>
      <c r="BQ55" s="4">
        <v>7.0259999999999998</v>
      </c>
      <c r="BR55" s="4">
        <v>5.92</v>
      </c>
      <c r="BS55" s="4">
        <v>7.6509999999999998</v>
      </c>
      <c r="BT55" s="4">
        <v>7.21</v>
      </c>
      <c r="BU55" s="4">
        <v>6.8150000000000004</v>
      </c>
      <c r="BV55" s="4">
        <v>6.1630000000000003</v>
      </c>
      <c r="BW55" s="4">
        <v>4.3620000000000001</v>
      </c>
      <c r="BX55" s="4">
        <v>4.6500000000000004</v>
      </c>
      <c r="BY55" s="4">
        <v>6.4370000000000003</v>
      </c>
      <c r="BZ55" s="4">
        <v>6.0970000000000004</v>
      </c>
      <c r="CA55" s="4">
        <v>8.2739999999999991</v>
      </c>
      <c r="CB55" s="4">
        <v>5.4450000000000003</v>
      </c>
      <c r="CC55" s="4">
        <v>2.073</v>
      </c>
      <c r="CD55" s="4">
        <v>5.6470000000000002</v>
      </c>
      <c r="CE55" s="4">
        <v>0.245</v>
      </c>
      <c r="CF55" s="4">
        <v>3.0009999999999999</v>
      </c>
      <c r="CG55" s="4">
        <v>7.6070000000000002</v>
      </c>
      <c r="CH55" s="4">
        <v>8.2409999999999997</v>
      </c>
      <c r="CI55" s="4">
        <v>4.7119999999999997</v>
      </c>
      <c r="CJ55" s="4">
        <v>0.99299999999999999</v>
      </c>
      <c r="CK55" s="4">
        <v>9.0860000000000003</v>
      </c>
      <c r="CL55" s="4">
        <v>-2.0259999999999998</v>
      </c>
      <c r="CM55" s="4">
        <v>6.8330000000000002</v>
      </c>
      <c r="CN55" s="4">
        <v>6.9320000000000004</v>
      </c>
      <c r="CO55" s="4">
        <v>6.3959999999999999</v>
      </c>
      <c r="CP55" s="4">
        <v>4.3780000000000001</v>
      </c>
      <c r="CQ55" s="4">
        <v>8.3640000000000008</v>
      </c>
      <c r="CR55" s="4">
        <v>7.6379999999999999</v>
      </c>
      <c r="CS55" s="4">
        <v>8.6769999999999996</v>
      </c>
      <c r="CT55" s="4">
        <v>8.6340000000000003</v>
      </c>
      <c r="CU55" s="4">
        <v>6.5460000000000003</v>
      </c>
      <c r="CV55" s="4">
        <v>6.1239999999999997</v>
      </c>
      <c r="CW55" s="4">
        <v>3.4420000000000002</v>
      </c>
      <c r="CX55" s="4">
        <v>7.2</v>
      </c>
      <c r="CY55" s="4">
        <v>7.468</v>
      </c>
      <c r="CZ55" s="4">
        <v>6.6470000000000002</v>
      </c>
      <c r="DA55" s="4">
        <v>-1.7000000000000001E-2</v>
      </c>
      <c r="DB55" s="4">
        <v>6.7690000000000001</v>
      </c>
      <c r="DC55" s="4">
        <v>1.639</v>
      </c>
      <c r="DD55" s="4">
        <v>0.35199999999999998</v>
      </c>
      <c r="DE55" s="4">
        <v>7.6159999999999997</v>
      </c>
      <c r="DF55" s="4">
        <v>-1.5089999999999999</v>
      </c>
      <c r="DG55" s="4">
        <v>6.1219999999999999</v>
      </c>
      <c r="DH55" s="4">
        <v>7.79</v>
      </c>
      <c r="DI55" s="4">
        <v>5.5789999999999997</v>
      </c>
      <c r="DJ55" s="4">
        <v>7.5880000000000001</v>
      </c>
      <c r="DK55" s="4">
        <v>5.77</v>
      </c>
      <c r="DL55" s="4">
        <v>6.4379999999999997</v>
      </c>
      <c r="DM55" s="4">
        <v>9.36</v>
      </c>
      <c r="DN55" s="4">
        <v>5.7649999999999997</v>
      </c>
      <c r="DO55" s="4">
        <v>7.48</v>
      </c>
      <c r="DP55" s="4">
        <v>-0.78200000000000003</v>
      </c>
      <c r="DQ55" s="4">
        <v>6.4980000000000002</v>
      </c>
      <c r="DR55" s="4">
        <v>8.7729999999999997</v>
      </c>
      <c r="DS55" s="4">
        <v>6.0350000000000001</v>
      </c>
      <c r="DT55" s="4">
        <v>6.2960000000000003</v>
      </c>
      <c r="DU55" s="4">
        <v>4.6929999999999996</v>
      </c>
      <c r="DV55" s="4">
        <v>2.673</v>
      </c>
      <c r="DW55" s="4">
        <v>8.69</v>
      </c>
      <c r="DX55" s="4">
        <v>5.7060000000000004</v>
      </c>
      <c r="DY55" s="4">
        <v>6.5330000000000004</v>
      </c>
      <c r="DZ55" s="4">
        <v>7.3339999999999996</v>
      </c>
      <c r="EA55" s="4">
        <v>7.6550000000000002</v>
      </c>
      <c r="EB55" s="4">
        <v>6.3849999999999998</v>
      </c>
      <c r="EC55" s="4">
        <v>-0.499</v>
      </c>
      <c r="ED55" s="4">
        <v>8.3940000000000001</v>
      </c>
      <c r="EE55" s="4">
        <v>8.9390000000000001</v>
      </c>
      <c r="EF55" s="4">
        <v>6.306</v>
      </c>
      <c r="EG55" s="4">
        <v>6.2889999999999997</v>
      </c>
      <c r="EH55" s="4">
        <v>4</v>
      </c>
      <c r="EI55" s="4">
        <v>7.2110000000000003</v>
      </c>
      <c r="EJ55" s="4">
        <v>7.3689999999999998</v>
      </c>
      <c r="EK55" s="4">
        <v>6.2560000000000002</v>
      </c>
      <c r="EL55" s="4">
        <v>7.1580000000000004</v>
      </c>
      <c r="EM55" s="4">
        <v>6.81</v>
      </c>
      <c r="EN55" s="4">
        <v>5.7190000000000003</v>
      </c>
      <c r="EO55" s="4">
        <v>7.0209999999999999</v>
      </c>
      <c r="EP55" s="4">
        <v>7.4420000000000002</v>
      </c>
      <c r="EQ55" s="4">
        <v>3.0659999999999998</v>
      </c>
      <c r="ER55" s="4">
        <v>9.3510000000000009</v>
      </c>
      <c r="ES55" s="4">
        <v>4.7229999999999999</v>
      </c>
      <c r="ET55" s="4">
        <v>0.19500000000000001</v>
      </c>
      <c r="EU55" s="4">
        <v>9.3979999999999997</v>
      </c>
      <c r="EV55" s="4">
        <v>0.746</v>
      </c>
      <c r="EW55" s="4">
        <v>6.4450000000000003</v>
      </c>
      <c r="EX55" s="4">
        <v>0.50600000000000001</v>
      </c>
      <c r="EY55" s="4">
        <v>6.6559999999999997</v>
      </c>
      <c r="EZ55" s="4">
        <v>9.2270000000000003</v>
      </c>
      <c r="FA55" s="4">
        <v>2.7229999999999999</v>
      </c>
      <c r="FB55" s="4">
        <v>7.0149999999999997</v>
      </c>
      <c r="FC55" s="4">
        <v>7.923</v>
      </c>
      <c r="FD55" s="4">
        <v>5.984</v>
      </c>
      <c r="FE55" s="4">
        <v>6.2530000000000001</v>
      </c>
      <c r="FF55" s="4">
        <v>7.0759999999999996</v>
      </c>
      <c r="FG55" s="4">
        <v>7.6749999999999998</v>
      </c>
      <c r="FH55" s="4">
        <v>7.7050000000000001</v>
      </c>
      <c r="FI55" s="4">
        <v>3.5369999999999999</v>
      </c>
      <c r="FJ55" s="4">
        <v>7.2140000000000004</v>
      </c>
      <c r="FK55" s="4">
        <v>6.3659999999999997</v>
      </c>
      <c r="FL55" s="4">
        <v>6.4409999999999998</v>
      </c>
      <c r="FM55" s="4">
        <v>4.9089999999999998</v>
      </c>
      <c r="FN55" s="4">
        <v>6.2510000000000003</v>
      </c>
      <c r="FO55" s="4">
        <v>6.3209999999999997</v>
      </c>
      <c r="FP55" s="4">
        <v>5.6239999999999997</v>
      </c>
      <c r="FQ55" s="4">
        <v>4.5419999999999998</v>
      </c>
      <c r="FR55" s="4">
        <v>3.395</v>
      </c>
      <c r="FS55" s="4">
        <v>2.5880000000000001</v>
      </c>
      <c r="FT55" s="4">
        <v>6.7380000000000004</v>
      </c>
      <c r="FU55" s="4">
        <v>4.9980000000000002</v>
      </c>
      <c r="FV55" s="4">
        <v>0.99</v>
      </c>
      <c r="FW55" s="4">
        <v>7.7329999999999997</v>
      </c>
      <c r="FX55" s="4">
        <v>6.391</v>
      </c>
      <c r="FY55" s="4">
        <v>6.0289999999999999</v>
      </c>
      <c r="FZ55" s="4">
        <v>5.1820000000000004</v>
      </c>
      <c r="GA55" s="4">
        <v>3.8570000000000002</v>
      </c>
      <c r="GB55" s="4">
        <v>6.827</v>
      </c>
      <c r="GC55" s="4">
        <v>6.8029999999999999</v>
      </c>
      <c r="GD55" s="4">
        <v>8.1080000000000005</v>
      </c>
      <c r="GE55" s="4">
        <v>6.5869999999999997</v>
      </c>
      <c r="GF55" s="4">
        <v>8.2780000000000005</v>
      </c>
      <c r="GG55" s="4">
        <v>2.4689999999999999</v>
      </c>
      <c r="GH55" s="4">
        <v>3.3809999999999998</v>
      </c>
      <c r="GI55" s="4">
        <v>6.7539999999999996</v>
      </c>
      <c r="GJ55" s="4">
        <v>8.0510000000000002</v>
      </c>
      <c r="GK55" s="4">
        <v>7.2889999999999997</v>
      </c>
      <c r="GL55" s="4">
        <v>5.8639999999999999</v>
      </c>
      <c r="GM55" s="4">
        <v>5.7949999999999999</v>
      </c>
      <c r="GN55" s="4">
        <v>1.927</v>
      </c>
      <c r="GO55" s="4">
        <v>4.5439999999999996</v>
      </c>
      <c r="GP55" s="4">
        <v>3.2519999999999998</v>
      </c>
      <c r="GQ55" s="4">
        <v>1.0129999999999999</v>
      </c>
      <c r="GR55" s="4">
        <v>0.88200000000000001</v>
      </c>
      <c r="GS55" s="4">
        <v>6.0449999999999999</v>
      </c>
      <c r="GT55" s="4">
        <v>0.56499999999999995</v>
      </c>
      <c r="GU55" s="4">
        <v>7.524</v>
      </c>
      <c r="GV55" s="4">
        <v>1.3919999999999999</v>
      </c>
      <c r="GW55" s="4">
        <v>3.7989999999999999</v>
      </c>
      <c r="GX55" s="4">
        <v>-1.9319999999999999</v>
      </c>
      <c r="GY55" s="4">
        <v>2.1019999999999999</v>
      </c>
      <c r="GZ55" s="4">
        <v>7.6449999999999996</v>
      </c>
      <c r="HA55" s="4">
        <v>5.907</v>
      </c>
      <c r="HB55" s="4">
        <v>5.4489999999999998</v>
      </c>
      <c r="HC55" s="4">
        <v>6.3360000000000003</v>
      </c>
      <c r="HD55" s="4">
        <v>2.242</v>
      </c>
      <c r="HE55" s="4">
        <v>4.4669999999999996</v>
      </c>
      <c r="HF55" s="4">
        <v>0.63900000000000001</v>
      </c>
      <c r="HG55" s="4">
        <v>6.5750000000000002</v>
      </c>
      <c r="HH55" s="4">
        <v>4.585</v>
      </c>
      <c r="HI55" s="4">
        <v>6.5369999999999999</v>
      </c>
      <c r="HJ55" s="4">
        <v>6.1920000000000002</v>
      </c>
      <c r="HK55" s="4">
        <v>6.9989999999999997</v>
      </c>
      <c r="HL55" s="4">
        <v>8.5990000000000002</v>
      </c>
      <c r="HM55" s="4">
        <v>7.1189999999999998</v>
      </c>
      <c r="HN55" s="4">
        <v>1.748</v>
      </c>
      <c r="HO55" s="4">
        <v>5.2720000000000002</v>
      </c>
      <c r="HP55" s="4">
        <v>6.8470000000000004</v>
      </c>
      <c r="HQ55" s="4">
        <v>8.266</v>
      </c>
      <c r="HR55" s="4">
        <v>4.3680000000000003</v>
      </c>
      <c r="HS55" s="4">
        <v>4.8550000000000004</v>
      </c>
      <c r="HT55" s="4">
        <v>3.6309999999999998</v>
      </c>
      <c r="HU55" s="4">
        <v>6.7640000000000002</v>
      </c>
      <c r="HV55" s="4">
        <v>6.2009999999999996</v>
      </c>
      <c r="HW55" s="4">
        <v>2.177</v>
      </c>
      <c r="HX55" s="4">
        <v>6.5659999999999998</v>
      </c>
      <c r="HY55" s="4">
        <v>6.61</v>
      </c>
      <c r="HZ55" s="4">
        <v>7.6609999999999996</v>
      </c>
      <c r="IA55" s="4">
        <v>0.15</v>
      </c>
      <c r="IB55" s="4">
        <v>6.069</v>
      </c>
      <c r="IC55" s="4">
        <v>9.3079999999999998</v>
      </c>
      <c r="ID55" s="4">
        <v>6.9189999999999996</v>
      </c>
      <c r="IE55" s="4">
        <v>6.6859999999999999</v>
      </c>
      <c r="IF55" s="4">
        <v>6.4459999999999997</v>
      </c>
      <c r="IG55" s="4">
        <v>5.282</v>
      </c>
      <c r="IH55" s="4">
        <v>0.76400000000000001</v>
      </c>
      <c r="II55" s="4">
        <v>0.19500000000000001</v>
      </c>
      <c r="IJ55" s="4">
        <v>6.069</v>
      </c>
      <c r="IK55" s="4">
        <v>6.3230000000000004</v>
      </c>
      <c r="IL55" s="4">
        <v>1.2529999999999999</v>
      </c>
      <c r="IM55" s="4">
        <v>6.6619999999999999</v>
      </c>
      <c r="IN55" s="4">
        <v>3.3130000000000002</v>
      </c>
      <c r="IO55" s="4">
        <v>4.9119999999999999</v>
      </c>
      <c r="IP55" s="4">
        <v>5.859</v>
      </c>
      <c r="IQ55" s="4">
        <v>9.2240000000000002</v>
      </c>
      <c r="IR55" s="4">
        <v>8.9860000000000007</v>
      </c>
      <c r="IS55" s="4">
        <v>1.5649999999999999</v>
      </c>
      <c r="IT55" s="4">
        <v>6.851</v>
      </c>
      <c r="IU55" s="4">
        <v>1.4910000000000001</v>
      </c>
      <c r="IV55" s="4">
        <v>6.3570000000000002</v>
      </c>
      <c r="IW55" s="4">
        <v>0.48399999999999999</v>
      </c>
      <c r="IX55" s="4">
        <v>6.3680000000000003</v>
      </c>
      <c r="IY55" s="4">
        <v>5.1520000000000001</v>
      </c>
      <c r="IZ55" s="4">
        <v>6.9589999999999996</v>
      </c>
      <c r="JA55" s="4">
        <v>6.6289999999999996</v>
      </c>
      <c r="JB55" s="4">
        <v>5.0439999999999996</v>
      </c>
      <c r="JC55" s="4">
        <v>2.923</v>
      </c>
      <c r="JD55" s="4">
        <v>7.6079999999999997</v>
      </c>
      <c r="JE55" s="4">
        <v>6.516</v>
      </c>
      <c r="JF55" s="4">
        <v>8.0370000000000008</v>
      </c>
      <c r="JG55" s="4">
        <v>6.9720000000000004</v>
      </c>
      <c r="JH55" s="4">
        <v>7.6319999999999997</v>
      </c>
      <c r="JI55" s="4">
        <v>4.2969999999999997</v>
      </c>
      <c r="JJ55" s="4">
        <v>6.8040000000000003</v>
      </c>
      <c r="JK55" s="4">
        <v>6.7370000000000001</v>
      </c>
      <c r="JL55" s="4">
        <v>7.8659999999999997</v>
      </c>
      <c r="JM55" s="4">
        <v>6.6180000000000003</v>
      </c>
      <c r="JN55" s="4">
        <v>5.7359999999999998</v>
      </c>
      <c r="JO55" s="4">
        <v>5.8460000000000001</v>
      </c>
      <c r="JP55" s="4">
        <v>6.6319999999999997</v>
      </c>
      <c r="JQ55" s="4">
        <v>7.5309999999999997</v>
      </c>
      <c r="JR55" s="4">
        <v>6.2939999999999996</v>
      </c>
      <c r="JS55" s="4">
        <v>2.67</v>
      </c>
      <c r="JT55" s="4">
        <v>6.2190000000000003</v>
      </c>
      <c r="JU55" s="4">
        <v>6.3390000000000004</v>
      </c>
      <c r="JV55" s="4">
        <v>6.09</v>
      </c>
      <c r="JW55" s="4">
        <v>6.5270000000000001</v>
      </c>
      <c r="JX55" s="4">
        <v>6.6760000000000002</v>
      </c>
      <c r="JY55" s="4">
        <v>6.7640000000000002</v>
      </c>
      <c r="JZ55" s="4">
        <v>5.7590000000000003</v>
      </c>
      <c r="KA55" s="4">
        <v>6.4180000000000001</v>
      </c>
      <c r="KB55" s="4">
        <v>2.5430000000000001</v>
      </c>
      <c r="KC55" s="4">
        <v>3.5150000000000001</v>
      </c>
      <c r="KD55" s="4">
        <v>7.14</v>
      </c>
      <c r="KE55" s="4">
        <v>7.7919999999999998</v>
      </c>
      <c r="KF55" s="4">
        <v>6.9029999999999996</v>
      </c>
      <c r="KG55" s="4">
        <v>5.7519999999999998</v>
      </c>
      <c r="KH55" s="4">
        <v>7.2290000000000001</v>
      </c>
      <c r="KI55" s="4">
        <v>6.2779999999999996</v>
      </c>
      <c r="KJ55" s="4">
        <v>7.0010000000000003</v>
      </c>
      <c r="KK55" s="4">
        <v>7.4550000000000001</v>
      </c>
      <c r="KL55" s="4">
        <v>6.8109999999999999</v>
      </c>
      <c r="KM55" s="4">
        <v>0.249</v>
      </c>
      <c r="KN55" s="4">
        <v>7.0410000000000004</v>
      </c>
      <c r="KO55" s="4">
        <v>1.9450000000000001</v>
      </c>
      <c r="KP55" s="4">
        <v>6.4710000000000001</v>
      </c>
      <c r="KQ55" s="4">
        <v>6.95</v>
      </c>
      <c r="KR55" s="4">
        <v>6.5229999999999997</v>
      </c>
      <c r="KS55" s="4">
        <v>7.1769999999999996</v>
      </c>
    </row>
    <row r="56" spans="1:305" x14ac:dyDescent="0.25">
      <c r="A56" s="4">
        <v>2018</v>
      </c>
      <c r="B56" s="4">
        <v>5</v>
      </c>
      <c r="C56" s="4">
        <v>5.5220000000000002</v>
      </c>
      <c r="D56" s="4">
        <v>15.471</v>
      </c>
      <c r="E56" s="4">
        <v>16.036000000000001</v>
      </c>
      <c r="F56" s="4">
        <v>15.698</v>
      </c>
      <c r="G56" s="4">
        <v>15.115</v>
      </c>
      <c r="H56" s="4">
        <v>13.887</v>
      </c>
      <c r="I56" s="4">
        <v>15.288</v>
      </c>
      <c r="J56" s="4">
        <v>11.536</v>
      </c>
      <c r="K56" s="4">
        <v>14.603</v>
      </c>
      <c r="L56" s="4">
        <v>16.033999999999999</v>
      </c>
      <c r="M56" s="4">
        <v>13.148</v>
      </c>
      <c r="N56" s="4">
        <v>15.849</v>
      </c>
      <c r="O56" s="4">
        <v>11.31</v>
      </c>
      <c r="P56" s="4">
        <v>14.736000000000001</v>
      </c>
      <c r="Q56" s="4">
        <v>8.2509999999999994</v>
      </c>
      <c r="R56" s="4">
        <v>9.9359999999999999</v>
      </c>
      <c r="S56" s="4">
        <v>15.112</v>
      </c>
      <c r="T56" s="4">
        <v>14.818</v>
      </c>
      <c r="U56" s="4">
        <v>15.398999999999999</v>
      </c>
      <c r="V56" s="4">
        <v>14.811999999999999</v>
      </c>
      <c r="W56" s="4">
        <v>15.053000000000001</v>
      </c>
      <c r="X56" s="4">
        <v>15.736000000000001</v>
      </c>
      <c r="Y56" s="4">
        <v>15.351000000000001</v>
      </c>
      <c r="Z56" s="4">
        <v>12.048</v>
      </c>
      <c r="AA56" s="4">
        <v>16.16</v>
      </c>
      <c r="AB56" s="4">
        <v>11.377000000000001</v>
      </c>
      <c r="AC56" s="4">
        <v>15.731999999999999</v>
      </c>
      <c r="AD56" s="4">
        <v>14.528</v>
      </c>
      <c r="AE56" s="4">
        <v>15.538</v>
      </c>
      <c r="AF56" s="4">
        <v>14.208</v>
      </c>
      <c r="AG56" s="4">
        <v>15.042999999999999</v>
      </c>
      <c r="AH56" s="4">
        <v>14.744</v>
      </c>
      <c r="AI56" s="4">
        <v>12.428000000000001</v>
      </c>
      <c r="AJ56" s="4">
        <v>15.266</v>
      </c>
      <c r="AK56" s="4">
        <v>14.786</v>
      </c>
      <c r="AL56" s="4">
        <v>16.122</v>
      </c>
      <c r="AM56" s="4">
        <v>14.888</v>
      </c>
      <c r="AN56" s="4">
        <v>15.318</v>
      </c>
      <c r="AO56" s="4">
        <v>15.414</v>
      </c>
      <c r="AP56" s="4">
        <v>13.358000000000001</v>
      </c>
      <c r="AQ56" s="4">
        <v>11.253</v>
      </c>
      <c r="AR56" s="4">
        <v>14.069000000000001</v>
      </c>
      <c r="AS56" s="4">
        <v>15.205</v>
      </c>
      <c r="AT56" s="4">
        <v>15.132999999999999</v>
      </c>
      <c r="AU56" s="4">
        <v>14.993</v>
      </c>
      <c r="AV56" s="4">
        <v>15.381</v>
      </c>
      <c r="AW56" s="4">
        <v>15.542999999999999</v>
      </c>
      <c r="AX56" s="4">
        <v>15.866</v>
      </c>
      <c r="AY56" s="4">
        <v>15.816000000000001</v>
      </c>
      <c r="AZ56" s="4">
        <v>15.135999999999999</v>
      </c>
      <c r="BA56" s="4">
        <v>15.893000000000001</v>
      </c>
      <c r="BB56" s="4">
        <v>15.535</v>
      </c>
      <c r="BC56" s="4">
        <v>13.824</v>
      </c>
      <c r="BD56" s="4">
        <v>15.12</v>
      </c>
      <c r="BE56" s="4">
        <v>15.378</v>
      </c>
      <c r="BF56" s="4">
        <v>14.749000000000001</v>
      </c>
      <c r="BG56" s="4">
        <v>14.725</v>
      </c>
      <c r="BH56" s="4">
        <v>14.903</v>
      </c>
      <c r="BI56" s="4">
        <v>15.077999999999999</v>
      </c>
      <c r="BJ56" s="4">
        <v>11.728</v>
      </c>
      <c r="BK56" s="4">
        <v>15.709</v>
      </c>
      <c r="BL56" s="4">
        <v>11.737</v>
      </c>
      <c r="BM56" s="4">
        <v>10.942</v>
      </c>
      <c r="BN56" s="4">
        <v>14.836</v>
      </c>
      <c r="BO56" s="4">
        <v>8.8170000000000002</v>
      </c>
      <c r="BP56" s="4">
        <v>14.339</v>
      </c>
      <c r="BQ56" s="4">
        <v>15.535</v>
      </c>
      <c r="BR56" s="4">
        <v>14.541</v>
      </c>
      <c r="BS56" s="4">
        <v>16.373000000000001</v>
      </c>
      <c r="BT56" s="4">
        <v>15.787000000000001</v>
      </c>
      <c r="BU56" s="4">
        <v>15.624000000000001</v>
      </c>
      <c r="BV56" s="4">
        <v>15.564</v>
      </c>
      <c r="BW56" s="4">
        <v>15.065</v>
      </c>
      <c r="BX56" s="4">
        <v>14.837</v>
      </c>
      <c r="BY56" s="4">
        <v>15.505000000000001</v>
      </c>
      <c r="BZ56" s="4">
        <v>15.601000000000001</v>
      </c>
      <c r="CA56" s="4">
        <v>16.225999999999999</v>
      </c>
      <c r="CB56" s="4">
        <v>13.272</v>
      </c>
      <c r="CC56" s="4">
        <v>12.694000000000001</v>
      </c>
      <c r="CD56" s="4">
        <v>13.78</v>
      </c>
      <c r="CE56" s="4">
        <v>9.5039999999999996</v>
      </c>
      <c r="CF56" s="4">
        <v>11.353</v>
      </c>
      <c r="CG56" s="4">
        <v>16.367000000000001</v>
      </c>
      <c r="CH56" s="4">
        <v>14.771000000000001</v>
      </c>
      <c r="CI56" s="4">
        <v>15.002000000000001</v>
      </c>
      <c r="CJ56" s="4">
        <v>12.351000000000001</v>
      </c>
      <c r="CK56" s="4">
        <v>15.971</v>
      </c>
      <c r="CL56" s="4">
        <v>7.7220000000000004</v>
      </c>
      <c r="CM56" s="4">
        <v>14.433</v>
      </c>
      <c r="CN56" s="4">
        <v>15.875999999999999</v>
      </c>
      <c r="CO56" s="4">
        <v>13.364000000000001</v>
      </c>
      <c r="CP56" s="4">
        <v>14.656000000000001</v>
      </c>
      <c r="CQ56" s="4">
        <v>15.367000000000001</v>
      </c>
      <c r="CR56" s="4">
        <v>15.214</v>
      </c>
      <c r="CS56" s="4">
        <v>15.287000000000001</v>
      </c>
      <c r="CT56" s="4">
        <v>15.19</v>
      </c>
      <c r="CU56" s="4">
        <v>15.659000000000001</v>
      </c>
      <c r="CV56" s="4">
        <v>14.785</v>
      </c>
      <c r="CW56" s="4">
        <v>12.952999999999999</v>
      </c>
      <c r="CX56" s="4">
        <v>14.866</v>
      </c>
      <c r="CY56" s="4">
        <v>15.311</v>
      </c>
      <c r="CZ56" s="4">
        <v>15.754</v>
      </c>
      <c r="DA56" s="4">
        <v>9.7669999999999995</v>
      </c>
      <c r="DB56" s="4">
        <v>15.151999999999999</v>
      </c>
      <c r="DC56" s="4">
        <v>12.471</v>
      </c>
      <c r="DD56" s="4">
        <v>9.6280000000000001</v>
      </c>
      <c r="DE56" s="4">
        <v>14.423</v>
      </c>
      <c r="DF56" s="4">
        <v>7.6539999999999999</v>
      </c>
      <c r="DG56" s="4">
        <v>13.651</v>
      </c>
      <c r="DH56" s="4">
        <v>14.494999999999999</v>
      </c>
      <c r="DI56" s="4">
        <v>15.164999999999999</v>
      </c>
      <c r="DJ56" s="4">
        <v>14.815</v>
      </c>
      <c r="DK56" s="4">
        <v>14.45</v>
      </c>
      <c r="DL56" s="4">
        <v>15.247999999999999</v>
      </c>
      <c r="DM56" s="4">
        <v>16.088000000000001</v>
      </c>
      <c r="DN56" s="4">
        <v>15.577999999999999</v>
      </c>
      <c r="DO56" s="4">
        <v>16.157</v>
      </c>
      <c r="DP56" s="4">
        <v>7.8280000000000003</v>
      </c>
      <c r="DQ56" s="4">
        <v>14.696999999999999</v>
      </c>
      <c r="DR56" s="4">
        <v>15.627000000000001</v>
      </c>
      <c r="DS56" s="4">
        <v>15.342000000000001</v>
      </c>
      <c r="DT56" s="4">
        <v>15.698</v>
      </c>
      <c r="DU56" s="4">
        <v>14.891</v>
      </c>
      <c r="DV56" s="4">
        <v>12.401</v>
      </c>
      <c r="DW56" s="4">
        <v>15.042</v>
      </c>
      <c r="DX56" s="4">
        <v>14.922000000000001</v>
      </c>
      <c r="DY56" s="4">
        <v>15.553000000000001</v>
      </c>
      <c r="DZ56" s="4">
        <v>16.131</v>
      </c>
      <c r="EA56" s="4">
        <v>16.291</v>
      </c>
      <c r="EB56" s="4">
        <v>15.743</v>
      </c>
      <c r="EC56" s="4">
        <v>7.4649999999999999</v>
      </c>
      <c r="ED56" s="4">
        <v>15.920999999999999</v>
      </c>
      <c r="EE56" s="4">
        <v>15.646000000000001</v>
      </c>
      <c r="EF56" s="4">
        <v>15.73</v>
      </c>
      <c r="EG56" s="4">
        <v>15.446999999999999</v>
      </c>
      <c r="EH56" s="4">
        <v>14.88</v>
      </c>
      <c r="EI56" s="4">
        <v>15.983000000000001</v>
      </c>
      <c r="EJ56" s="4">
        <v>14.991</v>
      </c>
      <c r="EK56" s="4">
        <v>15.06</v>
      </c>
      <c r="EL56" s="4">
        <v>15.718999999999999</v>
      </c>
      <c r="EM56" s="4">
        <v>15.728</v>
      </c>
      <c r="EN56" s="4">
        <v>15.42</v>
      </c>
      <c r="EO56" s="4">
        <v>15.5</v>
      </c>
      <c r="EP56" s="4">
        <v>15.122999999999999</v>
      </c>
      <c r="EQ56" s="4">
        <v>14.039</v>
      </c>
      <c r="ER56" s="4">
        <v>16.085999999999999</v>
      </c>
      <c r="ES56" s="4">
        <v>15.053000000000001</v>
      </c>
      <c r="ET56" s="4">
        <v>9.4499999999999993</v>
      </c>
      <c r="EU56" s="4">
        <v>16.09</v>
      </c>
      <c r="EV56" s="4">
        <v>11.634</v>
      </c>
      <c r="EW56" s="4">
        <v>15.606999999999999</v>
      </c>
      <c r="EX56" s="4">
        <v>10.428000000000001</v>
      </c>
      <c r="EY56" s="4">
        <v>15.179</v>
      </c>
      <c r="EZ56" s="4">
        <v>16.074000000000002</v>
      </c>
      <c r="FA56" s="4">
        <v>13.766</v>
      </c>
      <c r="FB56" s="4">
        <v>15.505000000000001</v>
      </c>
      <c r="FC56" s="4">
        <v>15.209</v>
      </c>
      <c r="FD56" s="4">
        <v>15.406000000000001</v>
      </c>
      <c r="FE56" s="4">
        <v>14.412000000000001</v>
      </c>
      <c r="FF56" s="4">
        <v>15.631</v>
      </c>
      <c r="FG56" s="4">
        <v>16.420000000000002</v>
      </c>
      <c r="FH56" s="4">
        <v>14.414999999999999</v>
      </c>
      <c r="FI56" s="4">
        <v>14.765000000000001</v>
      </c>
      <c r="FJ56" s="4">
        <v>14.082000000000001</v>
      </c>
      <c r="FK56" s="4">
        <v>15.064</v>
      </c>
      <c r="FL56" s="4">
        <v>15.759</v>
      </c>
      <c r="FM56" s="4">
        <v>14.962</v>
      </c>
      <c r="FN56" s="4">
        <v>15.057</v>
      </c>
      <c r="FO56" s="4">
        <v>15.101000000000001</v>
      </c>
      <c r="FP56" s="4">
        <v>15.18</v>
      </c>
      <c r="FQ56" s="4">
        <v>14.914999999999999</v>
      </c>
      <c r="FR56" s="4">
        <v>12.987</v>
      </c>
      <c r="FS56" s="4">
        <v>11.173</v>
      </c>
      <c r="FT56" s="4">
        <v>14.925000000000001</v>
      </c>
      <c r="FU56" s="4">
        <v>13.641999999999999</v>
      </c>
      <c r="FV56" s="4">
        <v>11.182</v>
      </c>
      <c r="FW56" s="4">
        <v>15.061</v>
      </c>
      <c r="FX56" s="4">
        <v>14.45</v>
      </c>
      <c r="FY56" s="4">
        <v>14.922000000000001</v>
      </c>
      <c r="FZ56" s="4">
        <v>12.574</v>
      </c>
      <c r="GA56" s="4">
        <v>14.214</v>
      </c>
      <c r="GB56" s="4">
        <v>15.21</v>
      </c>
      <c r="GC56" s="4">
        <v>14.638</v>
      </c>
      <c r="GD56" s="4">
        <v>15.222</v>
      </c>
      <c r="GE56" s="4">
        <v>15.701000000000001</v>
      </c>
      <c r="GF56" s="4">
        <v>15.256</v>
      </c>
      <c r="GG56" s="4">
        <v>11.675000000000001</v>
      </c>
      <c r="GH56" s="4">
        <v>14.582000000000001</v>
      </c>
      <c r="GI56" s="4">
        <v>16.073</v>
      </c>
      <c r="GJ56" s="4">
        <v>15.124000000000001</v>
      </c>
      <c r="GK56" s="4">
        <v>14.198</v>
      </c>
      <c r="GL56" s="4">
        <v>14.605</v>
      </c>
      <c r="GM56" s="4">
        <v>14.505000000000001</v>
      </c>
      <c r="GN56" s="4">
        <v>12.356</v>
      </c>
      <c r="GO56" s="4">
        <v>13.821999999999999</v>
      </c>
      <c r="GP56" s="4">
        <v>14.326000000000001</v>
      </c>
      <c r="GQ56" s="4">
        <v>11.090999999999999</v>
      </c>
      <c r="GR56" s="4">
        <v>11.218</v>
      </c>
      <c r="GS56" s="4">
        <v>13.331</v>
      </c>
      <c r="GT56" s="4">
        <v>10.316000000000001</v>
      </c>
      <c r="GU56" s="4">
        <v>16.303000000000001</v>
      </c>
      <c r="GV56" s="4">
        <v>11.125999999999999</v>
      </c>
      <c r="GW56" s="4">
        <v>14.648999999999999</v>
      </c>
      <c r="GX56" s="4">
        <v>5.9039999999999999</v>
      </c>
      <c r="GY56" s="4">
        <v>11.675000000000001</v>
      </c>
      <c r="GZ56" s="4">
        <v>14.71</v>
      </c>
      <c r="HA56" s="4">
        <v>14.728</v>
      </c>
      <c r="HB56" s="4">
        <v>15.250999999999999</v>
      </c>
      <c r="HC56" s="4">
        <v>15.369</v>
      </c>
      <c r="HD56" s="4">
        <v>13.061999999999999</v>
      </c>
      <c r="HE56" s="4">
        <v>15.03</v>
      </c>
      <c r="HF56" s="4">
        <v>12.345000000000001</v>
      </c>
      <c r="HG56" s="4">
        <v>14.988</v>
      </c>
      <c r="HH56" s="4">
        <v>15.032</v>
      </c>
      <c r="HI56" s="4">
        <v>15.013999999999999</v>
      </c>
      <c r="HJ56" s="4">
        <v>15.446999999999999</v>
      </c>
      <c r="HK56" s="4">
        <v>12.817</v>
      </c>
      <c r="HL56" s="4">
        <v>15.164999999999999</v>
      </c>
      <c r="HM56" s="4">
        <v>16.013999999999999</v>
      </c>
      <c r="HN56" s="4">
        <v>12.49</v>
      </c>
      <c r="HO56" s="4">
        <v>15.195</v>
      </c>
      <c r="HP56" s="4">
        <v>15.694000000000001</v>
      </c>
      <c r="HQ56" s="4">
        <v>15.143000000000001</v>
      </c>
      <c r="HR56" s="4">
        <v>13.957000000000001</v>
      </c>
      <c r="HS56" s="4">
        <v>15.16</v>
      </c>
      <c r="HT56" s="4">
        <v>12.954000000000001</v>
      </c>
      <c r="HU56" s="4">
        <v>14.865</v>
      </c>
      <c r="HV56" s="4">
        <v>15.125999999999999</v>
      </c>
      <c r="HW56" s="4">
        <v>12.821999999999999</v>
      </c>
      <c r="HX56" s="4">
        <v>15.558999999999999</v>
      </c>
      <c r="HY56" s="4">
        <v>15.593999999999999</v>
      </c>
      <c r="HZ56" s="4">
        <v>14.097</v>
      </c>
      <c r="IA56" s="4">
        <v>10.026</v>
      </c>
      <c r="IB56" s="4">
        <v>14.977</v>
      </c>
      <c r="IC56" s="4">
        <v>16.003</v>
      </c>
      <c r="ID56" s="4">
        <v>16.004999999999999</v>
      </c>
      <c r="IE56" s="4">
        <v>15.738</v>
      </c>
      <c r="IF56" s="4">
        <v>15.33</v>
      </c>
      <c r="IG56" s="4">
        <v>15.272</v>
      </c>
      <c r="IH56" s="4">
        <v>10.318</v>
      </c>
      <c r="II56" s="4">
        <v>9.9809999999999999</v>
      </c>
      <c r="IJ56" s="4">
        <v>15.348000000000001</v>
      </c>
      <c r="IK56" s="4">
        <v>15.666</v>
      </c>
      <c r="IL56" s="4">
        <v>11.38</v>
      </c>
      <c r="IM56" s="4">
        <v>15.688000000000001</v>
      </c>
      <c r="IN56" s="4">
        <v>12.564</v>
      </c>
      <c r="IO56" s="4">
        <v>14.824</v>
      </c>
      <c r="IP56" s="4">
        <v>15.417999999999999</v>
      </c>
      <c r="IQ56" s="4">
        <v>15.978999999999999</v>
      </c>
      <c r="IR56" s="4">
        <v>15.992000000000001</v>
      </c>
      <c r="IS56" s="4">
        <v>13.193</v>
      </c>
      <c r="IT56" s="4">
        <v>15.518000000000001</v>
      </c>
      <c r="IU56" s="4">
        <v>12.321</v>
      </c>
      <c r="IV56" s="4">
        <v>15.202999999999999</v>
      </c>
      <c r="IW56" s="4">
        <v>11.36</v>
      </c>
      <c r="IX56" s="4">
        <v>15.879</v>
      </c>
      <c r="IY56" s="4">
        <v>15.217000000000001</v>
      </c>
      <c r="IZ56" s="4">
        <v>15.654999999999999</v>
      </c>
      <c r="JA56" s="4">
        <v>15.679</v>
      </c>
      <c r="JB56" s="4">
        <v>15.095000000000001</v>
      </c>
      <c r="JC56" s="4">
        <v>12.298</v>
      </c>
      <c r="JD56" s="4">
        <v>15.145</v>
      </c>
      <c r="JE56" s="4">
        <v>15.253</v>
      </c>
      <c r="JF56" s="4">
        <v>14.65</v>
      </c>
      <c r="JG56" s="4">
        <v>16.068000000000001</v>
      </c>
      <c r="JH56" s="4">
        <v>14.475</v>
      </c>
      <c r="JI56" s="4">
        <v>15.034000000000001</v>
      </c>
      <c r="JJ56" s="4">
        <v>15.699</v>
      </c>
      <c r="JK56" s="4">
        <v>15.513</v>
      </c>
      <c r="JL56" s="4">
        <v>14.618</v>
      </c>
      <c r="JM56" s="4">
        <v>15.574</v>
      </c>
      <c r="JN56" s="4">
        <v>13.661</v>
      </c>
      <c r="JO56" s="4">
        <v>14.375999999999999</v>
      </c>
      <c r="JP56" s="4">
        <v>15.856</v>
      </c>
      <c r="JQ56" s="4">
        <v>15.627000000000001</v>
      </c>
      <c r="JR56" s="4">
        <v>15.34</v>
      </c>
      <c r="JS56" s="4">
        <v>11.635999999999999</v>
      </c>
      <c r="JT56" s="4">
        <v>15.574999999999999</v>
      </c>
      <c r="JU56" s="4">
        <v>15.365</v>
      </c>
      <c r="JV56" s="4">
        <v>15.51</v>
      </c>
      <c r="JW56" s="4">
        <v>14.567</v>
      </c>
      <c r="JX56" s="4">
        <v>15.371</v>
      </c>
      <c r="JY56" s="4">
        <v>14.385</v>
      </c>
      <c r="JZ56" s="4">
        <v>14.529</v>
      </c>
      <c r="KA56" s="4">
        <v>15.367000000000001</v>
      </c>
      <c r="KB56" s="4">
        <v>12.023999999999999</v>
      </c>
      <c r="KC56" s="4">
        <v>14.714</v>
      </c>
      <c r="KD56" s="4">
        <v>15.914</v>
      </c>
      <c r="KE56" s="4">
        <v>15.787000000000001</v>
      </c>
      <c r="KF56" s="4">
        <v>15.741</v>
      </c>
      <c r="KG56" s="4">
        <v>14.381</v>
      </c>
      <c r="KH56" s="4">
        <v>15.587999999999999</v>
      </c>
      <c r="KI56" s="4">
        <v>15.728</v>
      </c>
      <c r="KJ56" s="4">
        <v>13.717000000000001</v>
      </c>
      <c r="KK56" s="4">
        <v>15.465</v>
      </c>
      <c r="KL56" s="4">
        <v>15.013999999999999</v>
      </c>
      <c r="KM56" s="4">
        <v>10.535</v>
      </c>
      <c r="KN56" s="4">
        <v>14.818</v>
      </c>
      <c r="KO56" s="4">
        <v>11.965</v>
      </c>
      <c r="KP56" s="4">
        <v>15.448</v>
      </c>
      <c r="KQ56" s="4">
        <v>14.106</v>
      </c>
      <c r="KR56" s="4">
        <v>14.961</v>
      </c>
      <c r="KS56" s="4">
        <v>13.831</v>
      </c>
    </row>
    <row r="57" spans="1:305" x14ac:dyDescent="0.25">
      <c r="A57" s="4">
        <v>2018</v>
      </c>
      <c r="B57" s="4">
        <v>6</v>
      </c>
      <c r="C57" s="4">
        <v>5.9669999999999996</v>
      </c>
      <c r="D57" s="4">
        <v>16.853999999999999</v>
      </c>
      <c r="E57" s="4">
        <v>16.960999999999999</v>
      </c>
      <c r="F57" s="4">
        <v>16.457000000000001</v>
      </c>
      <c r="G57" s="4">
        <v>16.777999999999999</v>
      </c>
      <c r="H57" s="4">
        <v>13.781000000000001</v>
      </c>
      <c r="I57" s="4">
        <v>16.623000000000001</v>
      </c>
      <c r="J57" s="4">
        <v>12.269</v>
      </c>
      <c r="K57" s="4">
        <v>16.46</v>
      </c>
      <c r="L57" s="4">
        <v>17.792999999999999</v>
      </c>
      <c r="M57" s="4">
        <v>13.516999999999999</v>
      </c>
      <c r="N57" s="4">
        <v>17.148</v>
      </c>
      <c r="O57" s="4">
        <v>9.7119999999999997</v>
      </c>
      <c r="P57" s="4">
        <v>16.151</v>
      </c>
      <c r="Q57" s="4">
        <v>9.3149999999999995</v>
      </c>
      <c r="R57" s="4">
        <v>10.098000000000001</v>
      </c>
      <c r="S57" s="4">
        <v>16.745000000000001</v>
      </c>
      <c r="T57" s="4">
        <v>16.599</v>
      </c>
      <c r="U57" s="4">
        <v>16.515000000000001</v>
      </c>
      <c r="V57" s="4">
        <v>16.887</v>
      </c>
      <c r="W57" s="4">
        <v>15.829000000000001</v>
      </c>
      <c r="X57" s="4">
        <v>17.46</v>
      </c>
      <c r="Y57" s="4">
        <v>16.838999999999999</v>
      </c>
      <c r="Z57" s="4">
        <v>12.706</v>
      </c>
      <c r="AA57" s="4">
        <v>17.978000000000002</v>
      </c>
      <c r="AB57" s="4">
        <v>12.372999999999999</v>
      </c>
      <c r="AC57" s="4">
        <v>16.297000000000001</v>
      </c>
      <c r="AD57" s="4">
        <v>15.106999999999999</v>
      </c>
      <c r="AE57" s="4">
        <v>15.997</v>
      </c>
      <c r="AF57" s="4">
        <v>17.414000000000001</v>
      </c>
      <c r="AG57" s="4">
        <v>15.337999999999999</v>
      </c>
      <c r="AH57" s="4">
        <v>16.222000000000001</v>
      </c>
      <c r="AI57" s="4">
        <v>12.358000000000001</v>
      </c>
      <c r="AJ57" s="4">
        <v>17.204000000000001</v>
      </c>
      <c r="AK57" s="4">
        <v>17.253</v>
      </c>
      <c r="AL57" s="4">
        <v>18.29</v>
      </c>
      <c r="AM57" s="4">
        <v>16.509</v>
      </c>
      <c r="AN57" s="4">
        <v>16.728999999999999</v>
      </c>
      <c r="AO57" s="4">
        <v>16.369</v>
      </c>
      <c r="AP57" s="4">
        <v>14.593999999999999</v>
      </c>
      <c r="AQ57" s="4">
        <v>11.241</v>
      </c>
      <c r="AR57" s="4">
        <v>14.242000000000001</v>
      </c>
      <c r="AS57" s="4">
        <v>16.606000000000002</v>
      </c>
      <c r="AT57" s="4">
        <v>16.231999999999999</v>
      </c>
      <c r="AU57" s="4">
        <v>16.779</v>
      </c>
      <c r="AV57" s="4">
        <v>16.382000000000001</v>
      </c>
      <c r="AW57" s="4">
        <v>16.925000000000001</v>
      </c>
      <c r="AX57" s="4">
        <v>17.795000000000002</v>
      </c>
      <c r="AY57" s="4">
        <v>16.724</v>
      </c>
      <c r="AZ57" s="4">
        <v>15.949</v>
      </c>
      <c r="BA57" s="4">
        <v>17.215</v>
      </c>
      <c r="BB57" s="4">
        <v>15.961</v>
      </c>
      <c r="BC57" s="4">
        <v>17.222999999999999</v>
      </c>
      <c r="BD57" s="4">
        <v>15.478</v>
      </c>
      <c r="BE57" s="4">
        <v>16.675000000000001</v>
      </c>
      <c r="BF57" s="4">
        <v>15.839</v>
      </c>
      <c r="BG57" s="4">
        <v>15.321999999999999</v>
      </c>
      <c r="BH57" s="4">
        <v>16.733000000000001</v>
      </c>
      <c r="BI57" s="4">
        <v>16.742000000000001</v>
      </c>
      <c r="BJ57" s="4">
        <v>10.877000000000001</v>
      </c>
      <c r="BK57" s="4">
        <v>16.821999999999999</v>
      </c>
      <c r="BL57" s="4">
        <v>11.629</v>
      </c>
      <c r="BM57" s="4">
        <v>10.589</v>
      </c>
      <c r="BN57" s="4">
        <v>14.821</v>
      </c>
      <c r="BO57" s="4">
        <v>9.4480000000000004</v>
      </c>
      <c r="BP57" s="4">
        <v>15.244</v>
      </c>
      <c r="BQ57" s="4">
        <v>16.422999999999998</v>
      </c>
      <c r="BR57" s="4">
        <v>16.241</v>
      </c>
      <c r="BS57" s="4">
        <v>17.402000000000001</v>
      </c>
      <c r="BT57" s="4">
        <v>16.736999999999998</v>
      </c>
      <c r="BU57" s="4">
        <v>16.815000000000001</v>
      </c>
      <c r="BV57" s="4">
        <v>16.670999999999999</v>
      </c>
      <c r="BW57" s="4">
        <v>15.832000000000001</v>
      </c>
      <c r="BX57" s="4">
        <v>15.798999999999999</v>
      </c>
      <c r="BY57" s="4">
        <v>16.582000000000001</v>
      </c>
      <c r="BZ57" s="4">
        <v>16.652000000000001</v>
      </c>
      <c r="CA57" s="4">
        <v>17.556999999999999</v>
      </c>
      <c r="CB57" s="4">
        <v>15.574</v>
      </c>
      <c r="CC57" s="4">
        <v>12.741</v>
      </c>
      <c r="CD57" s="4">
        <v>15.680999999999999</v>
      </c>
      <c r="CE57" s="4">
        <v>11.691000000000001</v>
      </c>
      <c r="CF57" s="4">
        <v>13.875999999999999</v>
      </c>
      <c r="CG57" s="4">
        <v>17.106999999999999</v>
      </c>
      <c r="CH57" s="4">
        <v>16.994</v>
      </c>
      <c r="CI57" s="4">
        <v>15.602</v>
      </c>
      <c r="CJ57" s="4">
        <v>11.882</v>
      </c>
      <c r="CK57" s="4">
        <v>17.937999999999999</v>
      </c>
      <c r="CL57" s="4">
        <v>6.9329999999999998</v>
      </c>
      <c r="CM57" s="4">
        <v>16.343</v>
      </c>
      <c r="CN57" s="4">
        <v>16.315000000000001</v>
      </c>
      <c r="CO57" s="4">
        <v>15.327999999999999</v>
      </c>
      <c r="CP57" s="4">
        <v>15.021000000000001</v>
      </c>
      <c r="CQ57" s="4">
        <v>17.465</v>
      </c>
      <c r="CR57" s="4">
        <v>17.43</v>
      </c>
      <c r="CS57" s="4">
        <v>17.425999999999998</v>
      </c>
      <c r="CT57" s="4">
        <v>17.388000000000002</v>
      </c>
      <c r="CU57" s="4">
        <v>16.641999999999999</v>
      </c>
      <c r="CV57" s="4">
        <v>16.25</v>
      </c>
      <c r="CW57" s="4">
        <v>15.081</v>
      </c>
      <c r="CX57" s="4">
        <v>16.855</v>
      </c>
      <c r="CY57" s="4">
        <v>16.437999999999999</v>
      </c>
      <c r="CZ57" s="4">
        <v>16.966999999999999</v>
      </c>
      <c r="DA57" s="4">
        <v>10.635999999999999</v>
      </c>
      <c r="DB57" s="4">
        <v>16.366</v>
      </c>
      <c r="DC57" s="4">
        <v>12.792</v>
      </c>
      <c r="DD57" s="4">
        <v>11.808999999999999</v>
      </c>
      <c r="DE57" s="4">
        <v>17.193999999999999</v>
      </c>
      <c r="DF57" s="4">
        <v>8.77</v>
      </c>
      <c r="DG57" s="4">
        <v>15.959</v>
      </c>
      <c r="DH57" s="4">
        <v>16.806999999999999</v>
      </c>
      <c r="DI57" s="4">
        <v>16.152000000000001</v>
      </c>
      <c r="DJ57" s="4">
        <v>17.260999999999999</v>
      </c>
      <c r="DK57" s="4">
        <v>16.125</v>
      </c>
      <c r="DL57" s="4">
        <v>16.998000000000001</v>
      </c>
      <c r="DM57" s="4">
        <v>18.114999999999998</v>
      </c>
      <c r="DN57" s="4">
        <v>16.779</v>
      </c>
      <c r="DO57" s="4">
        <v>16.733000000000001</v>
      </c>
      <c r="DP57" s="4">
        <v>8.3650000000000002</v>
      </c>
      <c r="DQ57" s="4">
        <v>16.661000000000001</v>
      </c>
      <c r="DR57" s="4">
        <v>17.529</v>
      </c>
      <c r="DS57" s="4">
        <v>16.285</v>
      </c>
      <c r="DT57" s="4">
        <v>16.855</v>
      </c>
      <c r="DU57" s="4">
        <v>15.473000000000001</v>
      </c>
      <c r="DV57" s="4">
        <v>14.188000000000001</v>
      </c>
      <c r="DW57" s="4">
        <v>17.576000000000001</v>
      </c>
      <c r="DX57" s="4">
        <v>16.003</v>
      </c>
      <c r="DY57" s="4">
        <v>16.623000000000001</v>
      </c>
      <c r="DZ57" s="4">
        <v>17.059000000000001</v>
      </c>
      <c r="EA57" s="4">
        <v>17.346</v>
      </c>
      <c r="EB57" s="4">
        <v>17.018000000000001</v>
      </c>
      <c r="EC57" s="4">
        <v>8.4109999999999996</v>
      </c>
      <c r="ED57" s="4">
        <v>17.59</v>
      </c>
      <c r="EE57" s="4">
        <v>17.882999999999999</v>
      </c>
      <c r="EF57" s="4">
        <v>16.667000000000002</v>
      </c>
      <c r="EG57" s="4">
        <v>16.509</v>
      </c>
      <c r="EH57" s="4">
        <v>14.819000000000001</v>
      </c>
      <c r="EI57" s="4">
        <v>16.669</v>
      </c>
      <c r="EJ57" s="4">
        <v>16.664999999999999</v>
      </c>
      <c r="EK57" s="4">
        <v>16.568999999999999</v>
      </c>
      <c r="EL57" s="4">
        <v>16.852</v>
      </c>
      <c r="EM57" s="4">
        <v>16.847999999999999</v>
      </c>
      <c r="EN57" s="4">
        <v>16.353999999999999</v>
      </c>
      <c r="EO57" s="4">
        <v>17.218</v>
      </c>
      <c r="EP57" s="4">
        <v>16.635000000000002</v>
      </c>
      <c r="EQ57" s="4">
        <v>14.523999999999999</v>
      </c>
      <c r="ER57" s="4">
        <v>18.271999999999998</v>
      </c>
      <c r="ES57" s="4">
        <v>15.528</v>
      </c>
      <c r="ET57" s="4">
        <v>12.183999999999999</v>
      </c>
      <c r="EU57" s="4">
        <v>18.131</v>
      </c>
      <c r="EV57" s="4">
        <v>11.778</v>
      </c>
      <c r="EW57" s="4">
        <v>16.736999999999998</v>
      </c>
      <c r="EX57" s="4">
        <v>10.618</v>
      </c>
      <c r="EY57" s="4">
        <v>16.555</v>
      </c>
      <c r="EZ57" s="4">
        <v>18.268999999999998</v>
      </c>
      <c r="FA57" s="4">
        <v>14.186</v>
      </c>
      <c r="FB57" s="4">
        <v>16.603000000000002</v>
      </c>
      <c r="FC57" s="4">
        <v>17.018000000000001</v>
      </c>
      <c r="FD57" s="4">
        <v>16.285</v>
      </c>
      <c r="FE57" s="4">
        <v>16.43</v>
      </c>
      <c r="FF57" s="4">
        <v>16.843</v>
      </c>
      <c r="FG57" s="4">
        <v>17.286999999999999</v>
      </c>
      <c r="FH57" s="4">
        <v>17.497</v>
      </c>
      <c r="FI57" s="4">
        <v>14.945</v>
      </c>
      <c r="FJ57" s="4">
        <v>16.981000000000002</v>
      </c>
      <c r="FK57" s="4">
        <v>16.597000000000001</v>
      </c>
      <c r="FL57" s="4">
        <v>16.803000000000001</v>
      </c>
      <c r="FM57" s="4">
        <v>16.015999999999998</v>
      </c>
      <c r="FN57" s="4">
        <v>16.553000000000001</v>
      </c>
      <c r="FO57" s="4">
        <v>15.945</v>
      </c>
      <c r="FP57" s="4">
        <v>16.245000000000001</v>
      </c>
      <c r="FQ57" s="4">
        <v>15.321999999999999</v>
      </c>
      <c r="FR57" s="4">
        <v>14.552</v>
      </c>
      <c r="FS57" s="4">
        <v>13.529</v>
      </c>
      <c r="FT57" s="4">
        <v>17.135999999999999</v>
      </c>
      <c r="FU57" s="4">
        <v>15.523999999999999</v>
      </c>
      <c r="FV57" s="4">
        <v>11.247999999999999</v>
      </c>
      <c r="FW57" s="4">
        <v>17.186</v>
      </c>
      <c r="FX57" s="4">
        <v>16.734999999999999</v>
      </c>
      <c r="FY57" s="4">
        <v>16.402999999999999</v>
      </c>
      <c r="FZ57" s="4">
        <v>15.186</v>
      </c>
      <c r="GA57" s="4">
        <v>14.846</v>
      </c>
      <c r="GB57" s="4">
        <v>17.091000000000001</v>
      </c>
      <c r="GC57" s="4">
        <v>15.923</v>
      </c>
      <c r="GD57" s="4">
        <v>16.989999999999998</v>
      </c>
      <c r="GE57" s="4">
        <v>16.773</v>
      </c>
      <c r="GF57" s="4">
        <v>17.123999999999999</v>
      </c>
      <c r="GG57" s="4">
        <v>13.736000000000001</v>
      </c>
      <c r="GH57" s="4">
        <v>14.593</v>
      </c>
      <c r="GI57" s="4">
        <v>16.977</v>
      </c>
      <c r="GJ57" s="4">
        <v>16.917999999999999</v>
      </c>
      <c r="GK57" s="4">
        <v>17.206</v>
      </c>
      <c r="GL57" s="4">
        <v>16.283000000000001</v>
      </c>
      <c r="GM57" s="4">
        <v>16.18</v>
      </c>
      <c r="GN57" s="4">
        <v>11.458</v>
      </c>
      <c r="GO57" s="4">
        <v>15.127000000000001</v>
      </c>
      <c r="GP57" s="4">
        <v>15.358000000000001</v>
      </c>
      <c r="GQ57" s="4">
        <v>11.929</v>
      </c>
      <c r="GR57" s="4">
        <v>11.973000000000001</v>
      </c>
      <c r="GS57" s="4">
        <v>16.329000000000001</v>
      </c>
      <c r="GT57" s="4">
        <v>10.721</v>
      </c>
      <c r="GU57" s="4">
        <v>17.042999999999999</v>
      </c>
      <c r="GV57" s="4">
        <v>12.96</v>
      </c>
      <c r="GW57" s="4">
        <v>14.664</v>
      </c>
      <c r="GX57" s="4">
        <v>5.819</v>
      </c>
      <c r="GY57" s="4">
        <v>13.021000000000001</v>
      </c>
      <c r="GZ57" s="4">
        <v>16.922000000000001</v>
      </c>
      <c r="HA57" s="4">
        <v>16.428000000000001</v>
      </c>
      <c r="HB57" s="4">
        <v>16.056999999999999</v>
      </c>
      <c r="HC57" s="4">
        <v>16.655000000000001</v>
      </c>
      <c r="HD57" s="4">
        <v>13.045999999999999</v>
      </c>
      <c r="HE57" s="4">
        <v>15.472</v>
      </c>
      <c r="HF57" s="4">
        <v>12.53</v>
      </c>
      <c r="HG57" s="4">
        <v>16.632000000000001</v>
      </c>
      <c r="HH57" s="4">
        <v>15.438000000000001</v>
      </c>
      <c r="HI57" s="4">
        <v>16.135000000000002</v>
      </c>
      <c r="HJ57" s="4">
        <v>16.478000000000002</v>
      </c>
      <c r="HK57" s="4">
        <v>16.920999999999999</v>
      </c>
      <c r="HL57" s="4">
        <v>17.466999999999999</v>
      </c>
      <c r="HM57" s="4">
        <v>16.539000000000001</v>
      </c>
      <c r="HN57" s="4">
        <v>13.237</v>
      </c>
      <c r="HO57" s="4">
        <v>15.981999999999999</v>
      </c>
      <c r="HP57" s="4">
        <v>16.54</v>
      </c>
      <c r="HQ57" s="4">
        <v>17.581</v>
      </c>
      <c r="HR57" s="4">
        <v>15.032</v>
      </c>
      <c r="HS57" s="4">
        <v>15.694000000000001</v>
      </c>
      <c r="HT57" s="4">
        <v>14.955</v>
      </c>
      <c r="HU57" s="4">
        <v>17.257999999999999</v>
      </c>
      <c r="HV57" s="4">
        <v>16.486999999999998</v>
      </c>
      <c r="HW57" s="4">
        <v>13.624000000000001</v>
      </c>
      <c r="HX57" s="4">
        <v>16.817</v>
      </c>
      <c r="HY57" s="4">
        <v>16.908999999999999</v>
      </c>
      <c r="HZ57" s="4">
        <v>16.991</v>
      </c>
      <c r="IA57" s="4">
        <v>10.250999999999999</v>
      </c>
      <c r="IB57" s="4">
        <v>16.494</v>
      </c>
      <c r="IC57" s="4">
        <v>18.071999999999999</v>
      </c>
      <c r="ID57" s="4">
        <v>16.925000000000001</v>
      </c>
      <c r="IE57" s="4">
        <v>16.991</v>
      </c>
      <c r="IF57" s="4">
        <v>16.696999999999999</v>
      </c>
      <c r="IG57" s="4">
        <v>16.196999999999999</v>
      </c>
      <c r="IH57" s="4">
        <v>8.5079999999999991</v>
      </c>
      <c r="II57" s="4">
        <v>10.098000000000001</v>
      </c>
      <c r="IJ57" s="4">
        <v>16.747</v>
      </c>
      <c r="IK57" s="4">
        <v>17.099</v>
      </c>
      <c r="IL57" s="4">
        <v>11.422000000000001</v>
      </c>
      <c r="IM57" s="4">
        <v>16.954999999999998</v>
      </c>
      <c r="IN57" s="4">
        <v>14.66</v>
      </c>
      <c r="IO57" s="4">
        <v>16.157</v>
      </c>
      <c r="IP57" s="4">
        <v>16.454999999999998</v>
      </c>
      <c r="IQ57" s="4">
        <v>17.863</v>
      </c>
      <c r="IR57" s="4">
        <v>18.114000000000001</v>
      </c>
      <c r="IS57" s="4">
        <v>12.829000000000001</v>
      </c>
      <c r="IT57" s="4">
        <v>16.131</v>
      </c>
      <c r="IU57" s="4">
        <v>12.08</v>
      </c>
      <c r="IV57" s="4">
        <v>16.603000000000002</v>
      </c>
      <c r="IW57" s="4">
        <v>10.554</v>
      </c>
      <c r="IX57" s="4">
        <v>16.821999999999999</v>
      </c>
      <c r="IY57" s="4">
        <v>15.807</v>
      </c>
      <c r="IZ57" s="4">
        <v>16.724</v>
      </c>
      <c r="JA57" s="4">
        <v>16.346</v>
      </c>
      <c r="JB57" s="4">
        <v>15.467000000000001</v>
      </c>
      <c r="JC57" s="4">
        <v>14.455</v>
      </c>
      <c r="JD57" s="4">
        <v>16.754999999999999</v>
      </c>
      <c r="JE57" s="4">
        <v>16.754999999999999</v>
      </c>
      <c r="JF57" s="4">
        <v>17.292999999999999</v>
      </c>
      <c r="JG57" s="4">
        <v>17.004000000000001</v>
      </c>
      <c r="JH57" s="4">
        <v>17.111000000000001</v>
      </c>
      <c r="JI57" s="4">
        <v>16.222999999999999</v>
      </c>
      <c r="JJ57" s="4">
        <v>16.628</v>
      </c>
      <c r="JK57" s="4">
        <v>16.039000000000001</v>
      </c>
      <c r="JL57" s="4">
        <v>17.491</v>
      </c>
      <c r="JM57" s="4">
        <v>16.939</v>
      </c>
      <c r="JN57" s="4">
        <v>15.906000000000001</v>
      </c>
      <c r="JO57" s="4">
        <v>16.079000000000001</v>
      </c>
      <c r="JP57" s="4">
        <v>16.916</v>
      </c>
      <c r="JQ57" s="4">
        <v>16.678000000000001</v>
      </c>
      <c r="JR57" s="4">
        <v>15.728999999999999</v>
      </c>
      <c r="JS57" s="4">
        <v>13.349</v>
      </c>
      <c r="JT57" s="4">
        <v>16.748000000000001</v>
      </c>
      <c r="JU57" s="4">
        <v>16.562999999999999</v>
      </c>
      <c r="JV57" s="4">
        <v>16.405000000000001</v>
      </c>
      <c r="JW57" s="4">
        <v>16.145</v>
      </c>
      <c r="JX57" s="4">
        <v>16.215</v>
      </c>
      <c r="JY57" s="4">
        <v>17.201000000000001</v>
      </c>
      <c r="JZ57" s="4">
        <v>15.912000000000001</v>
      </c>
      <c r="KA57" s="4">
        <v>16.895</v>
      </c>
      <c r="KB57" s="4">
        <v>13.163</v>
      </c>
      <c r="KC57" s="4">
        <v>14.949</v>
      </c>
      <c r="KD57" s="4">
        <v>16.478000000000002</v>
      </c>
      <c r="KE57" s="4">
        <v>17.236999999999998</v>
      </c>
      <c r="KF57" s="4">
        <v>16.353000000000002</v>
      </c>
      <c r="KG57" s="4">
        <v>16.120999999999999</v>
      </c>
      <c r="KH57" s="4">
        <v>16.716000000000001</v>
      </c>
      <c r="KI57" s="4">
        <v>16.753</v>
      </c>
      <c r="KJ57" s="4">
        <v>16.942</v>
      </c>
      <c r="KK57" s="4">
        <v>16.803000000000001</v>
      </c>
      <c r="KL57" s="4">
        <v>16.420999999999999</v>
      </c>
      <c r="KM57" s="4">
        <v>10.561999999999999</v>
      </c>
      <c r="KN57" s="4">
        <v>16.866</v>
      </c>
      <c r="KO57" s="4">
        <v>12.396000000000001</v>
      </c>
      <c r="KP57" s="4">
        <v>17.013999999999999</v>
      </c>
      <c r="KQ57" s="4">
        <v>16.114000000000001</v>
      </c>
      <c r="KR57" s="4">
        <v>16.335000000000001</v>
      </c>
      <c r="KS57" s="4">
        <v>16.86</v>
      </c>
    </row>
    <row r="58" spans="1:305" x14ac:dyDescent="0.25">
      <c r="A58" s="4">
        <v>2018</v>
      </c>
      <c r="B58" s="4">
        <v>7</v>
      </c>
      <c r="C58" s="4">
        <v>14.795999999999999</v>
      </c>
      <c r="D58" s="4">
        <v>21.943999999999999</v>
      </c>
      <c r="E58" s="4">
        <v>20.13</v>
      </c>
      <c r="F58" s="4">
        <v>19.971</v>
      </c>
      <c r="G58" s="4">
        <v>20.035</v>
      </c>
      <c r="H58" s="4">
        <v>19.559999999999999</v>
      </c>
      <c r="I58" s="4">
        <v>20.506</v>
      </c>
      <c r="J58" s="4">
        <v>19.356999999999999</v>
      </c>
      <c r="K58" s="4">
        <v>20.574000000000002</v>
      </c>
      <c r="L58" s="4">
        <v>20.184999999999999</v>
      </c>
      <c r="M58" s="4">
        <v>19.271999999999998</v>
      </c>
      <c r="N58" s="4">
        <v>21.574000000000002</v>
      </c>
      <c r="O58" s="4">
        <v>16.786000000000001</v>
      </c>
      <c r="P58" s="4">
        <v>20.202999999999999</v>
      </c>
      <c r="Q58" s="4">
        <v>18.007000000000001</v>
      </c>
      <c r="R58" s="4">
        <v>18.448</v>
      </c>
      <c r="S58" s="4">
        <v>21.094000000000001</v>
      </c>
      <c r="T58" s="4">
        <v>20.504999999999999</v>
      </c>
      <c r="U58" s="4">
        <v>21.02</v>
      </c>
      <c r="V58" s="4">
        <v>20.753</v>
      </c>
      <c r="W58" s="4">
        <v>20.850999999999999</v>
      </c>
      <c r="X58" s="4">
        <v>19.856000000000002</v>
      </c>
      <c r="Y58" s="4">
        <v>20.991</v>
      </c>
      <c r="Z58" s="4">
        <v>20.087</v>
      </c>
      <c r="AA58" s="4">
        <v>20.457999999999998</v>
      </c>
      <c r="AB58" s="4">
        <v>20.152999999999999</v>
      </c>
      <c r="AC58" s="4">
        <v>19.690000000000001</v>
      </c>
      <c r="AD58" s="4">
        <v>20.681999999999999</v>
      </c>
      <c r="AE58" s="4">
        <v>19.72</v>
      </c>
      <c r="AF58" s="4">
        <v>21.113</v>
      </c>
      <c r="AG58" s="4">
        <v>20.780999999999999</v>
      </c>
      <c r="AH58" s="4">
        <v>21.373999999999999</v>
      </c>
      <c r="AI58" s="4">
        <v>18.577000000000002</v>
      </c>
      <c r="AJ58" s="4">
        <v>20.414999999999999</v>
      </c>
      <c r="AK58" s="4">
        <v>20.81</v>
      </c>
      <c r="AL58" s="4">
        <v>21.010999999999999</v>
      </c>
      <c r="AM58" s="4">
        <v>20.92</v>
      </c>
      <c r="AN58" s="4">
        <v>21.901</v>
      </c>
      <c r="AO58" s="4">
        <v>20.817</v>
      </c>
      <c r="AP58" s="4">
        <v>20.286000000000001</v>
      </c>
      <c r="AQ58" s="4">
        <v>18.946999999999999</v>
      </c>
      <c r="AR58" s="4">
        <v>19.507000000000001</v>
      </c>
      <c r="AS58" s="4">
        <v>20.59</v>
      </c>
      <c r="AT58" s="4">
        <v>20.704999999999998</v>
      </c>
      <c r="AU58" s="4">
        <v>20.831</v>
      </c>
      <c r="AV58" s="4">
        <v>21.452999999999999</v>
      </c>
      <c r="AW58" s="4">
        <v>21.369</v>
      </c>
      <c r="AX58" s="4">
        <v>20.556000000000001</v>
      </c>
      <c r="AY58" s="4">
        <v>20.318999999999999</v>
      </c>
      <c r="AZ58" s="4">
        <v>20.751000000000001</v>
      </c>
      <c r="BA58" s="4">
        <v>19.971</v>
      </c>
      <c r="BB58" s="4">
        <v>20.001000000000001</v>
      </c>
      <c r="BC58" s="4">
        <v>19.952000000000002</v>
      </c>
      <c r="BD58" s="4">
        <v>20.994</v>
      </c>
      <c r="BE58" s="4">
        <v>20.326000000000001</v>
      </c>
      <c r="BF58" s="4">
        <v>20.332000000000001</v>
      </c>
      <c r="BG58" s="4">
        <v>20.507999999999999</v>
      </c>
      <c r="BH58" s="4">
        <v>20.882000000000001</v>
      </c>
      <c r="BI58" s="4">
        <v>21.094999999999999</v>
      </c>
      <c r="BJ58" s="4">
        <v>18.373000000000001</v>
      </c>
      <c r="BK58" s="4">
        <v>21.280999999999999</v>
      </c>
      <c r="BL58" s="4">
        <v>19.11</v>
      </c>
      <c r="BM58" s="4">
        <v>18.236999999999998</v>
      </c>
      <c r="BN58" s="4">
        <v>20.367000000000001</v>
      </c>
      <c r="BO58" s="4">
        <v>18.289000000000001</v>
      </c>
      <c r="BP58" s="4">
        <v>20.402000000000001</v>
      </c>
      <c r="BQ58" s="4">
        <v>20.138999999999999</v>
      </c>
      <c r="BR58" s="4">
        <v>20.959</v>
      </c>
      <c r="BS58" s="4">
        <v>20.358000000000001</v>
      </c>
      <c r="BT58" s="4">
        <v>20.959</v>
      </c>
      <c r="BU58" s="4">
        <v>20.431999999999999</v>
      </c>
      <c r="BV58" s="4">
        <v>21.875</v>
      </c>
      <c r="BW58" s="4">
        <v>20.439</v>
      </c>
      <c r="BX58" s="4">
        <v>20.402999999999999</v>
      </c>
      <c r="BY58" s="4">
        <v>21.155000000000001</v>
      </c>
      <c r="BZ58" s="4">
        <v>21.366</v>
      </c>
      <c r="CA58" s="4">
        <v>20.234999999999999</v>
      </c>
      <c r="CB58" s="4">
        <v>20.073</v>
      </c>
      <c r="CC58" s="4">
        <v>19.437000000000001</v>
      </c>
      <c r="CD58" s="4">
        <v>20.745000000000001</v>
      </c>
      <c r="CE58" s="4">
        <v>20.516999999999999</v>
      </c>
      <c r="CF58" s="4">
        <v>19.829000000000001</v>
      </c>
      <c r="CG58" s="4">
        <v>20.248000000000001</v>
      </c>
      <c r="CH58" s="4">
        <v>19.876000000000001</v>
      </c>
      <c r="CI58" s="4">
        <v>20.648</v>
      </c>
      <c r="CJ58" s="4">
        <v>17.693000000000001</v>
      </c>
      <c r="CK58" s="4">
        <v>20.527999999999999</v>
      </c>
      <c r="CL58" s="4">
        <v>15.08</v>
      </c>
      <c r="CM58" s="4">
        <v>20.666</v>
      </c>
      <c r="CN58" s="4">
        <v>20.065000000000001</v>
      </c>
      <c r="CO58" s="4">
        <v>19.923999999999999</v>
      </c>
      <c r="CP58" s="4">
        <v>20.544</v>
      </c>
      <c r="CQ58" s="4">
        <v>19.948</v>
      </c>
      <c r="CR58" s="4">
        <v>21.111000000000001</v>
      </c>
      <c r="CS58" s="4">
        <v>20.236000000000001</v>
      </c>
      <c r="CT58" s="4">
        <v>20.253</v>
      </c>
      <c r="CU58" s="4">
        <v>20.954000000000001</v>
      </c>
      <c r="CV58" s="4">
        <v>21.414999999999999</v>
      </c>
      <c r="CW58" s="4">
        <v>20.61</v>
      </c>
      <c r="CX58" s="4">
        <v>20.754999999999999</v>
      </c>
      <c r="CY58" s="4">
        <v>19.716999999999999</v>
      </c>
      <c r="CZ58" s="4">
        <v>22.195</v>
      </c>
      <c r="DA58" s="4">
        <v>19.015999999999998</v>
      </c>
      <c r="DB58" s="4">
        <v>20.492000000000001</v>
      </c>
      <c r="DC58" s="4">
        <v>19.927</v>
      </c>
      <c r="DD58" s="4">
        <v>21.209</v>
      </c>
      <c r="DE58" s="4">
        <v>21.192</v>
      </c>
      <c r="DF58" s="4">
        <v>18.274000000000001</v>
      </c>
      <c r="DG58" s="4">
        <v>20.541</v>
      </c>
      <c r="DH58" s="4">
        <v>20.751999999999999</v>
      </c>
      <c r="DI58" s="4">
        <v>20.658000000000001</v>
      </c>
      <c r="DJ58" s="4">
        <v>21.138000000000002</v>
      </c>
      <c r="DK58" s="4">
        <v>20.562000000000001</v>
      </c>
      <c r="DL58" s="4">
        <v>21.100999999999999</v>
      </c>
      <c r="DM58" s="4">
        <v>20.823</v>
      </c>
      <c r="DN58" s="4">
        <v>21.222999999999999</v>
      </c>
      <c r="DO58" s="4">
        <v>19.975999999999999</v>
      </c>
      <c r="DP58" s="4">
        <v>17.433</v>
      </c>
      <c r="DQ58" s="4">
        <v>20.643000000000001</v>
      </c>
      <c r="DR58" s="4">
        <v>19.928999999999998</v>
      </c>
      <c r="DS58" s="4">
        <v>21.469000000000001</v>
      </c>
      <c r="DT58" s="4">
        <v>21.391999999999999</v>
      </c>
      <c r="DU58" s="4">
        <v>20.36</v>
      </c>
      <c r="DV58" s="4">
        <v>20.367000000000001</v>
      </c>
      <c r="DW58" s="4">
        <v>20.875</v>
      </c>
      <c r="DX58" s="4">
        <v>20.518000000000001</v>
      </c>
      <c r="DY58" s="4">
        <v>21.221</v>
      </c>
      <c r="DZ58" s="4">
        <v>20.155000000000001</v>
      </c>
      <c r="EA58" s="4">
        <v>20.303000000000001</v>
      </c>
      <c r="EB58" s="4">
        <v>21.462</v>
      </c>
      <c r="EC58" s="4">
        <v>16.952000000000002</v>
      </c>
      <c r="ED58" s="4">
        <v>19.952000000000002</v>
      </c>
      <c r="EE58" s="4">
        <v>20.638000000000002</v>
      </c>
      <c r="EF58" s="4">
        <v>21.071000000000002</v>
      </c>
      <c r="EG58" s="4">
        <v>21.135999999999999</v>
      </c>
      <c r="EH58" s="4">
        <v>20.263999999999999</v>
      </c>
      <c r="EI58" s="4">
        <v>19.923999999999999</v>
      </c>
      <c r="EJ58" s="4">
        <v>20.731999999999999</v>
      </c>
      <c r="EK58" s="4">
        <v>21.693000000000001</v>
      </c>
      <c r="EL58" s="4">
        <v>20.832000000000001</v>
      </c>
      <c r="EM58" s="4">
        <v>20.181000000000001</v>
      </c>
      <c r="EN58" s="4">
        <v>21.016999999999999</v>
      </c>
      <c r="EO58" s="4">
        <v>21.533999999999999</v>
      </c>
      <c r="EP58" s="4">
        <v>20.082000000000001</v>
      </c>
      <c r="EQ58" s="4">
        <v>20.100999999999999</v>
      </c>
      <c r="ER58" s="4">
        <v>20.99</v>
      </c>
      <c r="ES58" s="4">
        <v>20.626000000000001</v>
      </c>
      <c r="ET58" s="4">
        <v>20.713999999999999</v>
      </c>
      <c r="EU58" s="4">
        <v>20.841000000000001</v>
      </c>
      <c r="EV58" s="4">
        <v>19.068999999999999</v>
      </c>
      <c r="EW58" s="4">
        <v>19.690000000000001</v>
      </c>
      <c r="EX58" s="4">
        <v>18.567</v>
      </c>
      <c r="EY58" s="4">
        <v>20.861000000000001</v>
      </c>
      <c r="EZ58" s="4">
        <v>21.021999999999998</v>
      </c>
      <c r="FA58" s="4">
        <v>19.216999999999999</v>
      </c>
      <c r="FB58" s="4">
        <v>20.975999999999999</v>
      </c>
      <c r="FC58" s="4">
        <v>19.826000000000001</v>
      </c>
      <c r="FD58" s="4">
        <v>21.530999999999999</v>
      </c>
      <c r="FE58" s="4">
        <v>20.402000000000001</v>
      </c>
      <c r="FF58" s="4">
        <v>21.053000000000001</v>
      </c>
      <c r="FG58" s="4">
        <v>20.338000000000001</v>
      </c>
      <c r="FH58" s="4">
        <v>20.984999999999999</v>
      </c>
      <c r="FI58" s="4">
        <v>20.56</v>
      </c>
      <c r="FJ58" s="4">
        <v>21.012</v>
      </c>
      <c r="FK58" s="4">
        <v>21.117000000000001</v>
      </c>
      <c r="FL58" s="4">
        <v>20.268999999999998</v>
      </c>
      <c r="FM58" s="4">
        <v>20.663</v>
      </c>
      <c r="FN58" s="4">
        <v>21.68</v>
      </c>
      <c r="FO58" s="4">
        <v>20.416</v>
      </c>
      <c r="FP58" s="4">
        <v>20.821999999999999</v>
      </c>
      <c r="FQ58" s="4">
        <v>20.545000000000002</v>
      </c>
      <c r="FR58" s="4">
        <v>19.977</v>
      </c>
      <c r="FS58" s="4">
        <v>20.428999999999998</v>
      </c>
      <c r="FT58" s="4">
        <v>21.268000000000001</v>
      </c>
      <c r="FU58" s="4">
        <v>20.573</v>
      </c>
      <c r="FV58" s="4">
        <v>18.843</v>
      </c>
      <c r="FW58" s="4">
        <v>21.23</v>
      </c>
      <c r="FX58" s="4">
        <v>21.225999999999999</v>
      </c>
      <c r="FY58" s="4">
        <v>21.239000000000001</v>
      </c>
      <c r="FZ58" s="4">
        <v>20.135000000000002</v>
      </c>
      <c r="GA58" s="4">
        <v>20.523</v>
      </c>
      <c r="GB58" s="4">
        <v>19.7</v>
      </c>
      <c r="GC58" s="4">
        <v>20.291</v>
      </c>
      <c r="GD58" s="4">
        <v>20.692</v>
      </c>
      <c r="GE58" s="4">
        <v>21.414999999999999</v>
      </c>
      <c r="GF58" s="4">
        <v>19.608000000000001</v>
      </c>
      <c r="GG58" s="4">
        <v>20.21</v>
      </c>
      <c r="GH58" s="4">
        <v>20.28</v>
      </c>
      <c r="GI58" s="4">
        <v>20.041</v>
      </c>
      <c r="GJ58" s="4">
        <v>20.09</v>
      </c>
      <c r="GK58" s="4">
        <v>20.760999999999999</v>
      </c>
      <c r="GL58" s="4">
        <v>21.329000000000001</v>
      </c>
      <c r="GM58" s="4">
        <v>21.265000000000001</v>
      </c>
      <c r="GN58" s="4">
        <v>18.565999999999999</v>
      </c>
      <c r="GO58" s="4">
        <v>20.113</v>
      </c>
      <c r="GP58" s="4">
        <v>20.164999999999999</v>
      </c>
      <c r="GQ58" s="4">
        <v>20.271999999999998</v>
      </c>
      <c r="GR58" s="4">
        <v>20.504000000000001</v>
      </c>
      <c r="GS58" s="4">
        <v>20.68</v>
      </c>
      <c r="GT58" s="4">
        <v>19.414999999999999</v>
      </c>
      <c r="GU58" s="4">
        <v>20.204999999999998</v>
      </c>
      <c r="GV58" s="4">
        <v>20.782</v>
      </c>
      <c r="GW58" s="4">
        <v>20.201000000000001</v>
      </c>
      <c r="GX58" s="4">
        <v>14.866</v>
      </c>
      <c r="GY58" s="4">
        <v>20.405999999999999</v>
      </c>
      <c r="GZ58" s="4">
        <v>20.893000000000001</v>
      </c>
      <c r="HA58" s="4">
        <v>20.431999999999999</v>
      </c>
      <c r="HB58" s="4">
        <v>20.995999999999999</v>
      </c>
      <c r="HC58" s="4">
        <v>21.774000000000001</v>
      </c>
      <c r="HD58" s="4">
        <v>18.722999999999999</v>
      </c>
      <c r="HE58" s="4">
        <v>20.97</v>
      </c>
      <c r="HF58" s="4">
        <v>18.411999999999999</v>
      </c>
      <c r="HG58" s="4">
        <v>20.303000000000001</v>
      </c>
      <c r="HH58" s="4">
        <v>20.576000000000001</v>
      </c>
      <c r="HI58" s="4">
        <v>20.413</v>
      </c>
      <c r="HJ58" s="4">
        <v>21.696000000000002</v>
      </c>
      <c r="HK58" s="4">
        <v>20.097999999999999</v>
      </c>
      <c r="HL58" s="4">
        <v>20.306000000000001</v>
      </c>
      <c r="HM58" s="4">
        <v>20.667999999999999</v>
      </c>
      <c r="HN58" s="4">
        <v>20.312000000000001</v>
      </c>
      <c r="HO58" s="4">
        <v>20.814</v>
      </c>
      <c r="HP58" s="4">
        <v>20.785</v>
      </c>
      <c r="HQ58" s="4">
        <v>20.280999999999999</v>
      </c>
      <c r="HR58" s="4">
        <v>19.859000000000002</v>
      </c>
      <c r="HS58" s="4">
        <v>20.640999999999998</v>
      </c>
      <c r="HT58" s="4">
        <v>20.123000000000001</v>
      </c>
      <c r="HU58" s="4">
        <v>21.196999999999999</v>
      </c>
      <c r="HV58" s="4">
        <v>21.524000000000001</v>
      </c>
      <c r="HW58" s="4">
        <v>19.992000000000001</v>
      </c>
      <c r="HX58" s="4">
        <v>22.047999999999998</v>
      </c>
      <c r="HY58" s="4">
        <v>22.111999999999998</v>
      </c>
      <c r="HZ58" s="4">
        <v>20.568000000000001</v>
      </c>
      <c r="IA58" s="4">
        <v>18.521999999999998</v>
      </c>
      <c r="IB58" s="4">
        <v>19.361999999999998</v>
      </c>
      <c r="IC58" s="4">
        <v>20.786999999999999</v>
      </c>
      <c r="ID58" s="4">
        <v>19.975000000000001</v>
      </c>
      <c r="IE58" s="4">
        <v>22.215</v>
      </c>
      <c r="IF58" s="4">
        <v>21.882999999999999</v>
      </c>
      <c r="IG58" s="4">
        <v>20.664999999999999</v>
      </c>
      <c r="IH58" s="4">
        <v>15.404999999999999</v>
      </c>
      <c r="II58" s="4">
        <v>17.803000000000001</v>
      </c>
      <c r="IJ58" s="4">
        <v>21.576000000000001</v>
      </c>
      <c r="IK58" s="4">
        <v>20.567</v>
      </c>
      <c r="IL58" s="4">
        <v>18.87</v>
      </c>
      <c r="IM58" s="4">
        <v>22.175999999999998</v>
      </c>
      <c r="IN58" s="4">
        <v>20.042000000000002</v>
      </c>
      <c r="IO58" s="4">
        <v>20.722000000000001</v>
      </c>
      <c r="IP58" s="4">
        <v>21.277999999999999</v>
      </c>
      <c r="IQ58" s="4">
        <v>20.561</v>
      </c>
      <c r="IR58" s="4">
        <v>20.792999999999999</v>
      </c>
      <c r="IS58" s="4">
        <v>18.84</v>
      </c>
      <c r="IT58" s="4">
        <v>19.670000000000002</v>
      </c>
      <c r="IU58" s="4">
        <v>18.443000000000001</v>
      </c>
      <c r="IV58" s="4">
        <v>21.786999999999999</v>
      </c>
      <c r="IW58" s="4">
        <v>16.649000000000001</v>
      </c>
      <c r="IX58" s="4">
        <v>20.327000000000002</v>
      </c>
      <c r="IY58" s="4">
        <v>20.896000000000001</v>
      </c>
      <c r="IZ58" s="4">
        <v>21.06</v>
      </c>
      <c r="JA58" s="4">
        <v>20.456</v>
      </c>
      <c r="JB58" s="4">
        <v>20.623999999999999</v>
      </c>
      <c r="JC58" s="4">
        <v>20.077999999999999</v>
      </c>
      <c r="JD58" s="4">
        <v>20.745000000000001</v>
      </c>
      <c r="JE58" s="4">
        <v>19.434999999999999</v>
      </c>
      <c r="JF58" s="4">
        <v>20.135000000000002</v>
      </c>
      <c r="JG58" s="4">
        <v>21.292999999999999</v>
      </c>
      <c r="JH58" s="4">
        <v>21.103999999999999</v>
      </c>
      <c r="JI58" s="4">
        <v>20.724</v>
      </c>
      <c r="JJ58" s="4">
        <v>21.035</v>
      </c>
      <c r="JK58" s="4">
        <v>19.748999999999999</v>
      </c>
      <c r="JL58" s="4">
        <v>20.213999999999999</v>
      </c>
      <c r="JM58" s="4">
        <v>20.454999999999998</v>
      </c>
      <c r="JN58" s="4">
        <v>20.681999999999999</v>
      </c>
      <c r="JO58" s="4">
        <v>21.146999999999998</v>
      </c>
      <c r="JP58" s="4">
        <v>20.204999999999998</v>
      </c>
      <c r="JQ58" s="4">
        <v>19.78</v>
      </c>
      <c r="JR58" s="4">
        <v>19.681999999999999</v>
      </c>
      <c r="JS58" s="4">
        <v>20.532</v>
      </c>
      <c r="JT58" s="4">
        <v>21.966999999999999</v>
      </c>
      <c r="JU58" s="4">
        <v>21.792999999999999</v>
      </c>
      <c r="JV58" s="4">
        <v>21.667000000000002</v>
      </c>
      <c r="JW58" s="4">
        <v>20.696000000000002</v>
      </c>
      <c r="JX58" s="4">
        <v>20.222000000000001</v>
      </c>
      <c r="JY58" s="4">
        <v>21.047000000000001</v>
      </c>
      <c r="JZ58" s="4">
        <v>21.123999999999999</v>
      </c>
      <c r="KA58" s="4">
        <v>20.454000000000001</v>
      </c>
      <c r="KB58" s="4">
        <v>20.603000000000002</v>
      </c>
      <c r="KC58" s="4">
        <v>20.042000000000002</v>
      </c>
      <c r="KD58" s="4">
        <v>20.37</v>
      </c>
      <c r="KE58" s="4">
        <v>20.029</v>
      </c>
      <c r="KF58" s="4">
        <v>20.018000000000001</v>
      </c>
      <c r="KG58" s="4">
        <v>21.148</v>
      </c>
      <c r="KH58" s="4">
        <v>20.495999999999999</v>
      </c>
      <c r="KI58" s="4">
        <v>21.643000000000001</v>
      </c>
      <c r="KJ58" s="4">
        <v>20.582000000000001</v>
      </c>
      <c r="KK58" s="4">
        <v>20.876000000000001</v>
      </c>
      <c r="KL58" s="4">
        <v>20.692</v>
      </c>
      <c r="KM58" s="4">
        <v>17.991</v>
      </c>
      <c r="KN58" s="4">
        <v>20.817</v>
      </c>
      <c r="KO58" s="4">
        <v>19.792000000000002</v>
      </c>
      <c r="KP58" s="4">
        <v>21.143000000000001</v>
      </c>
      <c r="KQ58" s="4">
        <v>19.986000000000001</v>
      </c>
      <c r="KR58" s="4">
        <v>20.597000000000001</v>
      </c>
      <c r="KS58" s="4">
        <v>19.774999999999999</v>
      </c>
    </row>
    <row r="59" spans="1:305" x14ac:dyDescent="0.25">
      <c r="A59" s="4">
        <v>2018</v>
      </c>
      <c r="B59" s="4">
        <v>8</v>
      </c>
      <c r="C59" s="4">
        <v>10.587999999999999</v>
      </c>
      <c r="D59" s="4">
        <v>18.629000000000001</v>
      </c>
      <c r="E59" s="4">
        <v>16.891999999999999</v>
      </c>
      <c r="F59" s="4">
        <v>16.513000000000002</v>
      </c>
      <c r="G59" s="4">
        <v>16.850000000000001</v>
      </c>
      <c r="H59" s="4">
        <v>13.683</v>
      </c>
      <c r="I59" s="4">
        <v>16.925999999999998</v>
      </c>
      <c r="J59" s="4">
        <v>14.157999999999999</v>
      </c>
      <c r="K59" s="4">
        <v>16.14</v>
      </c>
      <c r="L59" s="4">
        <v>17.948</v>
      </c>
      <c r="M59" s="4">
        <v>13.959</v>
      </c>
      <c r="N59" s="4">
        <v>17.425999999999998</v>
      </c>
      <c r="O59" s="4">
        <v>11.474</v>
      </c>
      <c r="P59" s="4">
        <v>15.103999999999999</v>
      </c>
      <c r="Q59" s="4">
        <v>11.717000000000001</v>
      </c>
      <c r="R59" s="4">
        <v>12.353</v>
      </c>
      <c r="S59" s="4">
        <v>15.637</v>
      </c>
      <c r="T59" s="4">
        <v>17.033000000000001</v>
      </c>
      <c r="U59" s="4">
        <v>16.626999999999999</v>
      </c>
      <c r="V59" s="4">
        <v>17.513999999999999</v>
      </c>
      <c r="W59" s="4">
        <v>16.010000000000002</v>
      </c>
      <c r="X59" s="4">
        <v>17.890999999999998</v>
      </c>
      <c r="Y59" s="4">
        <v>15.792999999999999</v>
      </c>
      <c r="Z59" s="4">
        <v>14.044</v>
      </c>
      <c r="AA59" s="4">
        <v>18.195</v>
      </c>
      <c r="AB59" s="4">
        <v>14.602</v>
      </c>
      <c r="AC59" s="4">
        <v>16.202999999999999</v>
      </c>
      <c r="AD59" s="4">
        <v>15.894</v>
      </c>
      <c r="AE59" s="4">
        <v>16.05</v>
      </c>
      <c r="AF59" s="4">
        <v>19.637</v>
      </c>
      <c r="AG59" s="4">
        <v>15.519</v>
      </c>
      <c r="AH59" s="4">
        <v>18.094000000000001</v>
      </c>
      <c r="AI59" s="4">
        <v>13.164999999999999</v>
      </c>
      <c r="AJ59" s="4">
        <v>17.489000000000001</v>
      </c>
      <c r="AK59" s="4">
        <v>18.277000000000001</v>
      </c>
      <c r="AL59" s="4">
        <v>19.378</v>
      </c>
      <c r="AM59" s="4">
        <v>14.93</v>
      </c>
      <c r="AN59" s="4">
        <v>18.782</v>
      </c>
      <c r="AO59" s="4">
        <v>15.964</v>
      </c>
      <c r="AP59" s="4">
        <v>15.664</v>
      </c>
      <c r="AQ59" s="4">
        <v>12.766</v>
      </c>
      <c r="AR59" s="4">
        <v>14.678000000000001</v>
      </c>
      <c r="AS59" s="4">
        <v>15.66</v>
      </c>
      <c r="AT59" s="4">
        <v>16.605</v>
      </c>
      <c r="AU59" s="4">
        <v>17.533000000000001</v>
      </c>
      <c r="AV59" s="4">
        <v>17.663</v>
      </c>
      <c r="AW59" s="4">
        <v>17.427</v>
      </c>
      <c r="AX59" s="4">
        <v>18.574000000000002</v>
      </c>
      <c r="AY59" s="4">
        <v>16.553999999999998</v>
      </c>
      <c r="AZ59" s="4">
        <v>15.786</v>
      </c>
      <c r="BA59" s="4">
        <v>17.940000000000001</v>
      </c>
      <c r="BB59" s="4">
        <v>16.135000000000002</v>
      </c>
      <c r="BC59" s="4">
        <v>19.387</v>
      </c>
      <c r="BD59" s="4">
        <v>15.877000000000001</v>
      </c>
      <c r="BE59" s="4">
        <v>15.986000000000001</v>
      </c>
      <c r="BF59" s="4">
        <v>15.206</v>
      </c>
      <c r="BG59" s="4">
        <v>16.917999999999999</v>
      </c>
      <c r="BH59" s="4">
        <v>17.405999999999999</v>
      </c>
      <c r="BI59" s="4">
        <v>17.535</v>
      </c>
      <c r="BJ59" s="4">
        <v>12.169</v>
      </c>
      <c r="BK59" s="4">
        <v>16.024999999999999</v>
      </c>
      <c r="BL59" s="4">
        <v>13.023</v>
      </c>
      <c r="BM59" s="4">
        <v>11.843</v>
      </c>
      <c r="BN59" s="4">
        <v>14.893000000000001</v>
      </c>
      <c r="BO59" s="4">
        <v>11.731999999999999</v>
      </c>
      <c r="BP59" s="4">
        <v>16.829999999999998</v>
      </c>
      <c r="BQ59" s="4">
        <v>16.364999999999998</v>
      </c>
      <c r="BR59" s="4">
        <v>17.608000000000001</v>
      </c>
      <c r="BS59" s="4">
        <v>17.507999999999999</v>
      </c>
      <c r="BT59" s="4">
        <v>16.957999999999998</v>
      </c>
      <c r="BU59" s="4">
        <v>16.760000000000002</v>
      </c>
      <c r="BV59" s="4">
        <v>18.326000000000001</v>
      </c>
      <c r="BW59" s="4">
        <v>14.92</v>
      </c>
      <c r="BX59" s="4">
        <v>15.23</v>
      </c>
      <c r="BY59" s="4">
        <v>16.597000000000001</v>
      </c>
      <c r="BZ59" s="4">
        <v>16.925999999999998</v>
      </c>
      <c r="CA59" s="4">
        <v>17.972000000000001</v>
      </c>
      <c r="CB59" s="4">
        <v>16.599</v>
      </c>
      <c r="CC59" s="4">
        <v>13.801</v>
      </c>
      <c r="CD59" s="4">
        <v>17.795999999999999</v>
      </c>
      <c r="CE59" s="4">
        <v>15.266</v>
      </c>
      <c r="CF59" s="4">
        <v>15.335000000000001</v>
      </c>
      <c r="CG59" s="4">
        <v>16.984999999999999</v>
      </c>
      <c r="CH59" s="4">
        <v>17.215</v>
      </c>
      <c r="CI59" s="4">
        <v>15.808</v>
      </c>
      <c r="CJ59" s="4">
        <v>11.85</v>
      </c>
      <c r="CK59" s="4">
        <v>18.385999999999999</v>
      </c>
      <c r="CL59" s="4">
        <v>9.8130000000000006</v>
      </c>
      <c r="CM59" s="4">
        <v>18.927</v>
      </c>
      <c r="CN59" s="4">
        <v>16.388999999999999</v>
      </c>
      <c r="CO59" s="4">
        <v>16.989999999999998</v>
      </c>
      <c r="CP59" s="4">
        <v>15.672000000000001</v>
      </c>
      <c r="CQ59" s="4">
        <v>18.126000000000001</v>
      </c>
      <c r="CR59" s="4">
        <v>18.233000000000001</v>
      </c>
      <c r="CS59" s="4">
        <v>17.956</v>
      </c>
      <c r="CT59" s="4">
        <v>18.113</v>
      </c>
      <c r="CU59" s="4">
        <v>16.646000000000001</v>
      </c>
      <c r="CV59" s="4">
        <v>18.204999999999998</v>
      </c>
      <c r="CW59" s="4">
        <v>16.254000000000001</v>
      </c>
      <c r="CX59" s="4">
        <v>17.626000000000001</v>
      </c>
      <c r="CY59" s="4">
        <v>16.547999999999998</v>
      </c>
      <c r="CZ59" s="4">
        <v>18.901</v>
      </c>
      <c r="DA59" s="4">
        <v>12.994999999999999</v>
      </c>
      <c r="DB59" s="4">
        <v>16.827999999999999</v>
      </c>
      <c r="DC59" s="4">
        <v>13.847</v>
      </c>
      <c r="DD59" s="4">
        <v>15.023</v>
      </c>
      <c r="DE59" s="4">
        <v>19.277999999999999</v>
      </c>
      <c r="DF59" s="4">
        <v>11.641999999999999</v>
      </c>
      <c r="DG59" s="4">
        <v>17.364999999999998</v>
      </c>
      <c r="DH59" s="4">
        <v>18.088999999999999</v>
      </c>
      <c r="DI59" s="4">
        <v>15.731</v>
      </c>
      <c r="DJ59" s="4">
        <v>18.914000000000001</v>
      </c>
      <c r="DK59" s="4">
        <v>16.474</v>
      </c>
      <c r="DL59" s="4">
        <v>17.518999999999998</v>
      </c>
      <c r="DM59" s="4">
        <v>19.02</v>
      </c>
      <c r="DN59" s="4">
        <v>15.929</v>
      </c>
      <c r="DO59" s="4">
        <v>16.616</v>
      </c>
      <c r="DP59" s="4">
        <v>11.331</v>
      </c>
      <c r="DQ59" s="4">
        <v>17.079000000000001</v>
      </c>
      <c r="DR59" s="4">
        <v>17.658000000000001</v>
      </c>
      <c r="DS59" s="4">
        <v>17.937999999999999</v>
      </c>
      <c r="DT59" s="4">
        <v>17.152000000000001</v>
      </c>
      <c r="DU59" s="4">
        <v>15.141</v>
      </c>
      <c r="DV59" s="4">
        <v>15.36</v>
      </c>
      <c r="DW59" s="4">
        <v>18.358000000000001</v>
      </c>
      <c r="DX59" s="4">
        <v>16.401</v>
      </c>
      <c r="DY59" s="4">
        <v>16.620999999999999</v>
      </c>
      <c r="DZ59" s="4">
        <v>17.093</v>
      </c>
      <c r="EA59" s="4">
        <v>17.437999999999999</v>
      </c>
      <c r="EB59" s="4">
        <v>17.529</v>
      </c>
      <c r="EC59" s="4">
        <v>11.064</v>
      </c>
      <c r="ED59" s="4">
        <v>17.736000000000001</v>
      </c>
      <c r="EE59" s="4">
        <v>18.815000000000001</v>
      </c>
      <c r="EF59" s="4">
        <v>16.417999999999999</v>
      </c>
      <c r="EG59" s="4">
        <v>16.303000000000001</v>
      </c>
      <c r="EH59" s="4">
        <v>14.992000000000001</v>
      </c>
      <c r="EI59" s="4">
        <v>16.571000000000002</v>
      </c>
      <c r="EJ59" s="4">
        <v>17.117000000000001</v>
      </c>
      <c r="EK59" s="4">
        <v>18.661000000000001</v>
      </c>
      <c r="EL59" s="4">
        <v>17.126999999999999</v>
      </c>
      <c r="EM59" s="4">
        <v>16.559999999999999</v>
      </c>
      <c r="EN59" s="4">
        <v>15.865</v>
      </c>
      <c r="EO59" s="4">
        <v>17.951000000000001</v>
      </c>
      <c r="EP59" s="4">
        <v>16.702999999999999</v>
      </c>
      <c r="EQ59" s="4">
        <v>15.263</v>
      </c>
      <c r="ER59" s="4">
        <v>19.367000000000001</v>
      </c>
      <c r="ES59" s="4">
        <v>15.266</v>
      </c>
      <c r="ET59" s="4">
        <v>15.24</v>
      </c>
      <c r="EU59" s="4">
        <v>19.105</v>
      </c>
      <c r="EV59" s="4">
        <v>13.496</v>
      </c>
      <c r="EW59" s="4">
        <v>16.881</v>
      </c>
      <c r="EX59" s="4">
        <v>12.419</v>
      </c>
      <c r="EY59" s="4">
        <v>17.103000000000002</v>
      </c>
      <c r="EZ59" s="4">
        <v>19.420000000000002</v>
      </c>
      <c r="FA59" s="4">
        <v>13.741</v>
      </c>
      <c r="FB59" s="4">
        <v>17.236999999999998</v>
      </c>
      <c r="FC59" s="4">
        <v>16.988</v>
      </c>
      <c r="FD59" s="4">
        <v>17.785</v>
      </c>
      <c r="FE59" s="4">
        <v>16.568000000000001</v>
      </c>
      <c r="FF59" s="4">
        <v>17.466999999999999</v>
      </c>
      <c r="FG59" s="4">
        <v>17.251000000000001</v>
      </c>
      <c r="FH59" s="4">
        <v>19.048999999999999</v>
      </c>
      <c r="FI59" s="4">
        <v>15.093999999999999</v>
      </c>
      <c r="FJ59" s="4">
        <v>19.303000000000001</v>
      </c>
      <c r="FK59" s="4">
        <v>17.542000000000002</v>
      </c>
      <c r="FL59" s="4">
        <v>16.239999999999998</v>
      </c>
      <c r="FM59" s="4">
        <v>15.237</v>
      </c>
      <c r="FN59" s="4">
        <v>18.606000000000002</v>
      </c>
      <c r="FO59" s="4">
        <v>16.282</v>
      </c>
      <c r="FP59" s="4">
        <v>15.699</v>
      </c>
      <c r="FQ59" s="4">
        <v>15.37</v>
      </c>
      <c r="FR59" s="4">
        <v>15.564</v>
      </c>
      <c r="FS59" s="4">
        <v>15.222</v>
      </c>
      <c r="FT59" s="4">
        <v>18.045999999999999</v>
      </c>
      <c r="FU59" s="4">
        <v>18.036999999999999</v>
      </c>
      <c r="FV59" s="4">
        <v>13.164999999999999</v>
      </c>
      <c r="FW59" s="4">
        <v>18.337</v>
      </c>
      <c r="FX59" s="4">
        <v>18.071999999999999</v>
      </c>
      <c r="FY59" s="4">
        <v>17.79</v>
      </c>
      <c r="FZ59" s="4">
        <v>17.920999999999999</v>
      </c>
      <c r="GA59" s="4">
        <v>15.722</v>
      </c>
      <c r="GB59" s="4">
        <v>17.773</v>
      </c>
      <c r="GC59" s="4">
        <v>17.076000000000001</v>
      </c>
      <c r="GD59" s="4">
        <v>17.516999999999999</v>
      </c>
      <c r="GE59" s="4">
        <v>16.63</v>
      </c>
      <c r="GF59" s="4">
        <v>17.138999999999999</v>
      </c>
      <c r="GG59" s="4">
        <v>15.071999999999999</v>
      </c>
      <c r="GH59" s="4">
        <v>14.646000000000001</v>
      </c>
      <c r="GI59" s="4">
        <v>16.766999999999999</v>
      </c>
      <c r="GJ59" s="4">
        <v>17.117000000000001</v>
      </c>
      <c r="GK59" s="4">
        <v>18.675999999999998</v>
      </c>
      <c r="GL59" s="4">
        <v>18.463000000000001</v>
      </c>
      <c r="GM59" s="4">
        <v>18.350000000000001</v>
      </c>
      <c r="GN59" s="4">
        <v>13.063000000000001</v>
      </c>
      <c r="GO59" s="4">
        <v>17.254999999999999</v>
      </c>
      <c r="GP59" s="4">
        <v>14.252000000000001</v>
      </c>
      <c r="GQ59" s="4">
        <v>14.513</v>
      </c>
      <c r="GR59" s="4">
        <v>14.343</v>
      </c>
      <c r="GS59" s="4">
        <v>18.149000000000001</v>
      </c>
      <c r="GT59" s="4">
        <v>13.084</v>
      </c>
      <c r="GU59" s="4">
        <v>16.954000000000001</v>
      </c>
      <c r="GV59" s="4">
        <v>14.989000000000001</v>
      </c>
      <c r="GW59" s="4">
        <v>14.927</v>
      </c>
      <c r="GX59" s="4">
        <v>10.231</v>
      </c>
      <c r="GY59" s="4">
        <v>15.097</v>
      </c>
      <c r="GZ59" s="4">
        <v>18.512</v>
      </c>
      <c r="HA59" s="4">
        <v>15.891</v>
      </c>
      <c r="HB59" s="4">
        <v>16.477</v>
      </c>
      <c r="HC59" s="4">
        <v>18.306999999999999</v>
      </c>
      <c r="HD59" s="4">
        <v>12.394</v>
      </c>
      <c r="HE59" s="4">
        <v>16.443000000000001</v>
      </c>
      <c r="HF59" s="4">
        <v>12.266999999999999</v>
      </c>
      <c r="HG59" s="4">
        <v>16.925999999999998</v>
      </c>
      <c r="HH59" s="4">
        <v>15.593</v>
      </c>
      <c r="HI59" s="4">
        <v>16.457999999999998</v>
      </c>
      <c r="HJ59" s="4">
        <v>18.202000000000002</v>
      </c>
      <c r="HK59" s="4">
        <v>18.966000000000001</v>
      </c>
      <c r="HL59" s="4">
        <v>18.524000000000001</v>
      </c>
      <c r="HM59" s="4">
        <v>16.693000000000001</v>
      </c>
      <c r="HN59" s="4">
        <v>15.337</v>
      </c>
      <c r="HO59" s="4">
        <v>15.701000000000001</v>
      </c>
      <c r="HP59" s="4">
        <v>16.577999999999999</v>
      </c>
      <c r="HQ59" s="4">
        <v>18.783000000000001</v>
      </c>
      <c r="HR59" s="4">
        <v>17.137</v>
      </c>
      <c r="HS59" s="4">
        <v>15.419</v>
      </c>
      <c r="HT59" s="4">
        <v>16.440000000000001</v>
      </c>
      <c r="HU59" s="4">
        <v>18.111999999999998</v>
      </c>
      <c r="HV59" s="4">
        <v>18.041</v>
      </c>
      <c r="HW59" s="4">
        <v>14.423</v>
      </c>
      <c r="HX59" s="4">
        <v>18.794</v>
      </c>
      <c r="HY59" s="4">
        <v>18.902000000000001</v>
      </c>
      <c r="HZ59" s="4">
        <v>18.352</v>
      </c>
      <c r="IA59" s="4">
        <v>11.862</v>
      </c>
      <c r="IB59" s="4">
        <v>16.916</v>
      </c>
      <c r="IC59" s="4">
        <v>19.096</v>
      </c>
      <c r="ID59" s="4">
        <v>16.812000000000001</v>
      </c>
      <c r="IE59" s="4">
        <v>18.946999999999999</v>
      </c>
      <c r="IF59" s="4">
        <v>18.675000000000001</v>
      </c>
      <c r="IG59" s="4">
        <v>15.621</v>
      </c>
      <c r="IH59" s="4">
        <v>10.331</v>
      </c>
      <c r="II59" s="4">
        <v>12.093999999999999</v>
      </c>
      <c r="IJ59" s="4">
        <v>17.896999999999998</v>
      </c>
      <c r="IK59" s="4">
        <v>16.693000000000001</v>
      </c>
      <c r="IL59" s="4">
        <v>12.824</v>
      </c>
      <c r="IM59" s="4">
        <v>18.927</v>
      </c>
      <c r="IN59" s="4">
        <v>15.58</v>
      </c>
      <c r="IO59" s="4">
        <v>15.391999999999999</v>
      </c>
      <c r="IP59" s="4">
        <v>16.651</v>
      </c>
      <c r="IQ59" s="4">
        <v>18.507999999999999</v>
      </c>
      <c r="IR59" s="4">
        <v>19.039000000000001</v>
      </c>
      <c r="IS59" s="4">
        <v>12.971</v>
      </c>
      <c r="IT59" s="4">
        <v>16.117000000000001</v>
      </c>
      <c r="IU59" s="4">
        <v>12.944000000000001</v>
      </c>
      <c r="IV59" s="4">
        <v>18.661000000000001</v>
      </c>
      <c r="IW59" s="4">
        <v>10.875999999999999</v>
      </c>
      <c r="IX59" s="4">
        <v>16.376999999999999</v>
      </c>
      <c r="IY59" s="4">
        <v>16.556999999999999</v>
      </c>
      <c r="IZ59" s="4">
        <v>16.948</v>
      </c>
      <c r="JA59" s="4">
        <v>16.411000000000001</v>
      </c>
      <c r="JB59" s="4">
        <v>16.917999999999999</v>
      </c>
      <c r="JC59" s="4">
        <v>15.226000000000001</v>
      </c>
      <c r="JD59" s="4">
        <v>17.228000000000002</v>
      </c>
      <c r="JE59" s="4">
        <v>17.265999999999998</v>
      </c>
      <c r="JF59" s="4">
        <v>18.605</v>
      </c>
      <c r="JG59" s="4">
        <v>17.047000000000001</v>
      </c>
      <c r="JH59" s="4">
        <v>18.782</v>
      </c>
      <c r="JI59" s="4">
        <v>15.022</v>
      </c>
      <c r="JJ59" s="4">
        <v>16.945</v>
      </c>
      <c r="JK59" s="4">
        <v>16.094000000000001</v>
      </c>
      <c r="JL59" s="4">
        <v>19.207999999999998</v>
      </c>
      <c r="JM59" s="4">
        <v>16.698</v>
      </c>
      <c r="JN59" s="4">
        <v>17.919</v>
      </c>
      <c r="JO59" s="4">
        <v>18.206</v>
      </c>
      <c r="JP59" s="4">
        <v>16.548999999999999</v>
      </c>
      <c r="JQ59" s="4">
        <v>16.524000000000001</v>
      </c>
      <c r="JR59" s="4">
        <v>15.98</v>
      </c>
      <c r="JS59" s="4">
        <v>15.304</v>
      </c>
      <c r="JT59" s="4">
        <v>18.521999999999998</v>
      </c>
      <c r="JU59" s="4">
        <v>18.498000000000001</v>
      </c>
      <c r="JV59" s="4">
        <v>17.867000000000001</v>
      </c>
      <c r="JW59" s="4">
        <v>17.661999999999999</v>
      </c>
      <c r="JX59" s="4">
        <v>16.442</v>
      </c>
      <c r="JY59" s="4">
        <v>18.228000000000002</v>
      </c>
      <c r="JZ59" s="4">
        <v>17.93</v>
      </c>
      <c r="KA59" s="4">
        <v>16.786000000000001</v>
      </c>
      <c r="KB59" s="4">
        <v>14.694000000000001</v>
      </c>
      <c r="KC59" s="4">
        <v>14.430999999999999</v>
      </c>
      <c r="KD59" s="4">
        <v>16.725000000000001</v>
      </c>
      <c r="KE59" s="4">
        <v>17.939</v>
      </c>
      <c r="KF59" s="4">
        <v>16.361000000000001</v>
      </c>
      <c r="KG59" s="4">
        <v>18.324999999999999</v>
      </c>
      <c r="KH59" s="4">
        <v>16.797999999999998</v>
      </c>
      <c r="KI59" s="4">
        <v>17.521000000000001</v>
      </c>
      <c r="KJ59" s="4">
        <v>18.547000000000001</v>
      </c>
      <c r="KK59" s="4">
        <v>17.114000000000001</v>
      </c>
      <c r="KL59" s="4">
        <v>16.946000000000002</v>
      </c>
      <c r="KM59" s="4">
        <v>12.063000000000001</v>
      </c>
      <c r="KN59" s="4">
        <v>17.61</v>
      </c>
      <c r="KO59" s="4">
        <v>14.092000000000001</v>
      </c>
      <c r="KP59" s="4">
        <v>17.361999999999998</v>
      </c>
      <c r="KQ59" s="4">
        <v>18.742000000000001</v>
      </c>
      <c r="KR59" s="4">
        <v>16.827999999999999</v>
      </c>
      <c r="KS59" s="4">
        <v>18.863</v>
      </c>
    </row>
    <row r="60" spans="1:305" x14ac:dyDescent="0.25">
      <c r="A60" s="4">
        <v>2018</v>
      </c>
      <c r="B60" s="4">
        <v>9</v>
      </c>
      <c r="C60" s="4">
        <v>6.577</v>
      </c>
      <c r="D60" s="4">
        <v>13.84</v>
      </c>
      <c r="E60" s="4">
        <v>13.409000000000001</v>
      </c>
      <c r="F60" s="4">
        <v>12.791</v>
      </c>
      <c r="G60" s="4">
        <v>12.547000000000001</v>
      </c>
      <c r="H60" s="4">
        <v>9.6709999999999994</v>
      </c>
      <c r="I60" s="4">
        <v>12.622999999999999</v>
      </c>
      <c r="J60" s="4">
        <v>8.66</v>
      </c>
      <c r="K60" s="4">
        <v>12.738</v>
      </c>
      <c r="L60" s="4">
        <v>14.25</v>
      </c>
      <c r="M60" s="4">
        <v>9.5129999999999999</v>
      </c>
      <c r="N60" s="4">
        <v>13.096</v>
      </c>
      <c r="O60" s="4">
        <v>8.2680000000000007</v>
      </c>
      <c r="P60" s="4">
        <v>11.558999999999999</v>
      </c>
      <c r="Q60" s="4">
        <v>7.4530000000000003</v>
      </c>
      <c r="R60" s="4">
        <v>7.4870000000000001</v>
      </c>
      <c r="S60" s="4">
        <v>11.9</v>
      </c>
      <c r="T60" s="4">
        <v>12.41</v>
      </c>
      <c r="U60" s="4">
        <v>12.582000000000001</v>
      </c>
      <c r="V60" s="4">
        <v>13.102</v>
      </c>
      <c r="W60" s="4">
        <v>11.709</v>
      </c>
      <c r="X60" s="4">
        <v>14.327</v>
      </c>
      <c r="Y60" s="4">
        <v>12.15</v>
      </c>
      <c r="Z60" s="4">
        <v>9.0679999999999996</v>
      </c>
      <c r="AA60" s="4">
        <v>14.359</v>
      </c>
      <c r="AB60" s="4">
        <v>8.9049999999999994</v>
      </c>
      <c r="AC60" s="4">
        <v>12.667</v>
      </c>
      <c r="AD60" s="4">
        <v>11.122999999999999</v>
      </c>
      <c r="AE60" s="4">
        <v>12.194000000000001</v>
      </c>
      <c r="AF60" s="4">
        <v>14.765000000000001</v>
      </c>
      <c r="AG60" s="4">
        <v>11.266999999999999</v>
      </c>
      <c r="AH60" s="4">
        <v>13.27</v>
      </c>
      <c r="AI60" s="4">
        <v>9.1829999999999998</v>
      </c>
      <c r="AJ60" s="4">
        <v>13.202999999999999</v>
      </c>
      <c r="AK60" s="4">
        <v>13.819000000000001</v>
      </c>
      <c r="AL60" s="4">
        <v>15.394</v>
      </c>
      <c r="AM60" s="4">
        <v>11.202999999999999</v>
      </c>
      <c r="AN60" s="4">
        <v>13.853</v>
      </c>
      <c r="AO60" s="4">
        <v>12.022</v>
      </c>
      <c r="AP60" s="4">
        <v>11.116</v>
      </c>
      <c r="AQ60" s="4">
        <v>8.8049999999999997</v>
      </c>
      <c r="AR60" s="4">
        <v>10.659000000000001</v>
      </c>
      <c r="AS60" s="4">
        <v>12.055999999999999</v>
      </c>
      <c r="AT60" s="4">
        <v>12.176</v>
      </c>
      <c r="AU60" s="4">
        <v>12.88</v>
      </c>
      <c r="AV60" s="4">
        <v>12.901</v>
      </c>
      <c r="AW60" s="4">
        <v>12.957000000000001</v>
      </c>
      <c r="AX60" s="4">
        <v>14.417</v>
      </c>
      <c r="AY60" s="4">
        <v>12.727</v>
      </c>
      <c r="AZ60" s="4">
        <v>11.673999999999999</v>
      </c>
      <c r="BA60" s="4">
        <v>14.627000000000001</v>
      </c>
      <c r="BB60" s="4">
        <v>12.244</v>
      </c>
      <c r="BC60" s="4">
        <v>15.755000000000001</v>
      </c>
      <c r="BD60" s="4">
        <v>11.478999999999999</v>
      </c>
      <c r="BE60" s="4">
        <v>12.452999999999999</v>
      </c>
      <c r="BF60" s="4">
        <v>11.175000000000001</v>
      </c>
      <c r="BG60" s="4">
        <v>12.144</v>
      </c>
      <c r="BH60" s="4">
        <v>12.917999999999999</v>
      </c>
      <c r="BI60" s="4">
        <v>12.965999999999999</v>
      </c>
      <c r="BJ60" s="4">
        <v>8.5399999999999991</v>
      </c>
      <c r="BK60" s="4">
        <v>12.239000000000001</v>
      </c>
      <c r="BL60" s="4">
        <v>8.4469999999999992</v>
      </c>
      <c r="BM60" s="4">
        <v>7.8170000000000002</v>
      </c>
      <c r="BN60" s="4">
        <v>10.54</v>
      </c>
      <c r="BO60" s="4">
        <v>6.8090000000000002</v>
      </c>
      <c r="BP60" s="4">
        <v>12.305</v>
      </c>
      <c r="BQ60" s="4">
        <v>12.4</v>
      </c>
      <c r="BR60" s="4">
        <v>12.926</v>
      </c>
      <c r="BS60" s="4">
        <v>14.257</v>
      </c>
      <c r="BT60" s="4">
        <v>13.11</v>
      </c>
      <c r="BU60" s="4">
        <v>12.99</v>
      </c>
      <c r="BV60" s="4">
        <v>13.430999999999999</v>
      </c>
      <c r="BW60" s="4">
        <v>10.882</v>
      </c>
      <c r="BX60" s="4">
        <v>11.167</v>
      </c>
      <c r="BY60" s="4">
        <v>12.603999999999999</v>
      </c>
      <c r="BZ60" s="4">
        <v>12.391999999999999</v>
      </c>
      <c r="CA60" s="4">
        <v>14.441000000000001</v>
      </c>
      <c r="CB60" s="4">
        <v>13.175000000000001</v>
      </c>
      <c r="CC60" s="4">
        <v>9.5579999999999998</v>
      </c>
      <c r="CD60" s="4">
        <v>13.05</v>
      </c>
      <c r="CE60" s="4">
        <v>9.9450000000000003</v>
      </c>
      <c r="CF60" s="4">
        <v>11.22</v>
      </c>
      <c r="CG60" s="4">
        <v>13.63</v>
      </c>
      <c r="CH60" s="4">
        <v>13.007</v>
      </c>
      <c r="CI60" s="4">
        <v>11.603</v>
      </c>
      <c r="CJ60" s="4">
        <v>8.1720000000000006</v>
      </c>
      <c r="CK60" s="4">
        <v>14.675000000000001</v>
      </c>
      <c r="CL60" s="4">
        <v>6.4139999999999997</v>
      </c>
      <c r="CM60" s="4">
        <v>14.263</v>
      </c>
      <c r="CN60" s="4">
        <v>12.58</v>
      </c>
      <c r="CO60" s="4">
        <v>13.250999999999999</v>
      </c>
      <c r="CP60" s="4">
        <v>11.337</v>
      </c>
      <c r="CQ60" s="4">
        <v>14.71</v>
      </c>
      <c r="CR60" s="4">
        <v>13.430999999999999</v>
      </c>
      <c r="CS60" s="4">
        <v>13.673999999999999</v>
      </c>
      <c r="CT60" s="4">
        <v>13.816000000000001</v>
      </c>
      <c r="CU60" s="4">
        <v>12.78</v>
      </c>
      <c r="CV60" s="4">
        <v>13.348000000000001</v>
      </c>
      <c r="CW60" s="4">
        <v>11.766999999999999</v>
      </c>
      <c r="CX60" s="4">
        <v>12.927</v>
      </c>
      <c r="CY60" s="4">
        <v>12.686</v>
      </c>
      <c r="CZ60" s="4">
        <v>13.994999999999999</v>
      </c>
      <c r="DA60" s="4">
        <v>8.1020000000000003</v>
      </c>
      <c r="DB60" s="4">
        <v>12.659000000000001</v>
      </c>
      <c r="DC60" s="4">
        <v>9.5269999999999992</v>
      </c>
      <c r="DD60" s="4">
        <v>9.2949999999999999</v>
      </c>
      <c r="DE60" s="4">
        <v>14.305999999999999</v>
      </c>
      <c r="DF60" s="4">
        <v>6.4370000000000003</v>
      </c>
      <c r="DG60" s="4">
        <v>13.467000000000001</v>
      </c>
      <c r="DH60" s="4">
        <v>13.512</v>
      </c>
      <c r="DI60" s="4">
        <v>11.798</v>
      </c>
      <c r="DJ60" s="4">
        <v>14.226000000000001</v>
      </c>
      <c r="DK60" s="4">
        <v>12.9</v>
      </c>
      <c r="DL60" s="4">
        <v>13.045</v>
      </c>
      <c r="DM60" s="4">
        <v>14.983000000000001</v>
      </c>
      <c r="DN60" s="4">
        <v>12.244999999999999</v>
      </c>
      <c r="DO60" s="4">
        <v>13</v>
      </c>
      <c r="DP60" s="4">
        <v>6.6589999999999998</v>
      </c>
      <c r="DQ60" s="4">
        <v>12.725</v>
      </c>
      <c r="DR60" s="4">
        <v>13.698</v>
      </c>
      <c r="DS60" s="4">
        <v>12.965</v>
      </c>
      <c r="DT60" s="4">
        <v>12.706</v>
      </c>
      <c r="DU60" s="4">
        <v>10.875999999999999</v>
      </c>
      <c r="DV60" s="4">
        <v>10.7</v>
      </c>
      <c r="DW60" s="4">
        <v>14.051</v>
      </c>
      <c r="DX60" s="4">
        <v>12.612</v>
      </c>
      <c r="DY60" s="4">
        <v>12.654</v>
      </c>
      <c r="DZ60" s="4">
        <v>13.664999999999999</v>
      </c>
      <c r="EA60" s="4">
        <v>14.254</v>
      </c>
      <c r="EB60" s="4">
        <v>13.106999999999999</v>
      </c>
      <c r="EC60" s="4">
        <v>6.4550000000000001</v>
      </c>
      <c r="ED60" s="4">
        <v>14.036</v>
      </c>
      <c r="EE60" s="4">
        <v>15.013999999999999</v>
      </c>
      <c r="EF60" s="4">
        <v>12.456</v>
      </c>
      <c r="EG60" s="4">
        <v>12.444000000000001</v>
      </c>
      <c r="EH60" s="4">
        <v>10.663</v>
      </c>
      <c r="EI60" s="4">
        <v>13.042</v>
      </c>
      <c r="EJ60" s="4">
        <v>12.667999999999999</v>
      </c>
      <c r="EK60" s="4">
        <v>13.737</v>
      </c>
      <c r="EL60" s="4">
        <v>13.388</v>
      </c>
      <c r="EM60" s="4">
        <v>13.023999999999999</v>
      </c>
      <c r="EN60" s="4">
        <v>11.791</v>
      </c>
      <c r="EO60" s="4">
        <v>13.593999999999999</v>
      </c>
      <c r="EP60" s="4">
        <v>12.602</v>
      </c>
      <c r="EQ60" s="4">
        <v>10.628</v>
      </c>
      <c r="ER60" s="4">
        <v>15.395</v>
      </c>
      <c r="ES60" s="4">
        <v>11.231</v>
      </c>
      <c r="ET60" s="4">
        <v>9.9390000000000001</v>
      </c>
      <c r="EU60" s="4">
        <v>15.018000000000001</v>
      </c>
      <c r="EV60" s="4">
        <v>8.6329999999999991</v>
      </c>
      <c r="EW60" s="4">
        <v>13.96</v>
      </c>
      <c r="EX60" s="4">
        <v>7.734</v>
      </c>
      <c r="EY60" s="4">
        <v>12.888999999999999</v>
      </c>
      <c r="EZ60" s="4">
        <v>15.481</v>
      </c>
      <c r="FA60" s="4">
        <v>9.6020000000000003</v>
      </c>
      <c r="FB60" s="4">
        <v>13.497</v>
      </c>
      <c r="FC60" s="4">
        <v>12.887</v>
      </c>
      <c r="FD60" s="4">
        <v>12.792999999999999</v>
      </c>
      <c r="FE60" s="4">
        <v>13.166</v>
      </c>
      <c r="FF60" s="4">
        <v>13.308</v>
      </c>
      <c r="FG60" s="4">
        <v>13.964</v>
      </c>
      <c r="FH60" s="4">
        <v>14.196999999999999</v>
      </c>
      <c r="FI60" s="4">
        <v>11.103</v>
      </c>
      <c r="FJ60" s="4">
        <v>14.428000000000001</v>
      </c>
      <c r="FK60" s="4">
        <v>13.397</v>
      </c>
      <c r="FL60" s="4">
        <v>12.962</v>
      </c>
      <c r="FM60" s="4">
        <v>11.31</v>
      </c>
      <c r="FN60" s="4">
        <v>13.682</v>
      </c>
      <c r="FO60" s="4">
        <v>11.958</v>
      </c>
      <c r="FP60" s="4">
        <v>11.802</v>
      </c>
      <c r="FQ60" s="4">
        <v>11.292</v>
      </c>
      <c r="FR60" s="4">
        <v>11.058</v>
      </c>
      <c r="FS60" s="4">
        <v>10.43</v>
      </c>
      <c r="FT60" s="4">
        <v>13.532999999999999</v>
      </c>
      <c r="FU60" s="4">
        <v>12.933999999999999</v>
      </c>
      <c r="FV60" s="4">
        <v>8.1389999999999993</v>
      </c>
      <c r="FW60" s="4">
        <v>13.31</v>
      </c>
      <c r="FX60" s="4">
        <v>13.395</v>
      </c>
      <c r="FY60" s="4">
        <v>13.121</v>
      </c>
      <c r="FZ60" s="4">
        <v>13.257999999999999</v>
      </c>
      <c r="GA60" s="4">
        <v>11.523999999999999</v>
      </c>
      <c r="GB60" s="4">
        <v>14.771000000000001</v>
      </c>
      <c r="GC60" s="4">
        <v>13.154999999999999</v>
      </c>
      <c r="GD60" s="4">
        <v>13.141</v>
      </c>
      <c r="GE60" s="4">
        <v>12.659000000000001</v>
      </c>
      <c r="GF60" s="4">
        <v>13.093</v>
      </c>
      <c r="GG60" s="4">
        <v>10.409000000000001</v>
      </c>
      <c r="GH60" s="4">
        <v>10.718</v>
      </c>
      <c r="GI60" s="4">
        <v>13.625999999999999</v>
      </c>
      <c r="GJ60" s="4">
        <v>12.869</v>
      </c>
      <c r="GK60" s="4">
        <v>13.784000000000001</v>
      </c>
      <c r="GL60" s="4">
        <v>13.548999999999999</v>
      </c>
      <c r="GM60" s="4">
        <v>13.426</v>
      </c>
      <c r="GN60" s="4">
        <v>9.6110000000000007</v>
      </c>
      <c r="GO60" s="4">
        <v>12.512</v>
      </c>
      <c r="GP60" s="4">
        <v>10.502000000000001</v>
      </c>
      <c r="GQ60" s="4">
        <v>8.5779999999999994</v>
      </c>
      <c r="GR60" s="4">
        <v>8.5570000000000004</v>
      </c>
      <c r="GS60" s="4">
        <v>13.413</v>
      </c>
      <c r="GT60" s="4">
        <v>7.4459999999999997</v>
      </c>
      <c r="GU60" s="4">
        <v>13.518000000000001</v>
      </c>
      <c r="GV60" s="4">
        <v>9.7219999999999995</v>
      </c>
      <c r="GW60" s="4">
        <v>10.79</v>
      </c>
      <c r="GX60" s="4">
        <v>6.49</v>
      </c>
      <c r="GY60" s="4">
        <v>9.7769999999999992</v>
      </c>
      <c r="GZ60" s="4">
        <v>13.802</v>
      </c>
      <c r="HA60" s="4">
        <v>12.568</v>
      </c>
      <c r="HB60" s="4">
        <v>11.945</v>
      </c>
      <c r="HC60" s="4">
        <v>13.558999999999999</v>
      </c>
      <c r="HD60" s="4">
        <v>8.3970000000000002</v>
      </c>
      <c r="HE60" s="4">
        <v>12.013999999999999</v>
      </c>
      <c r="HF60" s="4">
        <v>8.4090000000000007</v>
      </c>
      <c r="HG60" s="4">
        <v>13.368</v>
      </c>
      <c r="HH60" s="4">
        <v>11.499000000000001</v>
      </c>
      <c r="HI60" s="4">
        <v>12.221</v>
      </c>
      <c r="HJ60" s="4">
        <v>13.285</v>
      </c>
      <c r="HK60" s="4">
        <v>14.871</v>
      </c>
      <c r="HL60" s="4">
        <v>14.16</v>
      </c>
      <c r="HM60" s="4">
        <v>12.808999999999999</v>
      </c>
      <c r="HN60" s="4">
        <v>9.7720000000000002</v>
      </c>
      <c r="HO60" s="4">
        <v>11.500999999999999</v>
      </c>
      <c r="HP60" s="4">
        <v>12.654</v>
      </c>
      <c r="HQ60" s="4">
        <v>14.574</v>
      </c>
      <c r="HR60" s="4">
        <v>12.43</v>
      </c>
      <c r="HS60" s="4">
        <v>11.462</v>
      </c>
      <c r="HT60" s="4">
        <v>11.97</v>
      </c>
      <c r="HU60" s="4">
        <v>13.651</v>
      </c>
      <c r="HV60" s="4">
        <v>13.335000000000001</v>
      </c>
      <c r="HW60" s="4">
        <v>9.7289999999999992</v>
      </c>
      <c r="HX60" s="4">
        <v>13.882999999999999</v>
      </c>
      <c r="HY60" s="4">
        <v>13.959</v>
      </c>
      <c r="HZ60" s="4">
        <v>13.837999999999999</v>
      </c>
      <c r="IA60" s="4">
        <v>7.5529999999999999</v>
      </c>
      <c r="IB60" s="4">
        <v>14.167999999999999</v>
      </c>
      <c r="IC60" s="4">
        <v>14.975</v>
      </c>
      <c r="ID60" s="4">
        <v>13.493</v>
      </c>
      <c r="IE60" s="4">
        <v>14.013</v>
      </c>
      <c r="IF60" s="4">
        <v>13.741</v>
      </c>
      <c r="IG60" s="4">
        <v>11.569000000000001</v>
      </c>
      <c r="IH60" s="4">
        <v>7.6639999999999997</v>
      </c>
      <c r="II60" s="4">
        <v>7.9249999999999998</v>
      </c>
      <c r="IJ60" s="4">
        <v>13.067</v>
      </c>
      <c r="IK60" s="4">
        <v>13.744999999999999</v>
      </c>
      <c r="IL60" s="4">
        <v>8.8829999999999991</v>
      </c>
      <c r="IM60" s="4">
        <v>13.993</v>
      </c>
      <c r="IN60" s="4">
        <v>11.163</v>
      </c>
      <c r="IO60" s="4">
        <v>11.622999999999999</v>
      </c>
      <c r="IP60" s="4">
        <v>12.14</v>
      </c>
      <c r="IQ60" s="4">
        <v>14.486000000000001</v>
      </c>
      <c r="IR60" s="4">
        <v>14.853</v>
      </c>
      <c r="IS60" s="4">
        <v>9.1310000000000002</v>
      </c>
      <c r="IT60" s="4">
        <v>12.256</v>
      </c>
      <c r="IU60" s="4">
        <v>9.3829999999999991</v>
      </c>
      <c r="IV60" s="4">
        <v>13.747</v>
      </c>
      <c r="IW60" s="4">
        <v>7.5590000000000002</v>
      </c>
      <c r="IX60" s="4">
        <v>13.257999999999999</v>
      </c>
      <c r="IY60" s="4">
        <v>11.99</v>
      </c>
      <c r="IZ60" s="4">
        <v>13.034000000000001</v>
      </c>
      <c r="JA60" s="4">
        <v>12.455</v>
      </c>
      <c r="JB60" s="4">
        <v>12.2</v>
      </c>
      <c r="JC60" s="4">
        <v>10.7</v>
      </c>
      <c r="JD60" s="4">
        <v>12.832000000000001</v>
      </c>
      <c r="JE60" s="4">
        <v>14.228999999999999</v>
      </c>
      <c r="JF60" s="4">
        <v>14.276999999999999</v>
      </c>
      <c r="JG60" s="4">
        <v>13.077999999999999</v>
      </c>
      <c r="JH60" s="4">
        <v>13.888</v>
      </c>
      <c r="JI60" s="4">
        <v>11.194000000000001</v>
      </c>
      <c r="JJ60" s="4">
        <v>12.747</v>
      </c>
      <c r="JK60" s="4">
        <v>12.113</v>
      </c>
      <c r="JL60" s="4">
        <v>15.459</v>
      </c>
      <c r="JM60" s="4">
        <v>12.984999999999999</v>
      </c>
      <c r="JN60" s="4">
        <v>13.183</v>
      </c>
      <c r="JO60" s="4">
        <v>13.372</v>
      </c>
      <c r="JP60" s="4">
        <v>13.286</v>
      </c>
      <c r="JQ60" s="4">
        <v>13.086</v>
      </c>
      <c r="JR60" s="4">
        <v>11.971</v>
      </c>
      <c r="JS60" s="4">
        <v>10.260999999999999</v>
      </c>
      <c r="JT60" s="4">
        <v>13.646000000000001</v>
      </c>
      <c r="JU60" s="4">
        <v>13.608000000000001</v>
      </c>
      <c r="JV60" s="4">
        <v>12.868</v>
      </c>
      <c r="JW60" s="4">
        <v>13.648999999999999</v>
      </c>
      <c r="JX60" s="4">
        <v>12.28</v>
      </c>
      <c r="JY60" s="4">
        <v>13.667</v>
      </c>
      <c r="JZ60" s="4">
        <v>13.037000000000001</v>
      </c>
      <c r="KA60" s="4">
        <v>13.065</v>
      </c>
      <c r="KB60" s="4">
        <v>9.5739999999999998</v>
      </c>
      <c r="KC60" s="4">
        <v>10.23</v>
      </c>
      <c r="KD60" s="4">
        <v>12.933999999999999</v>
      </c>
      <c r="KE60" s="4">
        <v>14.699</v>
      </c>
      <c r="KF60" s="4">
        <v>12.566000000000001</v>
      </c>
      <c r="KG60" s="4">
        <v>13.47</v>
      </c>
      <c r="KH60" s="4">
        <v>12.698</v>
      </c>
      <c r="KI60" s="4">
        <v>12.888999999999999</v>
      </c>
      <c r="KJ60" s="4">
        <v>13.962999999999999</v>
      </c>
      <c r="KK60" s="4">
        <v>12.705</v>
      </c>
      <c r="KL60" s="4">
        <v>12.401</v>
      </c>
      <c r="KM60" s="4">
        <v>8.0540000000000003</v>
      </c>
      <c r="KN60" s="4">
        <v>12.922000000000001</v>
      </c>
      <c r="KO60" s="4">
        <v>8.9529999999999994</v>
      </c>
      <c r="KP60" s="4">
        <v>12.936999999999999</v>
      </c>
      <c r="KQ60" s="4">
        <v>14.427</v>
      </c>
      <c r="KR60" s="4">
        <v>12.44</v>
      </c>
      <c r="KS60" s="4">
        <v>14.949</v>
      </c>
    </row>
    <row r="61" spans="1:305" x14ac:dyDescent="0.25">
      <c r="A61" s="4">
        <v>2018</v>
      </c>
      <c r="B61" s="4">
        <v>10</v>
      </c>
      <c r="C61" s="4">
        <v>0.10100000000000001</v>
      </c>
      <c r="D61" s="4">
        <v>8.3800000000000008</v>
      </c>
      <c r="E61" s="4">
        <v>8.9139999999999997</v>
      </c>
      <c r="F61" s="4">
        <v>8.2720000000000002</v>
      </c>
      <c r="G61" s="4">
        <v>7.915</v>
      </c>
      <c r="H61" s="4">
        <v>4.218</v>
      </c>
      <c r="I61" s="4">
        <v>7.8070000000000004</v>
      </c>
      <c r="J61" s="4">
        <v>1.7869999999999999</v>
      </c>
      <c r="K61" s="4">
        <v>7.6740000000000004</v>
      </c>
      <c r="L61" s="4">
        <v>10.061</v>
      </c>
      <c r="M61" s="4">
        <v>3.524</v>
      </c>
      <c r="N61" s="4">
        <v>7.8079999999999998</v>
      </c>
      <c r="O61" s="4">
        <v>3.1840000000000002</v>
      </c>
      <c r="P61" s="4">
        <v>6.4470000000000001</v>
      </c>
      <c r="Q61" s="4">
        <v>1.2310000000000001</v>
      </c>
      <c r="R61" s="4">
        <v>1.2849999999999999</v>
      </c>
      <c r="S61" s="4">
        <v>6.3120000000000003</v>
      </c>
      <c r="T61" s="4">
        <v>7.6859999999999999</v>
      </c>
      <c r="U61" s="4">
        <v>7.6040000000000001</v>
      </c>
      <c r="V61" s="4">
        <v>7.79</v>
      </c>
      <c r="W61" s="4">
        <v>6.5670000000000002</v>
      </c>
      <c r="X61" s="4">
        <v>10.326000000000001</v>
      </c>
      <c r="Y61" s="4">
        <v>7.1509999999999998</v>
      </c>
      <c r="Z61" s="4">
        <v>2.9119999999999999</v>
      </c>
      <c r="AA61" s="4">
        <v>10.071</v>
      </c>
      <c r="AB61" s="4">
        <v>1.7909999999999999</v>
      </c>
      <c r="AC61" s="4">
        <v>8.016</v>
      </c>
      <c r="AD61" s="4">
        <v>5.444</v>
      </c>
      <c r="AE61" s="4">
        <v>7.5670000000000002</v>
      </c>
      <c r="AF61" s="4">
        <v>9.4130000000000003</v>
      </c>
      <c r="AG61" s="4">
        <v>6.125</v>
      </c>
      <c r="AH61" s="4">
        <v>7.6520000000000001</v>
      </c>
      <c r="AI61" s="4">
        <v>3.4039999999999999</v>
      </c>
      <c r="AJ61" s="4">
        <v>8.5129999999999999</v>
      </c>
      <c r="AK61" s="4">
        <v>8.8800000000000008</v>
      </c>
      <c r="AL61" s="4">
        <v>10.827999999999999</v>
      </c>
      <c r="AM61" s="4">
        <v>5.4809999999999999</v>
      </c>
      <c r="AN61" s="4">
        <v>8.3309999999999995</v>
      </c>
      <c r="AO61" s="4">
        <v>6.9080000000000004</v>
      </c>
      <c r="AP61" s="4">
        <v>5.2809999999999997</v>
      </c>
      <c r="AQ61" s="4">
        <v>2.915</v>
      </c>
      <c r="AR61" s="4">
        <v>5.0709999999999997</v>
      </c>
      <c r="AS61" s="4">
        <v>7.2469999999999999</v>
      </c>
      <c r="AT61" s="4">
        <v>7.36</v>
      </c>
      <c r="AU61" s="4">
        <v>7.4240000000000004</v>
      </c>
      <c r="AV61" s="4">
        <v>7.34</v>
      </c>
      <c r="AW61" s="4">
        <v>7.827</v>
      </c>
      <c r="AX61" s="4">
        <v>9.8840000000000003</v>
      </c>
      <c r="AY61" s="4">
        <v>8.0980000000000008</v>
      </c>
      <c r="AZ61" s="4">
        <v>6.5750000000000002</v>
      </c>
      <c r="BA61" s="4">
        <v>10.102</v>
      </c>
      <c r="BB61" s="4">
        <v>7.7510000000000003</v>
      </c>
      <c r="BC61" s="4">
        <v>11.211</v>
      </c>
      <c r="BD61" s="4">
        <v>6.1319999999999997</v>
      </c>
      <c r="BE61" s="4">
        <v>8.01</v>
      </c>
      <c r="BF61" s="4">
        <v>6.2240000000000002</v>
      </c>
      <c r="BG61" s="4">
        <v>6.8630000000000004</v>
      </c>
      <c r="BH61" s="4">
        <v>7.5759999999999996</v>
      </c>
      <c r="BI61" s="4">
        <v>7.532</v>
      </c>
      <c r="BJ61" s="4">
        <v>2.9289999999999998</v>
      </c>
      <c r="BK61" s="4">
        <v>6.7709999999999999</v>
      </c>
      <c r="BL61" s="4">
        <v>2.3610000000000002</v>
      </c>
      <c r="BM61" s="4">
        <v>1.7849999999999999</v>
      </c>
      <c r="BN61" s="4">
        <v>5.5410000000000004</v>
      </c>
      <c r="BO61" s="4">
        <v>-0.47399999999999998</v>
      </c>
      <c r="BP61" s="4">
        <v>7.0890000000000004</v>
      </c>
      <c r="BQ61" s="4">
        <v>7.5940000000000003</v>
      </c>
      <c r="BR61" s="4">
        <v>7.3540000000000001</v>
      </c>
      <c r="BS61" s="4">
        <v>9.7140000000000004</v>
      </c>
      <c r="BT61" s="4">
        <v>8.5329999999999995</v>
      </c>
      <c r="BU61" s="4">
        <v>8.4030000000000005</v>
      </c>
      <c r="BV61" s="4">
        <v>7.8780000000000001</v>
      </c>
      <c r="BW61" s="4">
        <v>5.63</v>
      </c>
      <c r="BX61" s="4">
        <v>6.1609999999999996</v>
      </c>
      <c r="BY61" s="4">
        <v>7.5839999999999996</v>
      </c>
      <c r="BZ61" s="4">
        <v>7.1310000000000002</v>
      </c>
      <c r="CA61" s="4">
        <v>10.051</v>
      </c>
      <c r="CB61" s="4">
        <v>7.9340000000000002</v>
      </c>
      <c r="CC61" s="4">
        <v>3.3359999999999999</v>
      </c>
      <c r="CD61" s="4">
        <v>7.3639999999999999</v>
      </c>
      <c r="CE61" s="4">
        <v>2.8759999999999999</v>
      </c>
      <c r="CF61" s="4">
        <v>4.9009999999999998</v>
      </c>
      <c r="CG61" s="4">
        <v>9.0630000000000006</v>
      </c>
      <c r="CH61" s="4">
        <v>8.3800000000000008</v>
      </c>
      <c r="CI61" s="4">
        <v>6.4290000000000003</v>
      </c>
      <c r="CJ61" s="4">
        <v>2.589</v>
      </c>
      <c r="CK61" s="4">
        <v>10.462</v>
      </c>
      <c r="CL61" s="4">
        <v>0.81200000000000006</v>
      </c>
      <c r="CM61" s="4">
        <v>8.6470000000000002</v>
      </c>
      <c r="CN61" s="4">
        <v>8.0459999999999994</v>
      </c>
      <c r="CO61" s="4">
        <v>8.7929999999999993</v>
      </c>
      <c r="CP61" s="4">
        <v>6.1619999999999999</v>
      </c>
      <c r="CQ61" s="4">
        <v>10.682</v>
      </c>
      <c r="CR61" s="4">
        <v>7.8940000000000001</v>
      </c>
      <c r="CS61" s="4">
        <v>9.2089999999999996</v>
      </c>
      <c r="CT61" s="4">
        <v>9.3699999999999992</v>
      </c>
      <c r="CU61" s="4">
        <v>7.93</v>
      </c>
      <c r="CV61" s="4">
        <v>7.7779999999999996</v>
      </c>
      <c r="CW61" s="4">
        <v>5.641</v>
      </c>
      <c r="CX61" s="4">
        <v>7.5439999999999996</v>
      </c>
      <c r="CY61" s="4">
        <v>8.1229999999999993</v>
      </c>
      <c r="CZ61" s="4">
        <v>8.4659999999999993</v>
      </c>
      <c r="DA61" s="4">
        <v>0.80200000000000005</v>
      </c>
      <c r="DB61" s="4">
        <v>7.9420000000000002</v>
      </c>
      <c r="DC61" s="4">
        <v>3.258</v>
      </c>
      <c r="DD61" s="4">
        <v>2.2240000000000002</v>
      </c>
      <c r="DE61" s="4">
        <v>8.6159999999999997</v>
      </c>
      <c r="DF61" s="4">
        <v>-1.41</v>
      </c>
      <c r="DG61" s="4">
        <v>8.7449999999999992</v>
      </c>
      <c r="DH61" s="4">
        <v>8.3480000000000008</v>
      </c>
      <c r="DI61" s="4">
        <v>6.7149999999999999</v>
      </c>
      <c r="DJ61" s="4">
        <v>9.0190000000000001</v>
      </c>
      <c r="DK61" s="4">
        <v>7.5549999999999997</v>
      </c>
      <c r="DL61" s="4">
        <v>7.6619999999999999</v>
      </c>
      <c r="DM61" s="4">
        <v>10.401999999999999</v>
      </c>
      <c r="DN61" s="4">
        <v>6.72</v>
      </c>
      <c r="DO61" s="4">
        <v>8.3320000000000007</v>
      </c>
      <c r="DP61" s="4">
        <v>-0.628</v>
      </c>
      <c r="DQ61" s="4">
        <v>7.4720000000000004</v>
      </c>
      <c r="DR61" s="4">
        <v>9.3800000000000008</v>
      </c>
      <c r="DS61" s="4">
        <v>7.4950000000000001</v>
      </c>
      <c r="DT61" s="4">
        <v>7.4409999999999998</v>
      </c>
      <c r="DU61" s="4">
        <v>5.8410000000000002</v>
      </c>
      <c r="DV61" s="4">
        <v>4.2380000000000004</v>
      </c>
      <c r="DW61" s="4">
        <v>9.16</v>
      </c>
      <c r="DX61" s="4">
        <v>7.4640000000000004</v>
      </c>
      <c r="DY61" s="4">
        <v>7.6150000000000002</v>
      </c>
      <c r="DZ61" s="4">
        <v>9.1890000000000001</v>
      </c>
      <c r="EA61" s="4">
        <v>9.5909999999999993</v>
      </c>
      <c r="EB61" s="4">
        <v>7.8710000000000004</v>
      </c>
      <c r="EC61" s="4">
        <v>-0.318</v>
      </c>
      <c r="ED61" s="4">
        <v>9.8390000000000004</v>
      </c>
      <c r="EE61" s="4">
        <v>10.616</v>
      </c>
      <c r="EF61" s="4">
        <v>7.4649999999999999</v>
      </c>
      <c r="EG61" s="4">
        <v>7.3330000000000002</v>
      </c>
      <c r="EH61" s="4">
        <v>5.6210000000000004</v>
      </c>
      <c r="EI61" s="4">
        <v>8.5609999999999999</v>
      </c>
      <c r="EJ61" s="4">
        <v>7.4390000000000001</v>
      </c>
      <c r="EK61" s="4">
        <v>8.2149999999999999</v>
      </c>
      <c r="EL61" s="4">
        <v>8.8179999999999996</v>
      </c>
      <c r="EM61" s="4">
        <v>8.4339999999999993</v>
      </c>
      <c r="EN61" s="4">
        <v>6.5380000000000003</v>
      </c>
      <c r="EO61" s="4">
        <v>8.407</v>
      </c>
      <c r="EP61" s="4">
        <v>7.8579999999999997</v>
      </c>
      <c r="EQ61" s="4">
        <v>4.8970000000000002</v>
      </c>
      <c r="ER61" s="4">
        <v>10.833</v>
      </c>
      <c r="ES61" s="4">
        <v>6.3310000000000004</v>
      </c>
      <c r="ET61" s="4">
        <v>3.16</v>
      </c>
      <c r="EU61" s="4">
        <v>10.436</v>
      </c>
      <c r="EV61" s="4">
        <v>2.5569999999999999</v>
      </c>
      <c r="EW61" s="4">
        <v>9.609</v>
      </c>
      <c r="EX61" s="4">
        <v>1.792</v>
      </c>
      <c r="EY61" s="4">
        <v>8.0410000000000004</v>
      </c>
      <c r="EZ61" s="4">
        <v>10.946</v>
      </c>
      <c r="FA61" s="4">
        <v>4.5599999999999996</v>
      </c>
      <c r="FB61" s="4">
        <v>8.7840000000000007</v>
      </c>
      <c r="FC61" s="4">
        <v>8.4019999999999992</v>
      </c>
      <c r="FD61" s="4">
        <v>7.3330000000000002</v>
      </c>
      <c r="FE61" s="4">
        <v>8.7089999999999996</v>
      </c>
      <c r="FF61" s="4">
        <v>8.33</v>
      </c>
      <c r="FG61" s="4">
        <v>9.391</v>
      </c>
      <c r="FH61" s="4">
        <v>8.6999999999999993</v>
      </c>
      <c r="FI61" s="4">
        <v>5.6909999999999998</v>
      </c>
      <c r="FJ61" s="4">
        <v>8.7479999999999993</v>
      </c>
      <c r="FK61" s="4">
        <v>8.4160000000000004</v>
      </c>
      <c r="FL61" s="4">
        <v>8.5269999999999992</v>
      </c>
      <c r="FM61" s="4">
        <v>6.0330000000000004</v>
      </c>
      <c r="FN61" s="4">
        <v>8.1560000000000006</v>
      </c>
      <c r="FO61" s="4">
        <v>7.2359999999999998</v>
      </c>
      <c r="FP61" s="4">
        <v>6.6769999999999996</v>
      </c>
      <c r="FQ61" s="4">
        <v>6.1749999999999998</v>
      </c>
      <c r="FR61" s="4">
        <v>5.2279999999999998</v>
      </c>
      <c r="FS61" s="4">
        <v>3.8239999999999998</v>
      </c>
      <c r="FT61" s="4">
        <v>8.09</v>
      </c>
      <c r="FU61" s="4">
        <v>7.56</v>
      </c>
      <c r="FV61" s="4">
        <v>2.1269999999999998</v>
      </c>
      <c r="FW61" s="4">
        <v>7.7670000000000003</v>
      </c>
      <c r="FX61" s="4">
        <v>7.5579999999999998</v>
      </c>
      <c r="FY61" s="4">
        <v>7.5819999999999999</v>
      </c>
      <c r="FZ61" s="4">
        <v>7.44</v>
      </c>
      <c r="GA61" s="4">
        <v>6.2210000000000001</v>
      </c>
      <c r="GB61" s="4">
        <v>10.403</v>
      </c>
      <c r="GC61" s="4">
        <v>8.5350000000000001</v>
      </c>
      <c r="GD61" s="4">
        <v>8.1170000000000009</v>
      </c>
      <c r="GE61" s="4">
        <v>7.5149999999999997</v>
      </c>
      <c r="GF61" s="4">
        <v>8.8109999999999999</v>
      </c>
      <c r="GG61" s="4">
        <v>4.0190000000000001</v>
      </c>
      <c r="GH61" s="4">
        <v>5.2210000000000001</v>
      </c>
      <c r="GI61" s="4">
        <v>9.2609999999999992</v>
      </c>
      <c r="GJ61" s="4">
        <v>8.2240000000000002</v>
      </c>
      <c r="GK61" s="4">
        <v>8.1229999999999993</v>
      </c>
      <c r="GL61" s="4">
        <v>8.02</v>
      </c>
      <c r="GM61" s="4">
        <v>7.907</v>
      </c>
      <c r="GN61" s="4">
        <v>3.9470000000000001</v>
      </c>
      <c r="GO61" s="4">
        <v>7.27</v>
      </c>
      <c r="GP61" s="4">
        <v>4.9880000000000004</v>
      </c>
      <c r="GQ61" s="4">
        <v>1.131</v>
      </c>
      <c r="GR61" s="4">
        <v>1.2110000000000001</v>
      </c>
      <c r="GS61" s="4">
        <v>7.5609999999999999</v>
      </c>
      <c r="GT61" s="4">
        <v>-0.33900000000000002</v>
      </c>
      <c r="GU61" s="4">
        <v>9.0340000000000007</v>
      </c>
      <c r="GV61" s="4">
        <v>3.1880000000000002</v>
      </c>
      <c r="GW61" s="4">
        <v>5.58</v>
      </c>
      <c r="GX61" s="4">
        <v>0.40400000000000003</v>
      </c>
      <c r="GY61" s="4">
        <v>3.4470000000000001</v>
      </c>
      <c r="GZ61" s="4">
        <v>8.5609999999999999</v>
      </c>
      <c r="HA61" s="4">
        <v>7.3810000000000002</v>
      </c>
      <c r="HB61" s="4">
        <v>6.7</v>
      </c>
      <c r="HC61" s="4">
        <v>7.99</v>
      </c>
      <c r="HD61" s="4">
        <v>3.3839999999999999</v>
      </c>
      <c r="HE61" s="4">
        <v>6.8259999999999996</v>
      </c>
      <c r="HF61" s="4">
        <v>2.9630000000000001</v>
      </c>
      <c r="HG61" s="4">
        <v>8.8710000000000004</v>
      </c>
      <c r="HH61" s="4">
        <v>6.3090000000000002</v>
      </c>
      <c r="HI61" s="4">
        <v>7.2039999999999997</v>
      </c>
      <c r="HJ61" s="4">
        <v>7.7709999999999999</v>
      </c>
      <c r="HK61" s="4">
        <v>10.117000000000001</v>
      </c>
      <c r="HL61" s="4">
        <v>9.6170000000000009</v>
      </c>
      <c r="HM61" s="4">
        <v>8.3130000000000006</v>
      </c>
      <c r="HN61" s="4">
        <v>3.5640000000000001</v>
      </c>
      <c r="HO61" s="4">
        <v>6.3920000000000003</v>
      </c>
      <c r="HP61" s="4">
        <v>8.0749999999999993</v>
      </c>
      <c r="HQ61" s="4">
        <v>9.8759999999999994</v>
      </c>
      <c r="HR61" s="4">
        <v>7.3040000000000003</v>
      </c>
      <c r="HS61" s="4">
        <v>6.476</v>
      </c>
      <c r="HT61" s="4">
        <v>6.4260000000000002</v>
      </c>
      <c r="HU61" s="4">
        <v>8.1289999999999996</v>
      </c>
      <c r="HV61" s="4">
        <v>7.7309999999999999</v>
      </c>
      <c r="HW61" s="4">
        <v>2.8940000000000001</v>
      </c>
      <c r="HX61" s="4">
        <v>8.3420000000000005</v>
      </c>
      <c r="HY61" s="4">
        <v>8.4459999999999997</v>
      </c>
      <c r="HZ61" s="4">
        <v>8.9410000000000007</v>
      </c>
      <c r="IA61" s="4">
        <v>1.546</v>
      </c>
      <c r="IB61" s="4">
        <v>9.8140000000000001</v>
      </c>
      <c r="IC61" s="4">
        <v>10.41</v>
      </c>
      <c r="ID61" s="4">
        <v>9.0719999999999992</v>
      </c>
      <c r="IE61" s="4">
        <v>8.4969999999999999</v>
      </c>
      <c r="IF61" s="4">
        <v>8.2260000000000009</v>
      </c>
      <c r="IG61" s="4">
        <v>6.57</v>
      </c>
      <c r="IH61" s="4">
        <v>2.5369999999999999</v>
      </c>
      <c r="II61" s="4">
        <v>2.1589999999999998</v>
      </c>
      <c r="IJ61" s="4">
        <v>7.7210000000000001</v>
      </c>
      <c r="IK61" s="4">
        <v>8.9339999999999993</v>
      </c>
      <c r="IL61" s="4">
        <v>3.246</v>
      </c>
      <c r="IM61" s="4">
        <v>8.4749999999999996</v>
      </c>
      <c r="IN61" s="4">
        <v>4.9379999999999997</v>
      </c>
      <c r="IO61" s="4">
        <v>6.1849999999999996</v>
      </c>
      <c r="IP61" s="4">
        <v>6.9089999999999998</v>
      </c>
      <c r="IQ61" s="4">
        <v>9.9649999999999999</v>
      </c>
      <c r="IR61" s="4">
        <v>10.177</v>
      </c>
      <c r="IS61" s="4">
        <v>3.4790000000000001</v>
      </c>
      <c r="IT61" s="4">
        <v>7.6280000000000001</v>
      </c>
      <c r="IU61" s="4">
        <v>3.597</v>
      </c>
      <c r="IV61" s="4">
        <v>8.218</v>
      </c>
      <c r="IW61" s="4">
        <v>2.2000000000000002</v>
      </c>
      <c r="IX61" s="4">
        <v>8.6219999999999999</v>
      </c>
      <c r="IY61" s="4">
        <v>6.7690000000000001</v>
      </c>
      <c r="IZ61" s="4">
        <v>8.3659999999999997</v>
      </c>
      <c r="JA61" s="4">
        <v>7.944</v>
      </c>
      <c r="JB61" s="4">
        <v>6.98</v>
      </c>
      <c r="JC61" s="4">
        <v>4.274</v>
      </c>
      <c r="JD61" s="4">
        <v>7.8070000000000004</v>
      </c>
      <c r="JE61" s="4">
        <v>9.8879999999999999</v>
      </c>
      <c r="JF61" s="4">
        <v>9.5830000000000002</v>
      </c>
      <c r="JG61" s="4">
        <v>8.1750000000000007</v>
      </c>
      <c r="JH61" s="4">
        <v>8.3149999999999995</v>
      </c>
      <c r="JI61" s="4">
        <v>5.6059999999999999</v>
      </c>
      <c r="JJ61" s="4">
        <v>7.99</v>
      </c>
      <c r="JK61" s="4">
        <v>7.4580000000000002</v>
      </c>
      <c r="JL61" s="4">
        <v>10.613</v>
      </c>
      <c r="JM61" s="4">
        <v>8.3350000000000009</v>
      </c>
      <c r="JN61" s="4">
        <v>7.399</v>
      </c>
      <c r="JO61" s="4">
        <v>7.8010000000000002</v>
      </c>
      <c r="JP61" s="4">
        <v>8.8710000000000004</v>
      </c>
      <c r="JQ61" s="4">
        <v>8.36</v>
      </c>
      <c r="JR61" s="4">
        <v>7.4740000000000002</v>
      </c>
      <c r="JS61" s="4">
        <v>3.7440000000000002</v>
      </c>
      <c r="JT61" s="4">
        <v>8.1080000000000005</v>
      </c>
      <c r="JU61" s="4">
        <v>8.07</v>
      </c>
      <c r="JV61" s="4">
        <v>7.3949999999999996</v>
      </c>
      <c r="JW61" s="4">
        <v>8.8219999999999992</v>
      </c>
      <c r="JX61" s="4">
        <v>7.2560000000000002</v>
      </c>
      <c r="JY61" s="4">
        <v>7.8579999999999997</v>
      </c>
      <c r="JZ61" s="4">
        <v>7.5519999999999996</v>
      </c>
      <c r="KA61" s="4">
        <v>8.4760000000000009</v>
      </c>
      <c r="KB61" s="4">
        <v>3.1850000000000001</v>
      </c>
      <c r="KC61" s="4">
        <v>5.2640000000000002</v>
      </c>
      <c r="KD61" s="4">
        <v>8.3450000000000006</v>
      </c>
      <c r="KE61" s="4">
        <v>10.14</v>
      </c>
      <c r="KF61" s="4">
        <v>8.0109999999999992</v>
      </c>
      <c r="KG61" s="4">
        <v>7.923</v>
      </c>
      <c r="KH61" s="4">
        <v>7.718</v>
      </c>
      <c r="KI61" s="4">
        <v>7.5049999999999999</v>
      </c>
      <c r="KJ61" s="4">
        <v>8.3179999999999996</v>
      </c>
      <c r="KK61" s="4">
        <v>7.8570000000000002</v>
      </c>
      <c r="KL61" s="4">
        <v>7.5720000000000001</v>
      </c>
      <c r="KM61" s="4">
        <v>2.1760000000000002</v>
      </c>
      <c r="KN61" s="4">
        <v>7.5410000000000004</v>
      </c>
      <c r="KO61" s="4">
        <v>2.5339999999999998</v>
      </c>
      <c r="KP61" s="4">
        <v>7.68</v>
      </c>
      <c r="KQ61" s="4">
        <v>9.032</v>
      </c>
      <c r="KR61" s="4">
        <v>7.5970000000000004</v>
      </c>
      <c r="KS61" s="4">
        <v>10.164999999999999</v>
      </c>
    </row>
    <row r="62" spans="1:305" x14ac:dyDescent="0.25">
      <c r="A62" s="4">
        <v>2018</v>
      </c>
      <c r="B62" s="4">
        <v>11</v>
      </c>
      <c r="C62" s="4">
        <v>9.7000000000000003E-2</v>
      </c>
      <c r="D62" s="4">
        <v>4.306</v>
      </c>
      <c r="E62" s="4">
        <v>4.6669999999999998</v>
      </c>
      <c r="F62" s="4">
        <v>4.0839999999999996</v>
      </c>
      <c r="G62" s="4">
        <v>3.972</v>
      </c>
      <c r="H62" s="4">
        <v>0.184</v>
      </c>
      <c r="I62" s="4">
        <v>3.8490000000000002</v>
      </c>
      <c r="J62" s="4">
        <v>-2.3820000000000001</v>
      </c>
      <c r="K62" s="4">
        <v>3.8029999999999999</v>
      </c>
      <c r="L62" s="4">
        <v>5.1159999999999997</v>
      </c>
      <c r="M62" s="4">
        <v>-0.84299999999999997</v>
      </c>
      <c r="N62" s="4">
        <v>3.3330000000000002</v>
      </c>
      <c r="O62" s="4">
        <v>-0.32200000000000001</v>
      </c>
      <c r="P62" s="4">
        <v>2.891</v>
      </c>
      <c r="Q62" s="4">
        <v>-2.1680000000000001</v>
      </c>
      <c r="R62" s="4">
        <v>-1.9950000000000001</v>
      </c>
      <c r="S62" s="4">
        <v>2.7749999999999999</v>
      </c>
      <c r="T62" s="4">
        <v>3.2570000000000001</v>
      </c>
      <c r="U62" s="4">
        <v>3.2770000000000001</v>
      </c>
      <c r="V62" s="4">
        <v>3.4049999999999998</v>
      </c>
      <c r="W62" s="4">
        <v>2.3809999999999998</v>
      </c>
      <c r="X62" s="4">
        <v>5.157</v>
      </c>
      <c r="Y62" s="4">
        <v>3.2730000000000001</v>
      </c>
      <c r="Z62" s="4">
        <v>-0.58199999999999996</v>
      </c>
      <c r="AA62" s="4">
        <v>5.0620000000000003</v>
      </c>
      <c r="AB62" s="4">
        <v>-1.9259999999999999</v>
      </c>
      <c r="AC62" s="4">
        <v>3.8410000000000002</v>
      </c>
      <c r="AD62" s="4">
        <v>1.4710000000000001</v>
      </c>
      <c r="AE62" s="4">
        <v>3.4849999999999999</v>
      </c>
      <c r="AF62" s="4">
        <v>5.3730000000000002</v>
      </c>
      <c r="AG62" s="4">
        <v>1.9870000000000001</v>
      </c>
      <c r="AH62" s="4">
        <v>3.887</v>
      </c>
      <c r="AI62" s="4">
        <v>-0.72699999999999998</v>
      </c>
      <c r="AJ62" s="4">
        <v>4.601</v>
      </c>
      <c r="AK62" s="4">
        <v>5.1890000000000001</v>
      </c>
      <c r="AL62" s="4">
        <v>5.6870000000000003</v>
      </c>
      <c r="AM62" s="4">
        <v>2.1240000000000001</v>
      </c>
      <c r="AN62" s="4">
        <v>4.2930000000000001</v>
      </c>
      <c r="AO62" s="4">
        <v>2.5859999999999999</v>
      </c>
      <c r="AP62" s="4">
        <v>1.423</v>
      </c>
      <c r="AQ62" s="4">
        <v>-2.3450000000000002</v>
      </c>
      <c r="AR62" s="4">
        <v>0.98599999999999999</v>
      </c>
      <c r="AS62" s="4">
        <v>3.37</v>
      </c>
      <c r="AT62" s="4">
        <v>3.069</v>
      </c>
      <c r="AU62" s="4">
        <v>3.7109999999999999</v>
      </c>
      <c r="AV62" s="4">
        <v>3.218</v>
      </c>
      <c r="AW62" s="4">
        <v>3.42</v>
      </c>
      <c r="AX62" s="4">
        <v>5.085</v>
      </c>
      <c r="AY62" s="4">
        <v>3.706</v>
      </c>
      <c r="AZ62" s="4">
        <v>2.3660000000000001</v>
      </c>
      <c r="BA62" s="4">
        <v>5.4349999999999996</v>
      </c>
      <c r="BB62" s="4">
        <v>3.2210000000000001</v>
      </c>
      <c r="BC62" s="4">
        <v>6.859</v>
      </c>
      <c r="BD62" s="4">
        <v>2.1890000000000001</v>
      </c>
      <c r="BE62" s="4">
        <v>3.8039999999999998</v>
      </c>
      <c r="BF62" s="4">
        <v>2.2650000000000001</v>
      </c>
      <c r="BG62" s="4">
        <v>2.9009999999999998</v>
      </c>
      <c r="BH62" s="4">
        <v>3.1930000000000001</v>
      </c>
      <c r="BI62" s="4">
        <v>3.3370000000000002</v>
      </c>
      <c r="BJ62" s="4">
        <v>-0.68400000000000005</v>
      </c>
      <c r="BK62" s="4">
        <v>2.92</v>
      </c>
      <c r="BL62" s="4">
        <v>-1.6819999999999999</v>
      </c>
      <c r="BM62" s="4">
        <v>-2.6480000000000001</v>
      </c>
      <c r="BN62" s="4">
        <v>1.4930000000000001</v>
      </c>
      <c r="BO62" s="4">
        <v>-3.165</v>
      </c>
      <c r="BP62" s="4">
        <v>3.1</v>
      </c>
      <c r="BQ62" s="4">
        <v>3.5680000000000001</v>
      </c>
      <c r="BR62" s="4">
        <v>3.431</v>
      </c>
      <c r="BS62" s="4">
        <v>5.1710000000000003</v>
      </c>
      <c r="BT62" s="4">
        <v>3.7469999999999999</v>
      </c>
      <c r="BU62" s="4">
        <v>4.0549999999999997</v>
      </c>
      <c r="BV62" s="4">
        <v>3.8260000000000001</v>
      </c>
      <c r="BW62" s="4">
        <v>1.7150000000000001</v>
      </c>
      <c r="BX62" s="4">
        <v>2.0819999999999999</v>
      </c>
      <c r="BY62" s="4">
        <v>3.0790000000000002</v>
      </c>
      <c r="BZ62" s="4">
        <v>2.806</v>
      </c>
      <c r="CA62" s="4">
        <v>5.3289999999999997</v>
      </c>
      <c r="CB62" s="4">
        <v>4.2510000000000003</v>
      </c>
      <c r="CC62" s="4">
        <v>-1.2350000000000001</v>
      </c>
      <c r="CD62" s="4">
        <v>3.9180000000000001</v>
      </c>
      <c r="CE62" s="4">
        <v>0.80800000000000005</v>
      </c>
      <c r="CF62" s="4">
        <v>1.778</v>
      </c>
      <c r="CG62" s="4">
        <v>4.577</v>
      </c>
      <c r="CH62" s="4">
        <v>4.2750000000000004</v>
      </c>
      <c r="CI62" s="4">
        <v>2.1760000000000002</v>
      </c>
      <c r="CJ62" s="4">
        <v>-1.526</v>
      </c>
      <c r="CK62" s="4">
        <v>5.4059999999999997</v>
      </c>
      <c r="CL62" s="4">
        <v>-1.1619999999999999</v>
      </c>
      <c r="CM62" s="4">
        <v>5.0609999999999999</v>
      </c>
      <c r="CN62" s="4">
        <v>3.4780000000000002</v>
      </c>
      <c r="CO62" s="4">
        <v>4.3090000000000002</v>
      </c>
      <c r="CP62" s="4">
        <v>2.2559999999999998</v>
      </c>
      <c r="CQ62" s="4">
        <v>5.7080000000000002</v>
      </c>
      <c r="CR62" s="4">
        <v>3.8479999999999999</v>
      </c>
      <c r="CS62" s="4">
        <v>4.7069999999999999</v>
      </c>
      <c r="CT62" s="4">
        <v>4.7619999999999996</v>
      </c>
      <c r="CU62" s="4">
        <v>3.5230000000000001</v>
      </c>
      <c r="CV62" s="4">
        <v>4.0119999999999996</v>
      </c>
      <c r="CW62" s="4">
        <v>2.173</v>
      </c>
      <c r="CX62" s="4">
        <v>3.4430000000000001</v>
      </c>
      <c r="CY62" s="4">
        <v>3.9710000000000001</v>
      </c>
      <c r="CZ62" s="4">
        <v>4.38</v>
      </c>
      <c r="DA62" s="4">
        <v>-3.391</v>
      </c>
      <c r="DB62" s="4">
        <v>3.7069999999999999</v>
      </c>
      <c r="DC62" s="4">
        <v>-2.1890000000000001</v>
      </c>
      <c r="DD62" s="4">
        <v>-0.34799999999999998</v>
      </c>
      <c r="DE62" s="4">
        <v>5.0880000000000001</v>
      </c>
      <c r="DF62" s="4">
        <v>-1.81</v>
      </c>
      <c r="DG62" s="4">
        <v>4.43</v>
      </c>
      <c r="DH62" s="4">
        <v>4.851</v>
      </c>
      <c r="DI62" s="4">
        <v>2.4249999999999998</v>
      </c>
      <c r="DJ62" s="4">
        <v>5.2930000000000001</v>
      </c>
      <c r="DK62" s="4">
        <v>3.7679999999999998</v>
      </c>
      <c r="DL62" s="4">
        <v>3.3359999999999999</v>
      </c>
      <c r="DM62" s="4">
        <v>5.3730000000000002</v>
      </c>
      <c r="DN62" s="4">
        <v>2.9119999999999999</v>
      </c>
      <c r="DO62" s="4">
        <v>4.1070000000000002</v>
      </c>
      <c r="DP62" s="4">
        <v>-1.4279999999999999</v>
      </c>
      <c r="DQ62" s="4">
        <v>3.2370000000000001</v>
      </c>
      <c r="DR62" s="4">
        <v>4.8029999999999999</v>
      </c>
      <c r="DS62" s="4">
        <v>3.4670000000000001</v>
      </c>
      <c r="DT62" s="4">
        <v>3.01</v>
      </c>
      <c r="DU62" s="4">
        <v>1.853</v>
      </c>
      <c r="DV62" s="4">
        <v>4.7E-2</v>
      </c>
      <c r="DW62" s="4">
        <v>4.9880000000000004</v>
      </c>
      <c r="DX62" s="4">
        <v>3.282</v>
      </c>
      <c r="DY62" s="4">
        <v>3.08</v>
      </c>
      <c r="DZ62" s="4">
        <v>4.8780000000000001</v>
      </c>
      <c r="EA62" s="4">
        <v>5.1150000000000002</v>
      </c>
      <c r="EB62" s="4">
        <v>3.3559999999999999</v>
      </c>
      <c r="EC62" s="4">
        <v>-2.3849999999999998</v>
      </c>
      <c r="ED62" s="4">
        <v>4.9909999999999997</v>
      </c>
      <c r="EE62" s="4">
        <v>5.6920000000000002</v>
      </c>
      <c r="EF62" s="4">
        <v>3.0379999999999998</v>
      </c>
      <c r="EG62" s="4">
        <v>2.8759999999999999</v>
      </c>
      <c r="EH62" s="4">
        <v>1.661</v>
      </c>
      <c r="EI62" s="4">
        <v>4.2990000000000004</v>
      </c>
      <c r="EJ62" s="4">
        <v>3.653</v>
      </c>
      <c r="EK62" s="4">
        <v>4.2670000000000003</v>
      </c>
      <c r="EL62" s="4">
        <v>4.1849999999999996</v>
      </c>
      <c r="EM62" s="4">
        <v>4.1520000000000001</v>
      </c>
      <c r="EN62" s="4">
        <v>2.3250000000000002</v>
      </c>
      <c r="EO62" s="4">
        <v>3.75</v>
      </c>
      <c r="EP62" s="4">
        <v>3.992</v>
      </c>
      <c r="EQ62" s="4">
        <v>0.79300000000000004</v>
      </c>
      <c r="ER62" s="4">
        <v>5.6909999999999998</v>
      </c>
      <c r="ES62" s="4">
        <v>2.0750000000000002</v>
      </c>
      <c r="ET62" s="4">
        <v>6.3E-2</v>
      </c>
      <c r="EU62" s="4">
        <v>5.3860000000000001</v>
      </c>
      <c r="EV62" s="4">
        <v>-2.5129999999999999</v>
      </c>
      <c r="EW62" s="4">
        <v>5.2770000000000001</v>
      </c>
      <c r="EX62" s="4">
        <v>-2.1230000000000002</v>
      </c>
      <c r="EY62" s="4">
        <v>3.39</v>
      </c>
      <c r="EZ62" s="4">
        <v>5.8460000000000001</v>
      </c>
      <c r="FA62" s="4">
        <v>0.502</v>
      </c>
      <c r="FB62" s="4">
        <v>4.0999999999999996</v>
      </c>
      <c r="FC62" s="4">
        <v>4.2649999999999997</v>
      </c>
      <c r="FD62" s="4">
        <v>3.2770000000000001</v>
      </c>
      <c r="FE62" s="4">
        <v>4.4269999999999996</v>
      </c>
      <c r="FF62" s="4">
        <v>3.63</v>
      </c>
      <c r="FG62" s="4">
        <v>4.859</v>
      </c>
      <c r="FH62" s="4">
        <v>4.7530000000000001</v>
      </c>
      <c r="FI62" s="4">
        <v>1.615</v>
      </c>
      <c r="FJ62" s="4">
        <v>5.2329999999999997</v>
      </c>
      <c r="FK62" s="4">
        <v>3.79</v>
      </c>
      <c r="FL62" s="4">
        <v>4.2889999999999997</v>
      </c>
      <c r="FM62" s="4">
        <v>2.266</v>
      </c>
      <c r="FN62" s="4">
        <v>4.2670000000000003</v>
      </c>
      <c r="FO62" s="4">
        <v>2.9249999999999998</v>
      </c>
      <c r="FP62" s="4">
        <v>2.3570000000000002</v>
      </c>
      <c r="FQ62" s="4">
        <v>1.9930000000000001</v>
      </c>
      <c r="FR62" s="4">
        <v>1.7010000000000001</v>
      </c>
      <c r="FS62" s="4">
        <v>0.94099999999999995</v>
      </c>
      <c r="FT62" s="4">
        <v>3.6920000000000002</v>
      </c>
      <c r="FU62" s="4">
        <v>3.6360000000000001</v>
      </c>
      <c r="FV62" s="4">
        <v>-1.895</v>
      </c>
      <c r="FW62" s="4">
        <v>3.9990000000000001</v>
      </c>
      <c r="FX62" s="4">
        <v>3.7320000000000002</v>
      </c>
      <c r="FY62" s="4">
        <v>3.5630000000000002</v>
      </c>
      <c r="FZ62" s="4">
        <v>4.4009999999999998</v>
      </c>
      <c r="GA62" s="4">
        <v>2.3170000000000002</v>
      </c>
      <c r="GB62" s="4">
        <v>6.0629999999999997</v>
      </c>
      <c r="GC62" s="4">
        <v>3.96</v>
      </c>
      <c r="GD62" s="4">
        <v>4.452</v>
      </c>
      <c r="GE62" s="4">
        <v>2.9990000000000001</v>
      </c>
      <c r="GF62" s="4">
        <v>4.468</v>
      </c>
      <c r="GG62" s="4">
        <v>0.70699999999999996</v>
      </c>
      <c r="GH62" s="4">
        <v>1.26</v>
      </c>
      <c r="GI62" s="4">
        <v>4.8550000000000004</v>
      </c>
      <c r="GJ62" s="4">
        <v>4.3070000000000004</v>
      </c>
      <c r="GK62" s="4">
        <v>4.181</v>
      </c>
      <c r="GL62" s="4">
        <v>4.1769999999999996</v>
      </c>
      <c r="GM62" s="4">
        <v>3.99</v>
      </c>
      <c r="GN62" s="4">
        <v>0.29699999999999999</v>
      </c>
      <c r="GO62" s="4">
        <v>3.4649999999999999</v>
      </c>
      <c r="GP62" s="4">
        <v>1.3819999999999999</v>
      </c>
      <c r="GQ62" s="4">
        <v>-2.0430000000000001</v>
      </c>
      <c r="GR62" s="4">
        <v>-1.2390000000000001</v>
      </c>
      <c r="GS62" s="4">
        <v>4.1070000000000002</v>
      </c>
      <c r="GT62" s="4">
        <v>-1.901</v>
      </c>
      <c r="GU62" s="4">
        <v>4.63</v>
      </c>
      <c r="GV62" s="4">
        <v>-0.253</v>
      </c>
      <c r="GW62" s="4">
        <v>1.6759999999999999</v>
      </c>
      <c r="GX62" s="4">
        <v>0.21099999999999999</v>
      </c>
      <c r="GY62" s="4">
        <v>0.68500000000000005</v>
      </c>
      <c r="GZ62" s="4">
        <v>4.9240000000000004</v>
      </c>
      <c r="HA62" s="4">
        <v>3.5630000000000002</v>
      </c>
      <c r="HB62" s="4">
        <v>2.464</v>
      </c>
      <c r="HC62" s="4">
        <v>4.0250000000000004</v>
      </c>
      <c r="HD62" s="4">
        <v>-0.373</v>
      </c>
      <c r="HE62" s="4">
        <v>2.6760000000000002</v>
      </c>
      <c r="HF62" s="4">
        <v>-1.5660000000000001</v>
      </c>
      <c r="HG62" s="4">
        <v>4.51</v>
      </c>
      <c r="HH62" s="4">
        <v>2.0419999999999998</v>
      </c>
      <c r="HI62" s="4">
        <v>3.262</v>
      </c>
      <c r="HJ62" s="4">
        <v>3.7320000000000002</v>
      </c>
      <c r="HK62" s="4">
        <v>6.1630000000000003</v>
      </c>
      <c r="HL62" s="4">
        <v>4.976</v>
      </c>
      <c r="HM62" s="4">
        <v>3.6040000000000001</v>
      </c>
      <c r="HN62" s="4">
        <v>0.107</v>
      </c>
      <c r="HO62" s="4">
        <v>2.3279999999999998</v>
      </c>
      <c r="HP62" s="4">
        <v>3.1890000000000001</v>
      </c>
      <c r="HQ62" s="4">
        <v>5.5410000000000004</v>
      </c>
      <c r="HR62" s="4">
        <v>3.4369999999999998</v>
      </c>
      <c r="HS62" s="4">
        <v>2.2000000000000002</v>
      </c>
      <c r="HT62" s="4">
        <v>2.8130000000000002</v>
      </c>
      <c r="HU62" s="4">
        <v>3.6989999999999998</v>
      </c>
      <c r="HV62" s="4">
        <v>3.8029999999999999</v>
      </c>
      <c r="HW62" s="4">
        <v>-1.9350000000000001</v>
      </c>
      <c r="HX62" s="4">
        <v>4.2590000000000003</v>
      </c>
      <c r="HY62" s="4">
        <v>4.3869999999999996</v>
      </c>
      <c r="HZ62" s="4">
        <v>5.359</v>
      </c>
      <c r="IA62" s="4">
        <v>-2.8260000000000001</v>
      </c>
      <c r="IB62" s="4">
        <v>5.649</v>
      </c>
      <c r="IC62" s="4">
        <v>5.399</v>
      </c>
      <c r="ID62" s="4">
        <v>4.7290000000000001</v>
      </c>
      <c r="IE62" s="4">
        <v>4.4169999999999998</v>
      </c>
      <c r="IF62" s="4">
        <v>4.266</v>
      </c>
      <c r="IG62" s="4">
        <v>2.488</v>
      </c>
      <c r="IH62" s="4">
        <v>-0.24099999999999999</v>
      </c>
      <c r="II62" s="4">
        <v>-2.0219999999999998</v>
      </c>
      <c r="IJ62" s="4">
        <v>3.3439999999999999</v>
      </c>
      <c r="IK62" s="4">
        <v>4.7969999999999997</v>
      </c>
      <c r="IL62" s="4">
        <v>-1.2390000000000001</v>
      </c>
      <c r="IM62" s="4">
        <v>4.3929999999999998</v>
      </c>
      <c r="IN62" s="4">
        <v>1.3</v>
      </c>
      <c r="IO62" s="4">
        <v>2.52</v>
      </c>
      <c r="IP62" s="4">
        <v>2.593</v>
      </c>
      <c r="IQ62" s="4">
        <v>5.0529999999999999</v>
      </c>
      <c r="IR62" s="4">
        <v>5.4429999999999996</v>
      </c>
      <c r="IS62" s="4">
        <v>-0.997</v>
      </c>
      <c r="IT62" s="4">
        <v>3.4689999999999999</v>
      </c>
      <c r="IU62" s="4">
        <v>-0.70799999999999996</v>
      </c>
      <c r="IV62" s="4">
        <v>4.1740000000000004</v>
      </c>
      <c r="IW62" s="4">
        <v>-1.349</v>
      </c>
      <c r="IX62" s="4">
        <v>4.4329999999999998</v>
      </c>
      <c r="IY62" s="4">
        <v>2.5419999999999998</v>
      </c>
      <c r="IZ62" s="4">
        <v>3.5720000000000001</v>
      </c>
      <c r="JA62" s="4">
        <v>3.302</v>
      </c>
      <c r="JB62" s="4">
        <v>2.871</v>
      </c>
      <c r="JC62" s="4">
        <v>0.51100000000000001</v>
      </c>
      <c r="JD62" s="4">
        <v>3.9260000000000002</v>
      </c>
      <c r="JE62" s="4">
        <v>5.6749999999999998</v>
      </c>
      <c r="JF62" s="4">
        <v>5.1449999999999996</v>
      </c>
      <c r="JG62" s="4">
        <v>3.649</v>
      </c>
      <c r="JH62" s="4">
        <v>4.641</v>
      </c>
      <c r="JI62" s="4">
        <v>1.9239999999999999</v>
      </c>
      <c r="JJ62" s="4">
        <v>3.3010000000000002</v>
      </c>
      <c r="JK62" s="4">
        <v>3.3780000000000001</v>
      </c>
      <c r="JL62" s="4">
        <v>6.3250000000000002</v>
      </c>
      <c r="JM62" s="4">
        <v>4.0449999999999999</v>
      </c>
      <c r="JN62" s="4">
        <v>3.9129999999999998</v>
      </c>
      <c r="JO62" s="4">
        <v>4.149</v>
      </c>
      <c r="JP62" s="4">
        <v>4.5599999999999996</v>
      </c>
      <c r="JQ62" s="4">
        <v>4.2670000000000003</v>
      </c>
      <c r="JR62" s="4">
        <v>3.1840000000000002</v>
      </c>
      <c r="JS62" s="4">
        <v>0.83899999999999997</v>
      </c>
      <c r="JT62" s="4">
        <v>4.0670000000000002</v>
      </c>
      <c r="JU62" s="4">
        <v>4.0129999999999999</v>
      </c>
      <c r="JV62" s="4">
        <v>3.31</v>
      </c>
      <c r="JW62" s="4">
        <v>4.1950000000000003</v>
      </c>
      <c r="JX62" s="4">
        <v>3.464</v>
      </c>
      <c r="JY62" s="4">
        <v>3.8039999999999998</v>
      </c>
      <c r="JZ62" s="4">
        <v>3.55</v>
      </c>
      <c r="KA62" s="4">
        <v>4.2</v>
      </c>
      <c r="KB62" s="4">
        <v>-0.11</v>
      </c>
      <c r="KC62" s="4">
        <v>0.95299999999999996</v>
      </c>
      <c r="KD62" s="4">
        <v>3.7909999999999999</v>
      </c>
      <c r="KE62" s="4">
        <v>5.5019999999999998</v>
      </c>
      <c r="KF62" s="4">
        <v>3.5760000000000001</v>
      </c>
      <c r="KG62" s="4">
        <v>4.2249999999999996</v>
      </c>
      <c r="KH62" s="4">
        <v>3.7850000000000001</v>
      </c>
      <c r="KI62" s="4">
        <v>3.2</v>
      </c>
      <c r="KJ62" s="4">
        <v>4.5220000000000002</v>
      </c>
      <c r="KK62" s="4">
        <v>3.843</v>
      </c>
      <c r="KL62" s="4">
        <v>3.282</v>
      </c>
      <c r="KM62" s="4">
        <v>-2.8090000000000002</v>
      </c>
      <c r="KN62" s="4">
        <v>3.42</v>
      </c>
      <c r="KO62" s="4">
        <v>-1.423</v>
      </c>
      <c r="KP62" s="4">
        <v>3.3279999999999998</v>
      </c>
      <c r="KQ62" s="4">
        <v>5.2640000000000002</v>
      </c>
      <c r="KR62" s="4">
        <v>3.1320000000000001</v>
      </c>
      <c r="KS62" s="4">
        <v>6.0750000000000002</v>
      </c>
    </row>
    <row r="63" spans="1:305" x14ac:dyDescent="0.25">
      <c r="A63" s="4">
        <v>2018</v>
      </c>
      <c r="B63" s="4">
        <v>12</v>
      </c>
      <c r="C63" s="4">
        <v>-5.1440000000000001</v>
      </c>
      <c r="D63" s="4">
        <v>0.56100000000000005</v>
      </c>
      <c r="E63" s="4">
        <v>2.0019999999999998</v>
      </c>
      <c r="F63" s="4">
        <v>1.4039999999999999</v>
      </c>
      <c r="G63" s="4">
        <v>1.7669999999999999</v>
      </c>
      <c r="H63" s="4">
        <v>-5.9909999999999997</v>
      </c>
      <c r="I63" s="4">
        <v>1.413</v>
      </c>
      <c r="J63" s="4">
        <v>-8.6389999999999993</v>
      </c>
      <c r="K63" s="4">
        <v>0.29399999999999998</v>
      </c>
      <c r="L63" s="4">
        <v>3.3730000000000002</v>
      </c>
      <c r="M63" s="4">
        <v>-6.1589999999999998</v>
      </c>
      <c r="N63" s="4">
        <v>-0.27700000000000002</v>
      </c>
      <c r="O63" s="4">
        <v>-4.46</v>
      </c>
      <c r="P63" s="4">
        <v>-1.448</v>
      </c>
      <c r="Q63" s="4">
        <v>-8.5779999999999994</v>
      </c>
      <c r="R63" s="4">
        <v>-7.4260000000000002</v>
      </c>
      <c r="S63" s="4">
        <v>-2.109</v>
      </c>
      <c r="T63" s="4">
        <v>0.55200000000000005</v>
      </c>
      <c r="U63" s="4">
        <v>-3.3000000000000002E-2</v>
      </c>
      <c r="V63" s="4">
        <v>0.54300000000000004</v>
      </c>
      <c r="W63" s="4">
        <v>-1.663</v>
      </c>
      <c r="X63" s="4">
        <v>3.2280000000000002</v>
      </c>
      <c r="Y63" s="4">
        <v>-0.33300000000000002</v>
      </c>
      <c r="Z63" s="4">
        <v>-5.2060000000000004</v>
      </c>
      <c r="AA63" s="4">
        <v>3.4180000000000001</v>
      </c>
      <c r="AB63" s="4">
        <v>-9.6259999999999994</v>
      </c>
      <c r="AC63" s="4">
        <v>1.2490000000000001</v>
      </c>
      <c r="AD63" s="4">
        <v>-3.9209999999999998</v>
      </c>
      <c r="AE63" s="4">
        <v>0.75600000000000001</v>
      </c>
      <c r="AF63" s="4">
        <v>2.4729999999999999</v>
      </c>
      <c r="AG63" s="4">
        <v>-2.7269999999999999</v>
      </c>
      <c r="AH63" s="4">
        <v>0.17199999999999999</v>
      </c>
      <c r="AI63" s="4">
        <v>-5.9989999999999997</v>
      </c>
      <c r="AJ63" s="4">
        <v>2.4929999999999999</v>
      </c>
      <c r="AK63" s="4">
        <v>3.1120000000000001</v>
      </c>
      <c r="AL63" s="4">
        <v>3.9750000000000001</v>
      </c>
      <c r="AM63" s="4">
        <v>-3.46</v>
      </c>
      <c r="AN63" s="4">
        <v>0.64900000000000002</v>
      </c>
      <c r="AO63" s="4">
        <v>-1.069</v>
      </c>
      <c r="AP63" s="4">
        <v>-3.7909999999999999</v>
      </c>
      <c r="AQ63" s="4">
        <v>-6.9089999999999998</v>
      </c>
      <c r="AR63" s="4">
        <v>-5.0810000000000004</v>
      </c>
      <c r="AS63" s="4">
        <v>-0.124</v>
      </c>
      <c r="AT63" s="4">
        <v>0.17499999999999999</v>
      </c>
      <c r="AU63" s="4">
        <v>1.3080000000000001</v>
      </c>
      <c r="AV63" s="4">
        <v>-0.36699999999999999</v>
      </c>
      <c r="AW63" s="4">
        <v>-0.14399999999999999</v>
      </c>
      <c r="AX63" s="4">
        <v>3.4129999999999998</v>
      </c>
      <c r="AY63" s="4">
        <v>0.997</v>
      </c>
      <c r="AZ63" s="4">
        <v>-1.782</v>
      </c>
      <c r="BA63" s="4">
        <v>3.121</v>
      </c>
      <c r="BB63" s="4">
        <v>0.48299999999999998</v>
      </c>
      <c r="BC63" s="4">
        <v>4.6980000000000004</v>
      </c>
      <c r="BD63" s="4">
        <v>-2.758</v>
      </c>
      <c r="BE63" s="4">
        <v>0.64500000000000002</v>
      </c>
      <c r="BF63" s="4">
        <v>-2.2280000000000002</v>
      </c>
      <c r="BG63" s="4">
        <v>-0.86</v>
      </c>
      <c r="BH63" s="4">
        <v>0.10299999999999999</v>
      </c>
      <c r="BI63" s="4">
        <v>-6.0999999999999999E-2</v>
      </c>
      <c r="BJ63" s="4">
        <v>-5.3150000000000004</v>
      </c>
      <c r="BK63" s="4">
        <v>-1.71</v>
      </c>
      <c r="BL63" s="4">
        <v>-6.4139999999999997</v>
      </c>
      <c r="BM63" s="4">
        <v>-7.2869999999999999</v>
      </c>
      <c r="BN63" s="4">
        <v>-3.4870000000000001</v>
      </c>
      <c r="BO63" s="4">
        <v>-9.2469999999999999</v>
      </c>
      <c r="BP63" s="4">
        <v>-0.90600000000000003</v>
      </c>
      <c r="BQ63" s="4">
        <v>1.109</v>
      </c>
      <c r="BR63" s="4">
        <v>-2.4E-2</v>
      </c>
      <c r="BS63" s="4">
        <v>2.653</v>
      </c>
      <c r="BT63" s="4">
        <v>0.95199999999999996</v>
      </c>
      <c r="BU63" s="4">
        <v>1.2070000000000001</v>
      </c>
      <c r="BV63" s="4">
        <v>0.16500000000000001</v>
      </c>
      <c r="BW63" s="4">
        <v>-3.6280000000000001</v>
      </c>
      <c r="BX63" s="4">
        <v>-2.2930000000000001</v>
      </c>
      <c r="BY63" s="4">
        <v>-0.16700000000000001</v>
      </c>
      <c r="BZ63" s="4">
        <v>-0.9</v>
      </c>
      <c r="CA63" s="4">
        <v>3.0750000000000002</v>
      </c>
      <c r="CB63" s="4">
        <v>2.9000000000000001E-2</v>
      </c>
      <c r="CC63" s="4">
        <v>-5.8769999999999998</v>
      </c>
      <c r="CD63" s="4">
        <v>0.28999999999999998</v>
      </c>
      <c r="CE63" s="4">
        <v>-5.87</v>
      </c>
      <c r="CF63" s="4">
        <v>-1.619</v>
      </c>
      <c r="CG63" s="4">
        <v>2.0489999999999999</v>
      </c>
      <c r="CH63" s="4">
        <v>2.56</v>
      </c>
      <c r="CI63" s="4">
        <v>-2.0369999999999999</v>
      </c>
      <c r="CJ63" s="4">
        <v>-6.1319999999999997</v>
      </c>
      <c r="CK63" s="4">
        <v>3.7109999999999999</v>
      </c>
      <c r="CL63" s="4">
        <v>-6.3479999999999999</v>
      </c>
      <c r="CM63" s="4">
        <v>2.0670000000000002</v>
      </c>
      <c r="CN63" s="4">
        <v>0.83599999999999997</v>
      </c>
      <c r="CO63" s="4">
        <v>1.5369999999999999</v>
      </c>
      <c r="CP63" s="4">
        <v>-2.242</v>
      </c>
      <c r="CQ63" s="4">
        <v>3.8140000000000001</v>
      </c>
      <c r="CR63" s="4">
        <v>1.163</v>
      </c>
      <c r="CS63" s="4">
        <v>3.0179999999999998</v>
      </c>
      <c r="CT63" s="4">
        <v>2.9489999999999998</v>
      </c>
      <c r="CU63" s="4">
        <v>0.34</v>
      </c>
      <c r="CV63" s="4">
        <v>0.30599999999999999</v>
      </c>
      <c r="CW63" s="4">
        <v>-1.8959999999999999</v>
      </c>
      <c r="CX63" s="4">
        <v>0.69099999999999995</v>
      </c>
      <c r="CY63" s="4">
        <v>1.8360000000000001</v>
      </c>
      <c r="CZ63" s="4">
        <v>0.66700000000000004</v>
      </c>
      <c r="DA63" s="4">
        <v>-10.569000000000001</v>
      </c>
      <c r="DB63" s="4">
        <v>0.88500000000000001</v>
      </c>
      <c r="DC63" s="4">
        <v>-6.6669999999999998</v>
      </c>
      <c r="DD63" s="4">
        <v>-7.5960000000000001</v>
      </c>
      <c r="DE63" s="4">
        <v>2.2160000000000002</v>
      </c>
      <c r="DF63" s="4">
        <v>-10.382</v>
      </c>
      <c r="DG63" s="4">
        <v>1.335</v>
      </c>
      <c r="DH63" s="4">
        <v>2.7130000000000001</v>
      </c>
      <c r="DI63" s="4">
        <v>-1.357</v>
      </c>
      <c r="DJ63" s="4">
        <v>2.7509999999999999</v>
      </c>
      <c r="DK63" s="4">
        <v>-0.626</v>
      </c>
      <c r="DL63" s="4">
        <v>5.8000000000000003E-2</v>
      </c>
      <c r="DM63" s="4">
        <v>3.7280000000000002</v>
      </c>
      <c r="DN63" s="4">
        <v>-1.6779999999999999</v>
      </c>
      <c r="DO63" s="4">
        <v>1.56</v>
      </c>
      <c r="DP63" s="4">
        <v>-8.8970000000000002</v>
      </c>
      <c r="DQ63" s="4">
        <v>0.435</v>
      </c>
      <c r="DR63" s="4">
        <v>3.181</v>
      </c>
      <c r="DS63" s="4">
        <v>-0.16200000000000001</v>
      </c>
      <c r="DT63" s="4">
        <v>-0.66100000000000003</v>
      </c>
      <c r="DU63" s="4">
        <v>-2.4180000000000001</v>
      </c>
      <c r="DV63" s="4">
        <v>-3.7949999999999999</v>
      </c>
      <c r="DW63" s="4">
        <v>3.2650000000000001</v>
      </c>
      <c r="DX63" s="4">
        <v>-0.73899999999999999</v>
      </c>
      <c r="DY63" s="4">
        <v>-0.185</v>
      </c>
      <c r="DZ63" s="4">
        <v>2.2269999999999999</v>
      </c>
      <c r="EA63" s="4">
        <v>2.5880000000000001</v>
      </c>
      <c r="EB63" s="4">
        <v>-0.26</v>
      </c>
      <c r="EC63" s="4">
        <v>-8.0909999999999993</v>
      </c>
      <c r="ED63" s="4">
        <v>3.0019999999999998</v>
      </c>
      <c r="EE63" s="4">
        <v>3.9550000000000001</v>
      </c>
      <c r="EF63" s="4">
        <v>-0.23300000000000001</v>
      </c>
      <c r="EG63" s="4">
        <v>-0.51900000000000002</v>
      </c>
      <c r="EH63" s="4">
        <v>-3.5590000000000002</v>
      </c>
      <c r="EI63" s="4">
        <v>1.724</v>
      </c>
      <c r="EJ63" s="4">
        <v>1.165</v>
      </c>
      <c r="EK63" s="4">
        <v>0.625</v>
      </c>
      <c r="EL63" s="4">
        <v>1.2549999999999999</v>
      </c>
      <c r="EM63" s="4">
        <v>1.4630000000000001</v>
      </c>
      <c r="EN63" s="4">
        <v>-1.583</v>
      </c>
      <c r="EO63" s="4">
        <v>0.73299999999999998</v>
      </c>
      <c r="EP63" s="4">
        <v>1.7210000000000001</v>
      </c>
      <c r="EQ63" s="4">
        <v>-5.3220000000000001</v>
      </c>
      <c r="ER63" s="4">
        <v>3.984</v>
      </c>
      <c r="ES63" s="4">
        <v>-2.2759999999999998</v>
      </c>
      <c r="ET63" s="4">
        <v>-7.0170000000000003</v>
      </c>
      <c r="EU63" s="4">
        <v>3.7160000000000002</v>
      </c>
      <c r="EV63" s="4">
        <v>-7.8</v>
      </c>
      <c r="EW63" s="4">
        <v>2.383</v>
      </c>
      <c r="EX63" s="4">
        <v>-7.7670000000000003</v>
      </c>
      <c r="EY63" s="4">
        <v>0.55700000000000005</v>
      </c>
      <c r="EZ63" s="4">
        <v>4.0629999999999997</v>
      </c>
      <c r="FA63" s="4">
        <v>-5.7039999999999997</v>
      </c>
      <c r="FB63" s="4">
        <v>1.2569999999999999</v>
      </c>
      <c r="FC63" s="4">
        <v>2.2280000000000002</v>
      </c>
      <c r="FD63" s="4">
        <v>-0.38900000000000001</v>
      </c>
      <c r="FE63" s="4">
        <v>1.2270000000000001</v>
      </c>
      <c r="FF63" s="4">
        <v>0.747</v>
      </c>
      <c r="FG63" s="4">
        <v>2.3380000000000001</v>
      </c>
      <c r="FH63" s="4">
        <v>2.0249999999999999</v>
      </c>
      <c r="FI63" s="4">
        <v>-4.5330000000000004</v>
      </c>
      <c r="FJ63" s="4">
        <v>2.4039999999999999</v>
      </c>
      <c r="FK63" s="4">
        <v>0.68200000000000005</v>
      </c>
      <c r="FL63" s="4">
        <v>1.0880000000000001</v>
      </c>
      <c r="FM63" s="4">
        <v>-2.593</v>
      </c>
      <c r="FN63" s="4">
        <v>0.6</v>
      </c>
      <c r="FO63" s="4">
        <v>8.7999999999999995E-2</v>
      </c>
      <c r="FP63" s="4">
        <v>-1.4690000000000001</v>
      </c>
      <c r="FQ63" s="4">
        <v>-2.3650000000000002</v>
      </c>
      <c r="FR63" s="4">
        <v>-2.5979999999999999</v>
      </c>
      <c r="FS63" s="4">
        <v>-2.9969999999999999</v>
      </c>
      <c r="FT63" s="4">
        <v>0.53300000000000003</v>
      </c>
      <c r="FU63" s="4">
        <v>6.3E-2</v>
      </c>
      <c r="FV63" s="4">
        <v>-7.4240000000000004</v>
      </c>
      <c r="FW63" s="4">
        <v>1.4179999999999999</v>
      </c>
      <c r="FX63" s="4">
        <v>0.47</v>
      </c>
      <c r="FY63" s="4">
        <v>1.7999999999999999E-2</v>
      </c>
      <c r="FZ63" s="4">
        <v>1.004</v>
      </c>
      <c r="GA63" s="4">
        <v>-2.1640000000000001</v>
      </c>
      <c r="GB63" s="4">
        <v>3.6579999999999999</v>
      </c>
      <c r="GC63" s="4">
        <v>1.3029999999999999</v>
      </c>
      <c r="GD63" s="4">
        <v>2.2919999999999998</v>
      </c>
      <c r="GE63" s="4">
        <v>-0.433</v>
      </c>
      <c r="GF63" s="4">
        <v>2.7109999999999999</v>
      </c>
      <c r="GG63" s="4">
        <v>-3.1259999999999999</v>
      </c>
      <c r="GH63" s="4">
        <v>-4.9569999999999999</v>
      </c>
      <c r="GI63" s="4">
        <v>1.919</v>
      </c>
      <c r="GJ63" s="4">
        <v>2.1659999999999999</v>
      </c>
      <c r="GK63" s="4">
        <v>1.4790000000000001</v>
      </c>
      <c r="GL63" s="4">
        <v>0.46600000000000003</v>
      </c>
      <c r="GM63" s="4">
        <v>0.48699999999999999</v>
      </c>
      <c r="GN63" s="4">
        <v>-4.3869999999999996</v>
      </c>
      <c r="GO63" s="4">
        <v>-0.251</v>
      </c>
      <c r="GP63" s="4">
        <v>-4.7329999999999997</v>
      </c>
      <c r="GQ63" s="4">
        <v>-9.7919999999999998</v>
      </c>
      <c r="GR63" s="4">
        <v>-8.9019999999999992</v>
      </c>
      <c r="GS63" s="4">
        <v>1.0149999999999999</v>
      </c>
      <c r="GT63" s="4">
        <v>-10.281000000000001</v>
      </c>
      <c r="GU63" s="4">
        <v>2.0649999999999999</v>
      </c>
      <c r="GV63" s="4">
        <v>-6.3410000000000002</v>
      </c>
      <c r="GW63" s="4">
        <v>-3.9870000000000001</v>
      </c>
      <c r="GX63" s="4">
        <v>-4.8529999999999998</v>
      </c>
      <c r="GY63" s="4">
        <v>-3.718</v>
      </c>
      <c r="GZ63" s="4">
        <v>2.5880000000000001</v>
      </c>
      <c r="HA63" s="4">
        <v>-0.18099999999999999</v>
      </c>
      <c r="HB63" s="4">
        <v>-1.278</v>
      </c>
      <c r="HC63" s="4">
        <v>0.30599999999999999</v>
      </c>
      <c r="HD63" s="4">
        <v>-5.8630000000000004</v>
      </c>
      <c r="HE63" s="4">
        <v>-1.5049999999999999</v>
      </c>
      <c r="HF63" s="4">
        <v>-7.4219999999999997</v>
      </c>
      <c r="HG63" s="4">
        <v>1.5629999999999999</v>
      </c>
      <c r="HH63" s="4">
        <v>-2.3370000000000002</v>
      </c>
      <c r="HI63" s="4">
        <v>0.53100000000000003</v>
      </c>
      <c r="HJ63" s="4">
        <v>9.6000000000000002E-2</v>
      </c>
      <c r="HK63" s="4">
        <v>4.2430000000000003</v>
      </c>
      <c r="HL63" s="4">
        <v>3.17</v>
      </c>
      <c r="HM63" s="4">
        <v>0.80600000000000005</v>
      </c>
      <c r="HN63" s="4">
        <v>-4.8179999999999996</v>
      </c>
      <c r="HO63" s="4">
        <v>-1.667</v>
      </c>
      <c r="HP63" s="4">
        <v>0.54</v>
      </c>
      <c r="HQ63" s="4">
        <v>3.5379999999999998</v>
      </c>
      <c r="HR63" s="4">
        <v>-0.48599999999999999</v>
      </c>
      <c r="HS63" s="4">
        <v>-2.1190000000000002</v>
      </c>
      <c r="HT63" s="4">
        <v>-1.444</v>
      </c>
      <c r="HU63" s="4">
        <v>0.66700000000000004</v>
      </c>
      <c r="HV63" s="4">
        <v>0.14299999999999999</v>
      </c>
      <c r="HW63" s="4">
        <v>-5.7270000000000003</v>
      </c>
      <c r="HX63" s="4">
        <v>0.60699999999999998</v>
      </c>
      <c r="HY63" s="4">
        <v>0.69099999999999995</v>
      </c>
      <c r="HZ63" s="4">
        <v>3.2549999999999999</v>
      </c>
      <c r="IA63" s="4">
        <v>-9.0299999999999994</v>
      </c>
      <c r="IB63" s="4">
        <v>2.84</v>
      </c>
      <c r="IC63" s="4">
        <v>3.7040000000000002</v>
      </c>
      <c r="ID63" s="4">
        <v>1.9890000000000001</v>
      </c>
      <c r="IE63" s="4">
        <v>0.69899999999999995</v>
      </c>
      <c r="IF63" s="4">
        <v>0.55700000000000005</v>
      </c>
      <c r="IG63" s="4">
        <v>-1.7729999999999999</v>
      </c>
      <c r="IH63" s="4">
        <v>-4.78</v>
      </c>
      <c r="II63" s="4">
        <v>-7.5739999999999998</v>
      </c>
      <c r="IJ63" s="4">
        <v>-0.14299999999999999</v>
      </c>
      <c r="IK63" s="4">
        <v>1.278</v>
      </c>
      <c r="IL63" s="4">
        <v>-5.8159999999999998</v>
      </c>
      <c r="IM63" s="4">
        <v>0.69099999999999995</v>
      </c>
      <c r="IN63" s="4">
        <v>-2.6</v>
      </c>
      <c r="IO63" s="4">
        <v>-2.5</v>
      </c>
      <c r="IP63" s="4">
        <v>-1.153</v>
      </c>
      <c r="IQ63" s="4">
        <v>3.4489999999999998</v>
      </c>
      <c r="IR63" s="4">
        <v>3.6360000000000001</v>
      </c>
      <c r="IS63" s="4">
        <v>-6.8280000000000003</v>
      </c>
      <c r="IT63" s="4">
        <v>1.018</v>
      </c>
      <c r="IU63" s="4">
        <v>-5.4710000000000001</v>
      </c>
      <c r="IV63" s="4">
        <v>0.56100000000000005</v>
      </c>
      <c r="IW63" s="4">
        <v>-5.7560000000000002</v>
      </c>
      <c r="IX63" s="4">
        <v>1.1080000000000001</v>
      </c>
      <c r="IY63" s="4">
        <v>-1.202</v>
      </c>
      <c r="IZ63" s="4">
        <v>0.79800000000000004</v>
      </c>
      <c r="JA63" s="4">
        <v>0.55500000000000005</v>
      </c>
      <c r="JB63" s="4">
        <v>-1.036</v>
      </c>
      <c r="JC63" s="4">
        <v>-3.1190000000000002</v>
      </c>
      <c r="JD63" s="4">
        <v>1.617</v>
      </c>
      <c r="JE63" s="4">
        <v>3.073</v>
      </c>
      <c r="JF63" s="4">
        <v>3.31</v>
      </c>
      <c r="JG63" s="4">
        <v>0.63100000000000001</v>
      </c>
      <c r="JH63" s="4">
        <v>2.2010000000000001</v>
      </c>
      <c r="JI63" s="4">
        <v>-3.9129999999999998</v>
      </c>
      <c r="JJ63" s="4">
        <v>0.45800000000000002</v>
      </c>
      <c r="JK63" s="4">
        <v>0.85099999999999998</v>
      </c>
      <c r="JL63" s="4">
        <v>4.2149999999999999</v>
      </c>
      <c r="JM63" s="4">
        <v>1.246</v>
      </c>
      <c r="JN63" s="4">
        <v>0.52800000000000002</v>
      </c>
      <c r="JO63" s="4">
        <v>0.52400000000000002</v>
      </c>
      <c r="JP63" s="4">
        <v>1.4770000000000001</v>
      </c>
      <c r="JQ63" s="4">
        <v>2.0470000000000002</v>
      </c>
      <c r="JR63" s="4">
        <v>0.433</v>
      </c>
      <c r="JS63" s="4">
        <v>-3.4039999999999999</v>
      </c>
      <c r="JT63" s="4">
        <v>0.371</v>
      </c>
      <c r="JU63" s="4">
        <v>0.38700000000000001</v>
      </c>
      <c r="JV63" s="4">
        <v>-0.35099999999999998</v>
      </c>
      <c r="JW63" s="4">
        <v>1.212</v>
      </c>
      <c r="JX63" s="4">
        <v>0.76300000000000001</v>
      </c>
      <c r="JY63" s="4">
        <v>0.85599999999999998</v>
      </c>
      <c r="JZ63" s="4">
        <v>-2.7E-2</v>
      </c>
      <c r="KA63" s="4">
        <v>1.2809999999999999</v>
      </c>
      <c r="KB63" s="4">
        <v>-4.6849999999999996</v>
      </c>
      <c r="KC63" s="4">
        <v>-4.7859999999999996</v>
      </c>
      <c r="KD63" s="4">
        <v>1.018</v>
      </c>
      <c r="KE63" s="4">
        <v>3.085</v>
      </c>
      <c r="KF63" s="4">
        <v>0.92700000000000005</v>
      </c>
      <c r="KG63" s="4">
        <v>0.61599999999999999</v>
      </c>
      <c r="KH63" s="4">
        <v>1.2909999999999999</v>
      </c>
      <c r="KI63" s="4">
        <v>-0.48099999999999998</v>
      </c>
      <c r="KJ63" s="4">
        <v>1.7210000000000001</v>
      </c>
      <c r="KK63" s="4">
        <v>1.294</v>
      </c>
      <c r="KL63" s="4">
        <v>0.46800000000000003</v>
      </c>
      <c r="KM63" s="4">
        <v>-7.508</v>
      </c>
      <c r="KN63" s="4">
        <v>0.57199999999999995</v>
      </c>
      <c r="KO63" s="4">
        <v>-6.2779999999999996</v>
      </c>
      <c r="KP63" s="4">
        <v>2.1999999999999999E-2</v>
      </c>
      <c r="KQ63" s="4">
        <v>2.09</v>
      </c>
      <c r="KR63" s="4">
        <v>0.29699999999999999</v>
      </c>
      <c r="KS63" s="4">
        <v>3.948</v>
      </c>
    </row>
    <row r="64" spans="1:305" x14ac:dyDescent="0.25">
      <c r="A64" s="4">
        <v>2019</v>
      </c>
      <c r="B64" s="4">
        <v>1</v>
      </c>
      <c r="C64" s="4">
        <v>-10.558</v>
      </c>
      <c r="D64" s="4">
        <v>-2.5710000000000002</v>
      </c>
      <c r="E64" s="4">
        <v>-0.84599999999999997</v>
      </c>
      <c r="F64" s="4">
        <v>-1.4350000000000001</v>
      </c>
      <c r="G64" s="4">
        <v>-0.82199999999999995</v>
      </c>
      <c r="H64" s="4">
        <v>-6.9859999999999998</v>
      </c>
      <c r="I64" s="4">
        <v>-1.488</v>
      </c>
      <c r="J64" s="4">
        <v>-15.484</v>
      </c>
      <c r="K64" s="4">
        <v>-2.194</v>
      </c>
      <c r="L64" s="4">
        <v>1.1659999999999999</v>
      </c>
      <c r="M64" s="4">
        <v>-7.431</v>
      </c>
      <c r="N64" s="4">
        <v>-3.3620000000000001</v>
      </c>
      <c r="O64" s="4">
        <v>-6.8579999999999997</v>
      </c>
      <c r="P64" s="4">
        <v>-4.327</v>
      </c>
      <c r="Q64" s="4">
        <v>-15.051</v>
      </c>
      <c r="R64" s="4">
        <v>-13.698</v>
      </c>
      <c r="S64" s="4">
        <v>-5.4630000000000001</v>
      </c>
      <c r="T64" s="4">
        <v>-2.2509999999999999</v>
      </c>
      <c r="U64" s="4">
        <v>-2.6619999999999999</v>
      </c>
      <c r="V64" s="4">
        <v>-1.923</v>
      </c>
      <c r="W64" s="4">
        <v>-4.8259999999999996</v>
      </c>
      <c r="X64" s="4">
        <v>1.208</v>
      </c>
      <c r="Y64" s="4">
        <v>-2.9809999999999999</v>
      </c>
      <c r="Z64" s="4">
        <v>-11.23</v>
      </c>
      <c r="AA64" s="4">
        <v>1.0760000000000001</v>
      </c>
      <c r="AB64" s="4">
        <v>-15.707000000000001</v>
      </c>
      <c r="AC64" s="4">
        <v>-1.381</v>
      </c>
      <c r="AD64" s="4">
        <v>-5.9470000000000001</v>
      </c>
      <c r="AE64" s="4">
        <v>-1.8620000000000001</v>
      </c>
      <c r="AF64" s="4">
        <v>0.17699999999999999</v>
      </c>
      <c r="AG64" s="4">
        <v>-5.0010000000000003</v>
      </c>
      <c r="AH64" s="4">
        <v>-2.54</v>
      </c>
      <c r="AI64" s="4">
        <v>-7.33</v>
      </c>
      <c r="AJ64" s="4">
        <v>2.1999999999999999E-2</v>
      </c>
      <c r="AK64" s="4">
        <v>0.64400000000000002</v>
      </c>
      <c r="AL64" s="4">
        <v>1.677</v>
      </c>
      <c r="AM64" s="4">
        <v>-7.125</v>
      </c>
      <c r="AN64" s="4">
        <v>-2.206</v>
      </c>
      <c r="AO64" s="4">
        <v>-3.746</v>
      </c>
      <c r="AP64" s="4">
        <v>-5.9379999999999997</v>
      </c>
      <c r="AQ64" s="4">
        <v>-11.688000000000001</v>
      </c>
      <c r="AR64" s="4">
        <v>-6.28</v>
      </c>
      <c r="AS64" s="4">
        <v>-2.7959999999999998</v>
      </c>
      <c r="AT64" s="4">
        <v>-2.4390000000000001</v>
      </c>
      <c r="AU64" s="4">
        <v>-1.546</v>
      </c>
      <c r="AV64" s="4">
        <v>-3.7890000000000001</v>
      </c>
      <c r="AW64" s="4">
        <v>-3.3130000000000002</v>
      </c>
      <c r="AX64" s="4">
        <v>0.86699999999999999</v>
      </c>
      <c r="AY64" s="4">
        <v>-1.921</v>
      </c>
      <c r="AZ64" s="4">
        <v>-4.9569999999999999</v>
      </c>
      <c r="BA64" s="4">
        <v>0.99299999999999999</v>
      </c>
      <c r="BB64" s="4">
        <v>-2.258</v>
      </c>
      <c r="BC64" s="4">
        <v>2.4460000000000002</v>
      </c>
      <c r="BD64" s="4">
        <v>-5.2069999999999999</v>
      </c>
      <c r="BE64" s="4">
        <v>-1.9830000000000001</v>
      </c>
      <c r="BF64" s="4">
        <v>-5.4509999999999996</v>
      </c>
      <c r="BG64" s="4">
        <v>-4.2939999999999996</v>
      </c>
      <c r="BH64" s="4">
        <v>-2.6339999999999999</v>
      </c>
      <c r="BI64" s="4">
        <v>-3.2130000000000001</v>
      </c>
      <c r="BJ64" s="4">
        <v>-7.5389999999999997</v>
      </c>
      <c r="BK64" s="4">
        <v>-4.4420000000000002</v>
      </c>
      <c r="BL64" s="4">
        <v>-11.637</v>
      </c>
      <c r="BM64" s="4">
        <v>-12.988</v>
      </c>
      <c r="BN64" s="4">
        <v>-5.6470000000000002</v>
      </c>
      <c r="BO64" s="4">
        <v>-14.882999999999999</v>
      </c>
      <c r="BP64" s="4">
        <v>-4.1109999999999998</v>
      </c>
      <c r="BQ64" s="4">
        <v>-1.5680000000000001</v>
      </c>
      <c r="BR64" s="4">
        <v>-3.0489999999999999</v>
      </c>
      <c r="BS64" s="4">
        <v>0.187</v>
      </c>
      <c r="BT64" s="4">
        <v>-1.524</v>
      </c>
      <c r="BU64" s="4">
        <v>-1.575</v>
      </c>
      <c r="BV64" s="4">
        <v>-3.0950000000000002</v>
      </c>
      <c r="BW64" s="4">
        <v>-6.7220000000000004</v>
      </c>
      <c r="BX64" s="4">
        <v>-5.3760000000000003</v>
      </c>
      <c r="BY64" s="4">
        <v>-3.0019999999999998</v>
      </c>
      <c r="BZ64" s="4">
        <v>-4.0819999999999999</v>
      </c>
      <c r="CA64" s="4">
        <v>0.94799999999999995</v>
      </c>
      <c r="CB64" s="4">
        <v>-2.4300000000000002</v>
      </c>
      <c r="CC64" s="4">
        <v>-8.6419999999999995</v>
      </c>
      <c r="CD64" s="4">
        <v>-2.3919999999999999</v>
      </c>
      <c r="CE64" s="4">
        <v>-13.413</v>
      </c>
      <c r="CF64" s="4">
        <v>-5.0019999999999998</v>
      </c>
      <c r="CG64" s="4">
        <v>-0.52500000000000002</v>
      </c>
      <c r="CH64" s="4">
        <v>0.19800000000000001</v>
      </c>
      <c r="CI64" s="4">
        <v>-5.101</v>
      </c>
      <c r="CJ64" s="4">
        <v>-7.8550000000000004</v>
      </c>
      <c r="CK64" s="4">
        <v>1.4970000000000001</v>
      </c>
      <c r="CL64" s="4">
        <v>-11.385</v>
      </c>
      <c r="CM64" s="4">
        <v>6.0000000000000001E-3</v>
      </c>
      <c r="CN64" s="4">
        <v>-2.0699999999999998</v>
      </c>
      <c r="CO64" s="4">
        <v>-0.91900000000000004</v>
      </c>
      <c r="CP64" s="4">
        <v>-5.0819999999999999</v>
      </c>
      <c r="CQ64" s="4">
        <v>1.8779999999999999</v>
      </c>
      <c r="CR64" s="4">
        <v>-1.401</v>
      </c>
      <c r="CS64" s="4">
        <v>0.438</v>
      </c>
      <c r="CT64" s="4">
        <v>0.38200000000000001</v>
      </c>
      <c r="CU64" s="4">
        <v>-2.117</v>
      </c>
      <c r="CV64" s="4">
        <v>-2.3940000000000001</v>
      </c>
      <c r="CW64" s="4">
        <v>-4.4939999999999998</v>
      </c>
      <c r="CX64" s="4">
        <v>-1.843</v>
      </c>
      <c r="CY64" s="4">
        <v>-0.748</v>
      </c>
      <c r="CZ64" s="4">
        <v>-2.2469999999999999</v>
      </c>
      <c r="DA64" s="4">
        <v>-17.152999999999999</v>
      </c>
      <c r="DB64" s="4">
        <v>-1.8</v>
      </c>
      <c r="DC64" s="4">
        <v>-11.023999999999999</v>
      </c>
      <c r="DD64" s="4">
        <v>-13.923</v>
      </c>
      <c r="DE64" s="4">
        <v>-0.18099999999999999</v>
      </c>
      <c r="DF64" s="4">
        <v>-16.177</v>
      </c>
      <c r="DG64" s="4">
        <v>-1.002</v>
      </c>
      <c r="DH64" s="4">
        <v>0.16</v>
      </c>
      <c r="DI64" s="4">
        <v>-4.1340000000000003</v>
      </c>
      <c r="DJ64" s="4">
        <v>0.35199999999999998</v>
      </c>
      <c r="DK64" s="4">
        <v>-3.0920000000000001</v>
      </c>
      <c r="DL64" s="4">
        <v>-2.9910000000000001</v>
      </c>
      <c r="DM64" s="4">
        <v>1.323</v>
      </c>
      <c r="DN64" s="4">
        <v>-4.4400000000000004</v>
      </c>
      <c r="DO64" s="4">
        <v>-1.1080000000000001</v>
      </c>
      <c r="DP64" s="4">
        <v>-14.542999999999999</v>
      </c>
      <c r="DQ64" s="4">
        <v>-1.996</v>
      </c>
      <c r="DR64" s="4">
        <v>0.73</v>
      </c>
      <c r="DS64" s="4">
        <v>-3.5409999999999999</v>
      </c>
      <c r="DT64" s="4">
        <v>-3.8119999999999998</v>
      </c>
      <c r="DU64" s="4">
        <v>-5.4279999999999999</v>
      </c>
      <c r="DV64" s="4">
        <v>-7.6639999999999997</v>
      </c>
      <c r="DW64" s="4">
        <v>0.91500000000000004</v>
      </c>
      <c r="DX64" s="4">
        <v>-3.35</v>
      </c>
      <c r="DY64" s="4">
        <v>-3.0190000000000001</v>
      </c>
      <c r="DZ64" s="4">
        <v>-0.55600000000000005</v>
      </c>
      <c r="EA64" s="4">
        <v>0.27300000000000002</v>
      </c>
      <c r="EB64" s="4">
        <v>-3.4159999999999999</v>
      </c>
      <c r="EC64" s="4">
        <v>-14.01</v>
      </c>
      <c r="ED64" s="4">
        <v>0.79300000000000004</v>
      </c>
      <c r="EE64" s="4">
        <v>1.671</v>
      </c>
      <c r="EF64" s="4">
        <v>-2.9249999999999998</v>
      </c>
      <c r="EG64" s="4">
        <v>-3.335</v>
      </c>
      <c r="EH64" s="4">
        <v>-5.4329999999999998</v>
      </c>
      <c r="EI64" s="4">
        <v>-0.97899999999999998</v>
      </c>
      <c r="EJ64" s="4">
        <v>-1.7909999999999999</v>
      </c>
      <c r="EK64" s="4">
        <v>-2.1819999999999999</v>
      </c>
      <c r="EL64" s="4">
        <v>-1.2689999999999999</v>
      </c>
      <c r="EM64" s="4">
        <v>-1.38</v>
      </c>
      <c r="EN64" s="4">
        <v>-4.4390000000000001</v>
      </c>
      <c r="EO64" s="4">
        <v>-1.7150000000000001</v>
      </c>
      <c r="EP64" s="4">
        <v>-0.89600000000000002</v>
      </c>
      <c r="EQ64" s="4">
        <v>-6.6630000000000003</v>
      </c>
      <c r="ER64" s="4">
        <v>1.681</v>
      </c>
      <c r="ES64" s="4">
        <v>-4.851</v>
      </c>
      <c r="ET64" s="4">
        <v>-13.391</v>
      </c>
      <c r="EU64" s="4">
        <v>1.306</v>
      </c>
      <c r="EV64" s="4">
        <v>-14.57</v>
      </c>
      <c r="EW64" s="4">
        <v>0.182</v>
      </c>
      <c r="EX64" s="4">
        <v>-13.996</v>
      </c>
      <c r="EY64" s="4">
        <v>-1.849</v>
      </c>
      <c r="EZ64" s="4">
        <v>1.7949999999999999</v>
      </c>
      <c r="FA64" s="4">
        <v>-7.4139999999999997</v>
      </c>
      <c r="FB64" s="4">
        <v>-1.087</v>
      </c>
      <c r="FC64" s="4">
        <v>-0.16500000000000001</v>
      </c>
      <c r="FD64" s="4">
        <v>-3.9049999999999998</v>
      </c>
      <c r="FE64" s="4">
        <v>-1.147</v>
      </c>
      <c r="FF64" s="4">
        <v>-1.5269999999999999</v>
      </c>
      <c r="FG64" s="4">
        <v>-0.18099999999999999</v>
      </c>
      <c r="FH64" s="4">
        <v>-0.42199999999999999</v>
      </c>
      <c r="FI64" s="4">
        <v>-5.8150000000000004</v>
      </c>
      <c r="FJ64" s="4">
        <v>6.5000000000000002E-2</v>
      </c>
      <c r="FK64" s="4">
        <v>-1.534</v>
      </c>
      <c r="FL64" s="4">
        <v>-1.474</v>
      </c>
      <c r="FM64" s="4">
        <v>-5.6120000000000001</v>
      </c>
      <c r="FN64" s="4">
        <v>-2.1349999999999998</v>
      </c>
      <c r="FO64" s="4">
        <v>-2.532</v>
      </c>
      <c r="FP64" s="4">
        <v>-4.2380000000000004</v>
      </c>
      <c r="FQ64" s="4">
        <v>-5.0330000000000004</v>
      </c>
      <c r="FR64" s="4">
        <v>-5.1779999999999999</v>
      </c>
      <c r="FS64" s="4">
        <v>-9.1159999999999997</v>
      </c>
      <c r="FT64" s="4">
        <v>-2.1440000000000001</v>
      </c>
      <c r="FU64" s="4">
        <v>-3.198</v>
      </c>
      <c r="FV64" s="4">
        <v>-13.739000000000001</v>
      </c>
      <c r="FW64" s="4">
        <v>-1.1619999999999999</v>
      </c>
      <c r="FX64" s="4">
        <v>-2.2909999999999999</v>
      </c>
      <c r="FY64" s="4">
        <v>-2.9620000000000002</v>
      </c>
      <c r="FZ64" s="4">
        <v>-1.591</v>
      </c>
      <c r="GA64" s="4">
        <v>-4.8449999999999998</v>
      </c>
      <c r="GB64" s="4">
        <v>1.601</v>
      </c>
      <c r="GC64" s="4">
        <v>-1.024</v>
      </c>
      <c r="GD64" s="4">
        <v>-0.39500000000000002</v>
      </c>
      <c r="GE64" s="4">
        <v>-3.1760000000000002</v>
      </c>
      <c r="GF64" s="4">
        <v>0.309</v>
      </c>
      <c r="GG64" s="4">
        <v>-7.9589999999999996</v>
      </c>
      <c r="GH64" s="4">
        <v>-6.2060000000000004</v>
      </c>
      <c r="GI64" s="4">
        <v>-0.51400000000000001</v>
      </c>
      <c r="GJ64" s="4">
        <v>-0.32700000000000001</v>
      </c>
      <c r="GK64" s="4">
        <v>-0.83499999999999996</v>
      </c>
      <c r="GL64" s="4">
        <v>-2.5470000000000002</v>
      </c>
      <c r="GM64" s="3"/>
      <c r="GN64" s="4">
        <v>-6.8680000000000003</v>
      </c>
      <c r="GO64" s="4">
        <v>-3.3540000000000001</v>
      </c>
      <c r="GP64" s="4">
        <v>-7.6059999999999999</v>
      </c>
      <c r="GQ64" s="4">
        <v>-15.999000000000001</v>
      </c>
      <c r="GR64" s="4">
        <v>-15.151</v>
      </c>
      <c r="GS64" s="4">
        <v>-1.65</v>
      </c>
      <c r="GT64" s="4">
        <v>-15.776</v>
      </c>
      <c r="GU64" s="4">
        <v>-0.61699999999999999</v>
      </c>
      <c r="GV64" s="4">
        <v>-12.821</v>
      </c>
      <c r="GW64" s="4">
        <v>-5.6369999999999996</v>
      </c>
      <c r="GX64" s="4">
        <v>-10.734</v>
      </c>
      <c r="GY64" s="4">
        <v>-10.686999999999999</v>
      </c>
      <c r="GZ64" s="4">
        <v>7.9000000000000001E-2</v>
      </c>
      <c r="HA64" s="4">
        <v>-2.6480000000000001</v>
      </c>
      <c r="HB64" s="4">
        <v>-4.62</v>
      </c>
      <c r="HC64" s="4">
        <v>-2.5289999999999999</v>
      </c>
      <c r="HD64" s="4">
        <v>-7.0330000000000004</v>
      </c>
      <c r="HE64" s="4">
        <v>-4.7830000000000004</v>
      </c>
      <c r="HF64" s="4">
        <v>-8.516</v>
      </c>
      <c r="HG64" s="4">
        <v>-1.024</v>
      </c>
      <c r="HH64" s="4">
        <v>-5.0060000000000002</v>
      </c>
      <c r="HI64" s="4">
        <v>-2.2970000000000002</v>
      </c>
      <c r="HJ64" s="4">
        <v>-3.15</v>
      </c>
      <c r="HK64" s="4">
        <v>1.633</v>
      </c>
      <c r="HL64" s="4">
        <v>0.58399999999999996</v>
      </c>
      <c r="HM64" s="4">
        <v>-1.8680000000000001</v>
      </c>
      <c r="HN64" s="4">
        <v>-12.032999999999999</v>
      </c>
      <c r="HO64" s="4">
        <v>-4.6239999999999997</v>
      </c>
      <c r="HP64" s="4">
        <v>-2.0390000000000001</v>
      </c>
      <c r="HQ64" s="4">
        <v>1.085</v>
      </c>
      <c r="HR64" s="4">
        <v>-3.4689999999999999</v>
      </c>
      <c r="HS64" s="4">
        <v>-4.8739999999999997</v>
      </c>
      <c r="HT64" s="4">
        <v>-3.9969999999999999</v>
      </c>
      <c r="HU64" s="4">
        <v>-2.028</v>
      </c>
      <c r="HV64" s="4">
        <v>-2.6949999999999998</v>
      </c>
      <c r="HW64" s="4">
        <v>-9.5109999999999992</v>
      </c>
      <c r="HX64" s="4">
        <v>-2.3460000000000001</v>
      </c>
      <c r="HY64" s="4">
        <v>-2.1179999999999999</v>
      </c>
      <c r="HZ64" s="4">
        <v>0.83799999999999997</v>
      </c>
      <c r="IA64" s="4">
        <v>-14.904</v>
      </c>
      <c r="IB64" s="4">
        <v>0.92200000000000004</v>
      </c>
      <c r="IC64" s="4">
        <v>1.3069999999999999</v>
      </c>
      <c r="ID64" s="4">
        <v>-0.59099999999999997</v>
      </c>
      <c r="IE64" s="4">
        <v>-2.121</v>
      </c>
      <c r="IF64" s="4">
        <v>-2.1779999999999999</v>
      </c>
      <c r="IG64" s="4">
        <v>-4.867</v>
      </c>
      <c r="IH64" s="4">
        <v>-6.7229999999999999</v>
      </c>
      <c r="II64" s="4">
        <v>-13.634</v>
      </c>
      <c r="IJ64" s="4">
        <v>-3.3740000000000001</v>
      </c>
      <c r="IK64" s="4">
        <v>-0.84</v>
      </c>
      <c r="IL64" s="4">
        <v>-8.4429999999999996</v>
      </c>
      <c r="IM64" s="4">
        <v>-2.1549999999999998</v>
      </c>
      <c r="IN64" s="4">
        <v>-5.234</v>
      </c>
      <c r="IO64" s="4">
        <v>-5.508</v>
      </c>
      <c r="IP64" s="4">
        <v>-4.343</v>
      </c>
      <c r="IQ64" s="4">
        <v>0.98899999999999999</v>
      </c>
      <c r="IR64" s="4">
        <v>1.254</v>
      </c>
      <c r="IS64" s="4">
        <v>-8.0030000000000001</v>
      </c>
      <c r="IT64" s="4">
        <v>-1.627</v>
      </c>
      <c r="IU64" s="4">
        <v>-7.4489999999999998</v>
      </c>
      <c r="IV64" s="4">
        <v>-2.3730000000000002</v>
      </c>
      <c r="IW64" s="4">
        <v>-7.7469999999999999</v>
      </c>
      <c r="IX64" s="4">
        <v>-1.099</v>
      </c>
      <c r="IY64" s="4">
        <v>-4.8029999999999999</v>
      </c>
      <c r="IZ64" s="4">
        <v>-1.75</v>
      </c>
      <c r="JA64" s="4">
        <v>-2.069</v>
      </c>
      <c r="JB64" s="4">
        <v>-4.5860000000000003</v>
      </c>
      <c r="JC64" s="4">
        <v>-6.069</v>
      </c>
      <c r="JD64" s="4">
        <v>-1.1759999999999999</v>
      </c>
      <c r="JE64" s="4">
        <v>0.94499999999999995</v>
      </c>
      <c r="JF64" s="4">
        <v>0.65600000000000003</v>
      </c>
      <c r="JG64" s="4">
        <v>-1.8340000000000001</v>
      </c>
      <c r="JH64" s="4">
        <v>-0.29499999999999998</v>
      </c>
      <c r="JI64" s="4">
        <v>-6.9560000000000004</v>
      </c>
      <c r="JJ64" s="4">
        <v>-1.9790000000000001</v>
      </c>
      <c r="JK64" s="4">
        <v>-1.81</v>
      </c>
      <c r="JL64" s="4">
        <v>1.9</v>
      </c>
      <c r="JM64" s="4">
        <v>-1.5880000000000001</v>
      </c>
      <c r="JN64" s="4">
        <v>-2.2090000000000001</v>
      </c>
      <c r="JO64" s="4">
        <v>-2.173</v>
      </c>
      <c r="JP64" s="4">
        <v>-1.095</v>
      </c>
      <c r="JQ64" s="4">
        <v>-0.54800000000000004</v>
      </c>
      <c r="JR64" s="4">
        <v>-2.254</v>
      </c>
      <c r="JS64" s="4">
        <v>-10.242000000000001</v>
      </c>
      <c r="JT64" s="4">
        <v>-2.8140000000000001</v>
      </c>
      <c r="JU64" s="4">
        <v>-2.6909999999999998</v>
      </c>
      <c r="JV64" s="4">
        <v>-3.843</v>
      </c>
      <c r="JW64" s="4">
        <v>-0.999</v>
      </c>
      <c r="JX64" s="4">
        <v>-2.161</v>
      </c>
      <c r="JY64" s="4">
        <v>-1.5780000000000001</v>
      </c>
      <c r="JZ64" s="4">
        <v>-3.2090000000000001</v>
      </c>
      <c r="KA64" s="4">
        <v>-1.4450000000000001</v>
      </c>
      <c r="KB64" s="4">
        <v>-11.46</v>
      </c>
      <c r="KC64" s="4">
        <v>-6.7619999999999996</v>
      </c>
      <c r="KD64" s="4">
        <v>-1.83</v>
      </c>
      <c r="KE64" s="4">
        <v>1.117</v>
      </c>
      <c r="KF64" s="4">
        <v>-1.9319999999999999</v>
      </c>
      <c r="KG64" s="4">
        <v>-2.133</v>
      </c>
      <c r="KH64" s="4">
        <v>-1.5469999999999999</v>
      </c>
      <c r="KI64" s="4">
        <v>-3.7250000000000001</v>
      </c>
      <c r="KJ64" s="4">
        <v>-0.63500000000000001</v>
      </c>
      <c r="KK64" s="4">
        <v>-1.601</v>
      </c>
      <c r="KL64" s="4">
        <v>-2.294</v>
      </c>
      <c r="KM64" s="4">
        <v>-13.316000000000001</v>
      </c>
      <c r="KN64" s="4">
        <v>-1.9079999999999999</v>
      </c>
      <c r="KO64" s="4">
        <v>-13.335000000000001</v>
      </c>
      <c r="KP64" s="4">
        <v>-2.9140000000000001</v>
      </c>
      <c r="KQ64" s="4">
        <v>7.0000000000000007E-2</v>
      </c>
      <c r="KR64" s="4">
        <v>-2.2189999999999999</v>
      </c>
      <c r="KS64" s="4">
        <v>1.452</v>
      </c>
    </row>
    <row r="65" spans="1:305" x14ac:dyDescent="0.25">
      <c r="A65" s="4">
        <v>2019</v>
      </c>
      <c r="B65" s="4">
        <v>2</v>
      </c>
      <c r="C65" s="4">
        <v>-9.5939999999999994</v>
      </c>
      <c r="D65" s="4">
        <v>1.3129999999999999</v>
      </c>
      <c r="E65" s="4">
        <v>3.1560000000000001</v>
      </c>
      <c r="F65" s="4">
        <v>2.6190000000000002</v>
      </c>
      <c r="G65" s="4">
        <v>2.5009999999999999</v>
      </c>
      <c r="H65" s="4">
        <v>-2.786</v>
      </c>
      <c r="I65" s="4">
        <v>2.286</v>
      </c>
      <c r="J65" s="4">
        <v>-8.5030000000000001</v>
      </c>
      <c r="K65" s="4">
        <v>1.742</v>
      </c>
      <c r="L65" s="4">
        <v>3.5760000000000001</v>
      </c>
      <c r="M65" s="4">
        <v>-3.92</v>
      </c>
      <c r="N65" s="4">
        <v>1.2769999999999999</v>
      </c>
      <c r="O65" s="4">
        <v>-3.4660000000000002</v>
      </c>
      <c r="P65" s="4">
        <v>0.501</v>
      </c>
      <c r="Q65" s="4">
        <v>-9.4909999999999997</v>
      </c>
      <c r="R65" s="4">
        <v>-8.1219999999999999</v>
      </c>
      <c r="S65" s="4">
        <v>-0.19900000000000001</v>
      </c>
      <c r="T65" s="4">
        <v>1.8160000000000001</v>
      </c>
      <c r="U65" s="4">
        <v>1.5940000000000001</v>
      </c>
      <c r="V65" s="4">
        <v>2.363</v>
      </c>
      <c r="W65" s="4">
        <v>4.2999999999999997E-2</v>
      </c>
      <c r="X65" s="4">
        <v>3.3849999999999998</v>
      </c>
      <c r="Y65" s="4">
        <v>1.494</v>
      </c>
      <c r="Z65" s="4">
        <v>-5.12</v>
      </c>
      <c r="AA65" s="4">
        <v>3.7530000000000001</v>
      </c>
      <c r="AB65" s="4">
        <v>-9.2360000000000007</v>
      </c>
      <c r="AC65" s="4">
        <v>2.3010000000000002</v>
      </c>
      <c r="AD65" s="4">
        <v>-1.4179999999999999</v>
      </c>
      <c r="AE65" s="4">
        <v>1.8740000000000001</v>
      </c>
      <c r="AF65" s="4">
        <v>3.1320000000000001</v>
      </c>
      <c r="AG65" s="4">
        <v>-0.53800000000000003</v>
      </c>
      <c r="AH65" s="4">
        <v>1.4650000000000001</v>
      </c>
      <c r="AI65" s="4">
        <v>-3.956</v>
      </c>
      <c r="AJ65" s="4">
        <v>3.0939999999999999</v>
      </c>
      <c r="AK65" s="4">
        <v>3.5030000000000001</v>
      </c>
      <c r="AL65" s="4">
        <v>4.2</v>
      </c>
      <c r="AM65" s="4">
        <v>-1.03</v>
      </c>
      <c r="AN65" s="4">
        <v>1.6619999999999999</v>
      </c>
      <c r="AO65" s="4">
        <v>0.64900000000000002</v>
      </c>
      <c r="AP65" s="4">
        <v>-2.2879999999999998</v>
      </c>
      <c r="AQ65" s="4">
        <v>-6.0720000000000001</v>
      </c>
      <c r="AR65" s="4">
        <v>-1.7769999999999999</v>
      </c>
      <c r="AS65" s="4">
        <v>1.5289999999999999</v>
      </c>
      <c r="AT65" s="4">
        <v>1.6879999999999999</v>
      </c>
      <c r="AU65" s="4">
        <v>2.3109999999999999</v>
      </c>
      <c r="AV65" s="4">
        <v>0.84699999999999998</v>
      </c>
      <c r="AW65" s="4">
        <v>1.276</v>
      </c>
      <c r="AX65" s="4">
        <v>3.7290000000000001</v>
      </c>
      <c r="AY65" s="4">
        <v>2.528</v>
      </c>
      <c r="AZ65" s="4">
        <v>9.1999999999999998E-2</v>
      </c>
      <c r="BA65" s="4">
        <v>3.129</v>
      </c>
      <c r="BB65" s="4">
        <v>1.865</v>
      </c>
      <c r="BC65" s="4">
        <v>3.9390000000000001</v>
      </c>
      <c r="BD65" s="4">
        <v>-0.77700000000000002</v>
      </c>
      <c r="BE65" s="4">
        <v>2.133</v>
      </c>
      <c r="BF65" s="4">
        <v>-0.41099999999999998</v>
      </c>
      <c r="BG65" s="4">
        <v>0.39100000000000001</v>
      </c>
      <c r="BH65" s="4">
        <v>1.879</v>
      </c>
      <c r="BI65" s="4">
        <v>1.1830000000000001</v>
      </c>
      <c r="BJ65" s="4">
        <v>-4.194</v>
      </c>
      <c r="BK65" s="4">
        <v>0.371</v>
      </c>
      <c r="BL65" s="4">
        <v>-5.9710000000000001</v>
      </c>
      <c r="BM65" s="4">
        <v>-7.0789999999999997</v>
      </c>
      <c r="BN65" s="4">
        <v>-1.0489999999999999</v>
      </c>
      <c r="BO65" s="4">
        <v>-10.743</v>
      </c>
      <c r="BP65" s="4">
        <v>0.35699999999999998</v>
      </c>
      <c r="BQ65" s="4">
        <v>2.1930000000000001</v>
      </c>
      <c r="BR65" s="4">
        <v>1.321</v>
      </c>
      <c r="BS65" s="4">
        <v>3.2949999999999999</v>
      </c>
      <c r="BT65" s="4">
        <v>2.4039999999999999</v>
      </c>
      <c r="BU65" s="4">
        <v>2.681</v>
      </c>
      <c r="BV65" s="4">
        <v>1.032</v>
      </c>
      <c r="BW65" s="4">
        <v>-1.1519999999999999</v>
      </c>
      <c r="BX65" s="4">
        <v>-0.44</v>
      </c>
      <c r="BY65" s="4">
        <v>1.5509999999999999</v>
      </c>
      <c r="BZ65" s="4">
        <v>0.73799999999999999</v>
      </c>
      <c r="CA65" s="4">
        <v>3.1560000000000001</v>
      </c>
      <c r="CB65" s="4">
        <v>1.29</v>
      </c>
      <c r="CC65" s="4">
        <v>-4.133</v>
      </c>
      <c r="CD65" s="4">
        <v>1.478</v>
      </c>
      <c r="CE65" s="4">
        <v>-8.4190000000000005</v>
      </c>
      <c r="CF65" s="4">
        <v>-1.8580000000000001</v>
      </c>
      <c r="CG65" s="4">
        <v>2.9630000000000001</v>
      </c>
      <c r="CH65" s="4">
        <v>3.1579999999999999</v>
      </c>
      <c r="CI65" s="4">
        <v>-0.21</v>
      </c>
      <c r="CJ65" s="4">
        <v>-4.0659999999999998</v>
      </c>
      <c r="CK65" s="4">
        <v>3.9510000000000001</v>
      </c>
      <c r="CL65" s="4">
        <v>-6.5270000000000001</v>
      </c>
      <c r="CM65" s="4">
        <v>2.4780000000000002</v>
      </c>
      <c r="CN65" s="4">
        <v>2.23</v>
      </c>
      <c r="CO65" s="4">
        <v>2.7440000000000002</v>
      </c>
      <c r="CP65" s="4">
        <v>-0.50900000000000001</v>
      </c>
      <c r="CQ65" s="4">
        <v>3.7240000000000002</v>
      </c>
      <c r="CR65" s="4">
        <v>2.7269999999999999</v>
      </c>
      <c r="CS65" s="4">
        <v>3.33</v>
      </c>
      <c r="CT65" s="4">
        <v>3.3130000000000002</v>
      </c>
      <c r="CU65" s="4">
        <v>1.845</v>
      </c>
      <c r="CV65" s="4">
        <v>1.5029999999999999</v>
      </c>
      <c r="CW65" s="4">
        <v>-0.77900000000000003</v>
      </c>
      <c r="CX65" s="4">
        <v>2.3610000000000002</v>
      </c>
      <c r="CY65" s="4">
        <v>2.698</v>
      </c>
      <c r="CZ65" s="4">
        <v>1.635</v>
      </c>
      <c r="DA65" s="4">
        <v>-10.853999999999999</v>
      </c>
      <c r="DB65" s="4">
        <v>2.206</v>
      </c>
      <c r="DC65" s="4">
        <v>-5.1669999999999998</v>
      </c>
      <c r="DD65" s="4">
        <v>-9.0609999999999999</v>
      </c>
      <c r="DE65" s="4">
        <v>3.177</v>
      </c>
      <c r="DF65" s="4">
        <v>-12.643000000000001</v>
      </c>
      <c r="DG65" s="4">
        <v>2.5539999999999998</v>
      </c>
      <c r="DH65" s="4">
        <v>3.242</v>
      </c>
      <c r="DI65" s="4">
        <v>0.33</v>
      </c>
      <c r="DJ65" s="4">
        <v>3.137</v>
      </c>
      <c r="DK65" s="4">
        <v>1.0289999999999999</v>
      </c>
      <c r="DL65" s="4">
        <v>1.46</v>
      </c>
      <c r="DM65" s="4">
        <v>3.988</v>
      </c>
      <c r="DN65" s="4">
        <v>0.40899999999999997</v>
      </c>
      <c r="DO65" s="4">
        <v>2.6269999999999998</v>
      </c>
      <c r="DP65" s="4">
        <v>-11.346</v>
      </c>
      <c r="DQ65" s="4">
        <v>2.1669999999999998</v>
      </c>
      <c r="DR65" s="4">
        <v>3.528</v>
      </c>
      <c r="DS65" s="4">
        <v>0.85799999999999998</v>
      </c>
      <c r="DT65" s="4">
        <v>1.0529999999999999</v>
      </c>
      <c r="DU65" s="4">
        <v>-0.46200000000000002</v>
      </c>
      <c r="DV65" s="4">
        <v>-3.214</v>
      </c>
      <c r="DW65" s="4">
        <v>3.8010000000000002</v>
      </c>
      <c r="DX65" s="4">
        <v>0.77300000000000002</v>
      </c>
      <c r="DY65" s="4">
        <v>1.5580000000000001</v>
      </c>
      <c r="DZ65" s="4">
        <v>3.2549999999999999</v>
      </c>
      <c r="EA65" s="4">
        <v>3.1760000000000002</v>
      </c>
      <c r="EB65" s="4">
        <v>1.3340000000000001</v>
      </c>
      <c r="EC65" s="4">
        <v>-10.456</v>
      </c>
      <c r="ED65" s="4">
        <v>3.3639999999999999</v>
      </c>
      <c r="EE65" s="4">
        <v>4.0030000000000001</v>
      </c>
      <c r="EF65" s="4">
        <v>1.48</v>
      </c>
      <c r="EG65" s="4">
        <v>1.238</v>
      </c>
      <c r="EH65" s="4">
        <v>-1.125</v>
      </c>
      <c r="EI65" s="4">
        <v>2.76</v>
      </c>
      <c r="EJ65" s="4">
        <v>2.0259999999999998</v>
      </c>
      <c r="EK65" s="4">
        <v>1.615</v>
      </c>
      <c r="EL65" s="4">
        <v>2.57</v>
      </c>
      <c r="EM65" s="4">
        <v>2.875</v>
      </c>
      <c r="EN65" s="4">
        <v>0.32400000000000001</v>
      </c>
      <c r="EO65" s="4">
        <v>2.5329999999999999</v>
      </c>
      <c r="EP65" s="4">
        <v>2.5350000000000001</v>
      </c>
      <c r="EQ65" s="4">
        <v>-2.8929999999999998</v>
      </c>
      <c r="ER65" s="4">
        <v>4.2069999999999999</v>
      </c>
      <c r="ES65" s="4">
        <v>-0.22900000000000001</v>
      </c>
      <c r="ET65" s="4">
        <v>-8.15</v>
      </c>
      <c r="EU65" s="4">
        <v>4.0449999999999999</v>
      </c>
      <c r="EV65" s="4">
        <v>-7</v>
      </c>
      <c r="EW65" s="4">
        <v>3.1339999999999999</v>
      </c>
      <c r="EX65" s="4">
        <v>-7.7949999999999999</v>
      </c>
      <c r="EY65" s="4">
        <v>2.2959999999999998</v>
      </c>
      <c r="EZ65" s="4">
        <v>4.1900000000000004</v>
      </c>
      <c r="FA65" s="4">
        <v>-2.21</v>
      </c>
      <c r="FB65" s="4">
        <v>2.5739999999999998</v>
      </c>
      <c r="FC65" s="4">
        <v>2.8380000000000001</v>
      </c>
      <c r="FD65" s="4">
        <v>0.69</v>
      </c>
      <c r="FE65" s="4">
        <v>2.4729999999999999</v>
      </c>
      <c r="FF65" s="4">
        <v>2.569</v>
      </c>
      <c r="FG65" s="4">
        <v>3.1309999999999998</v>
      </c>
      <c r="FH65" s="4">
        <v>3.1629999999999998</v>
      </c>
      <c r="FI65" s="4">
        <v>-1.673</v>
      </c>
      <c r="FJ65" s="4">
        <v>3.0920000000000001</v>
      </c>
      <c r="FK65" s="4">
        <v>2.11</v>
      </c>
      <c r="FL65" s="4">
        <v>2.4209999999999998</v>
      </c>
      <c r="FM65" s="4">
        <v>-0.56799999999999995</v>
      </c>
      <c r="FN65" s="4">
        <v>1.617</v>
      </c>
      <c r="FO65" s="4">
        <v>1.4650000000000001</v>
      </c>
      <c r="FP65" s="4">
        <v>0.38200000000000001</v>
      </c>
      <c r="FQ65" s="4">
        <v>5.1999999999999998E-2</v>
      </c>
      <c r="FR65" s="4">
        <v>-1.401</v>
      </c>
      <c r="FS65" s="4">
        <v>-4.234</v>
      </c>
      <c r="FT65" s="4">
        <v>2.1840000000000002</v>
      </c>
      <c r="FU65" s="4">
        <v>0.90800000000000003</v>
      </c>
      <c r="FV65" s="4">
        <v>-7.4649999999999999</v>
      </c>
      <c r="FW65" s="4">
        <v>2.8029999999999999</v>
      </c>
      <c r="FX65" s="4">
        <v>1.732</v>
      </c>
      <c r="FY65" s="4">
        <v>1.357</v>
      </c>
      <c r="FZ65" s="4">
        <v>1.758</v>
      </c>
      <c r="GA65" s="4">
        <v>-0.32900000000000001</v>
      </c>
      <c r="GB65" s="4">
        <v>3.5339999999999998</v>
      </c>
      <c r="GC65" s="4">
        <v>2.7160000000000002</v>
      </c>
      <c r="GD65" s="4">
        <v>2.9630000000000001</v>
      </c>
      <c r="GE65" s="4">
        <v>1.409</v>
      </c>
      <c r="GF65" s="4">
        <v>3.1749999999999998</v>
      </c>
      <c r="GG65" s="4">
        <v>-3.5030000000000001</v>
      </c>
      <c r="GH65" s="4">
        <v>-2.1469999999999998</v>
      </c>
      <c r="GI65" s="4">
        <v>3.0110000000000001</v>
      </c>
      <c r="GJ65" s="4">
        <v>2.8029999999999999</v>
      </c>
      <c r="GK65" s="4">
        <v>2.7530000000000001</v>
      </c>
      <c r="GL65" s="4">
        <v>1.3640000000000001</v>
      </c>
      <c r="GM65" s="3"/>
      <c r="GN65" s="4">
        <v>-3.339</v>
      </c>
      <c r="GO65" s="4">
        <v>0.54400000000000004</v>
      </c>
      <c r="GP65" s="4">
        <v>-1.9690000000000001</v>
      </c>
      <c r="GQ65" s="4">
        <v>-10.1</v>
      </c>
      <c r="GR65" s="4">
        <v>-9.6539999999999999</v>
      </c>
      <c r="GS65" s="4">
        <v>1.998</v>
      </c>
      <c r="GT65" s="4">
        <v>-11.189</v>
      </c>
      <c r="GU65" s="4">
        <v>3.0390000000000001</v>
      </c>
      <c r="GV65" s="4">
        <v>-7.3029999999999999</v>
      </c>
      <c r="GW65" s="4">
        <v>-1.5189999999999999</v>
      </c>
      <c r="GX65" s="4">
        <v>-9.0640000000000001</v>
      </c>
      <c r="GY65" s="4">
        <v>-5.4640000000000004</v>
      </c>
      <c r="GZ65" s="4">
        <v>3.0489999999999999</v>
      </c>
      <c r="HA65" s="4">
        <v>1.43</v>
      </c>
      <c r="HB65" s="4">
        <v>0.17799999999999999</v>
      </c>
      <c r="HC65" s="4">
        <v>1.4950000000000001</v>
      </c>
      <c r="HD65" s="4">
        <v>-3.0259999999999998</v>
      </c>
      <c r="HE65" s="4">
        <v>-5.8000000000000003E-2</v>
      </c>
      <c r="HF65" s="4">
        <v>-4.694</v>
      </c>
      <c r="HG65" s="4">
        <v>2.7909999999999999</v>
      </c>
      <c r="HH65" s="4">
        <v>-0.32200000000000001</v>
      </c>
      <c r="HI65" s="4">
        <v>1.6319999999999999</v>
      </c>
      <c r="HJ65" s="4">
        <v>1.079</v>
      </c>
      <c r="HK65" s="4">
        <v>3.8940000000000001</v>
      </c>
      <c r="HL65" s="4">
        <v>3.5179999999999998</v>
      </c>
      <c r="HM65" s="4">
        <v>2.2770000000000001</v>
      </c>
      <c r="HN65" s="4">
        <v>-6.1349999999999998</v>
      </c>
      <c r="HO65" s="4">
        <v>0.129</v>
      </c>
      <c r="HP65" s="4">
        <v>2.1440000000000001</v>
      </c>
      <c r="HQ65" s="4">
        <v>3.5619999999999998</v>
      </c>
      <c r="HR65" s="4">
        <v>0.51100000000000001</v>
      </c>
      <c r="HS65" s="4">
        <v>-0.10299999999999999</v>
      </c>
      <c r="HT65" s="4">
        <v>-0.1</v>
      </c>
      <c r="HU65" s="4">
        <v>2.4020000000000001</v>
      </c>
      <c r="HV65" s="4">
        <v>1.4450000000000001</v>
      </c>
      <c r="HW65" s="4">
        <v>-4.1029999999999998</v>
      </c>
      <c r="HX65" s="4">
        <v>1.6120000000000001</v>
      </c>
      <c r="HY65" s="4">
        <v>1.714</v>
      </c>
      <c r="HZ65" s="4">
        <v>3.5059999999999998</v>
      </c>
      <c r="IA65" s="4">
        <v>-8.3420000000000005</v>
      </c>
      <c r="IB65" s="4">
        <v>3.3029999999999999</v>
      </c>
      <c r="IC65" s="4">
        <v>4.0350000000000001</v>
      </c>
      <c r="ID65" s="4">
        <v>3.032</v>
      </c>
      <c r="IE65" s="4">
        <v>1.72</v>
      </c>
      <c r="IF65" s="4">
        <v>1.653</v>
      </c>
      <c r="IG65" s="4">
        <v>-4.3999999999999997E-2</v>
      </c>
      <c r="IH65" s="4">
        <v>-2.8759999999999999</v>
      </c>
      <c r="II65" s="4">
        <v>-7.54</v>
      </c>
      <c r="IJ65" s="4">
        <v>1.25</v>
      </c>
      <c r="IK65" s="4">
        <v>2.3199999999999998</v>
      </c>
      <c r="IL65" s="4">
        <v>-4.7069999999999999</v>
      </c>
      <c r="IM65" s="4">
        <v>1.7070000000000001</v>
      </c>
      <c r="IN65" s="4">
        <v>-2.044</v>
      </c>
      <c r="IO65" s="4">
        <v>-0.48299999999999998</v>
      </c>
      <c r="IP65" s="4">
        <v>0.51100000000000001</v>
      </c>
      <c r="IQ65" s="4">
        <v>3.7360000000000002</v>
      </c>
      <c r="IR65" s="4">
        <v>3.843</v>
      </c>
      <c r="IS65" s="4">
        <v>-3.8039999999999998</v>
      </c>
      <c r="IT65" s="4">
        <v>2.0960000000000001</v>
      </c>
      <c r="IU65" s="4">
        <v>-3.593</v>
      </c>
      <c r="IV65" s="4">
        <v>1.577</v>
      </c>
      <c r="IW65" s="4">
        <v>-4.032</v>
      </c>
      <c r="IX65" s="4">
        <v>2.246</v>
      </c>
      <c r="IY65" s="4">
        <v>0.14899999999999999</v>
      </c>
      <c r="IZ65" s="4">
        <v>2.4540000000000002</v>
      </c>
      <c r="JA65" s="4">
        <v>2.0499999999999998</v>
      </c>
      <c r="JB65" s="4">
        <v>0.27800000000000002</v>
      </c>
      <c r="JC65" s="4">
        <v>-2.9409999999999998</v>
      </c>
      <c r="JD65" s="4">
        <v>2.383</v>
      </c>
      <c r="JE65" s="4">
        <v>3.3610000000000002</v>
      </c>
      <c r="JF65" s="4">
        <v>3.4980000000000002</v>
      </c>
      <c r="JG65" s="4">
        <v>2.2320000000000002</v>
      </c>
      <c r="JH65" s="4">
        <v>3.0550000000000002</v>
      </c>
      <c r="JI65" s="4">
        <v>-1.2210000000000001</v>
      </c>
      <c r="JJ65" s="4">
        <v>2.254</v>
      </c>
      <c r="JK65" s="4">
        <v>1.9630000000000001</v>
      </c>
      <c r="JL65" s="4">
        <v>3.7669999999999999</v>
      </c>
      <c r="JM65" s="4">
        <v>2.7480000000000002</v>
      </c>
      <c r="JN65" s="4">
        <v>1.649</v>
      </c>
      <c r="JO65" s="4">
        <v>1.4850000000000001</v>
      </c>
      <c r="JP65" s="4">
        <v>2.7879999999999998</v>
      </c>
      <c r="JQ65" s="4">
        <v>2.7440000000000002</v>
      </c>
      <c r="JR65" s="4">
        <v>1.591</v>
      </c>
      <c r="JS65" s="4">
        <v>-4.8040000000000003</v>
      </c>
      <c r="JT65" s="4">
        <v>1.171</v>
      </c>
      <c r="JU65" s="4">
        <v>1.3919999999999999</v>
      </c>
      <c r="JV65" s="4">
        <v>0.70699999999999996</v>
      </c>
      <c r="JW65" s="4">
        <v>2.48</v>
      </c>
      <c r="JX65" s="4">
        <v>1.768</v>
      </c>
      <c r="JY65" s="4">
        <v>2.5960000000000001</v>
      </c>
      <c r="JZ65" s="4">
        <v>1.08</v>
      </c>
      <c r="KA65" s="4">
        <v>2.7240000000000002</v>
      </c>
      <c r="KB65" s="4">
        <v>-5.1760000000000002</v>
      </c>
      <c r="KC65" s="4">
        <v>-1.629</v>
      </c>
      <c r="KD65" s="4">
        <v>2.5030000000000001</v>
      </c>
      <c r="KE65" s="4">
        <v>3.1349999999999998</v>
      </c>
      <c r="KF65" s="4">
        <v>2.3370000000000002</v>
      </c>
      <c r="KG65" s="4">
        <v>1.46</v>
      </c>
      <c r="KH65" s="4">
        <v>2.2669999999999999</v>
      </c>
      <c r="KI65" s="4">
        <v>0.93500000000000005</v>
      </c>
      <c r="KJ65" s="4">
        <v>2.9289999999999998</v>
      </c>
      <c r="KK65" s="4">
        <v>2.1179999999999999</v>
      </c>
      <c r="KL65" s="4">
        <v>1.798</v>
      </c>
      <c r="KM65" s="4">
        <v>-7.048</v>
      </c>
      <c r="KN65" s="4">
        <v>2.2799999999999998</v>
      </c>
      <c r="KO65" s="4">
        <v>-6.2510000000000003</v>
      </c>
      <c r="KP65" s="4">
        <v>1.5409999999999999</v>
      </c>
      <c r="KQ65" s="4">
        <v>2.4009999999999998</v>
      </c>
      <c r="KR65" s="4">
        <v>2.0249999999999999</v>
      </c>
      <c r="KS65" s="4">
        <v>3.536</v>
      </c>
    </row>
    <row r="66" spans="1:305" x14ac:dyDescent="0.25">
      <c r="A66" s="4">
        <v>2019</v>
      </c>
      <c r="B66" s="4">
        <v>3</v>
      </c>
      <c r="C66" s="4">
        <v>-7.4889999999999999</v>
      </c>
      <c r="D66" s="4">
        <v>2.226</v>
      </c>
      <c r="E66" s="4">
        <v>3.8980000000000001</v>
      </c>
      <c r="F66" s="4">
        <v>3.3730000000000002</v>
      </c>
      <c r="G66" s="4">
        <v>3.484</v>
      </c>
      <c r="H66" s="4">
        <v>-1.696</v>
      </c>
      <c r="I66" s="4">
        <v>3.169</v>
      </c>
      <c r="J66" s="4">
        <v>-4.3739999999999997</v>
      </c>
      <c r="K66" s="4">
        <v>2.819</v>
      </c>
      <c r="L66" s="4">
        <v>4.883</v>
      </c>
      <c r="M66" s="4">
        <v>-2.2570000000000001</v>
      </c>
      <c r="N66" s="4">
        <v>2.1179999999999999</v>
      </c>
      <c r="O66" s="4">
        <v>-3.9849999999999999</v>
      </c>
      <c r="P66" s="4">
        <v>1.605</v>
      </c>
      <c r="Q66" s="4">
        <v>-6.8440000000000003</v>
      </c>
      <c r="R66" s="4">
        <v>-5.835</v>
      </c>
      <c r="S66" s="4">
        <v>1.391</v>
      </c>
      <c r="T66" s="4">
        <v>2.6960000000000002</v>
      </c>
      <c r="U66" s="4">
        <v>2.3170000000000002</v>
      </c>
      <c r="V66" s="4">
        <v>3.0760000000000001</v>
      </c>
      <c r="W66" s="4">
        <v>0.625</v>
      </c>
      <c r="X66" s="4">
        <v>4.7039999999999997</v>
      </c>
      <c r="Y66" s="4">
        <v>2.4129999999999998</v>
      </c>
      <c r="Z66" s="4">
        <v>-3.2970000000000002</v>
      </c>
      <c r="AA66" s="4">
        <v>5.0039999999999996</v>
      </c>
      <c r="AB66" s="4">
        <v>-4.5640000000000001</v>
      </c>
      <c r="AC66" s="4">
        <v>3.1059999999999999</v>
      </c>
      <c r="AD66" s="4">
        <v>-0.44900000000000001</v>
      </c>
      <c r="AE66" s="4">
        <v>2.5259999999999998</v>
      </c>
      <c r="AF66" s="4">
        <v>4.4269999999999996</v>
      </c>
      <c r="AG66" s="4">
        <v>8.5000000000000006E-2</v>
      </c>
      <c r="AH66" s="4">
        <v>2.1560000000000001</v>
      </c>
      <c r="AI66" s="4">
        <v>-3.0760000000000001</v>
      </c>
      <c r="AJ66" s="4">
        <v>4.2869999999999999</v>
      </c>
      <c r="AK66" s="4">
        <v>4.8250000000000002</v>
      </c>
      <c r="AL66" s="4">
        <v>5.5039999999999996</v>
      </c>
      <c r="AM66" s="4">
        <v>0.76900000000000002</v>
      </c>
      <c r="AN66" s="4">
        <v>2.375</v>
      </c>
      <c r="AO66" s="4">
        <v>1.5629999999999999</v>
      </c>
      <c r="AP66" s="4">
        <v>-1.052</v>
      </c>
      <c r="AQ66" s="4">
        <v>-4.6349999999999998</v>
      </c>
      <c r="AR66" s="4">
        <v>-1.2929999999999999</v>
      </c>
      <c r="AS66" s="4">
        <v>2.3980000000000001</v>
      </c>
      <c r="AT66" s="4">
        <v>2.4119999999999999</v>
      </c>
      <c r="AU66" s="4">
        <v>3.4780000000000002</v>
      </c>
      <c r="AV66" s="4">
        <v>1.7</v>
      </c>
      <c r="AW66" s="4">
        <v>2.1419999999999999</v>
      </c>
      <c r="AX66" s="4">
        <v>4.9059999999999997</v>
      </c>
      <c r="AY66" s="4">
        <v>3.327</v>
      </c>
      <c r="AZ66" s="4">
        <v>0.67400000000000004</v>
      </c>
      <c r="BA66" s="4">
        <v>4.5599999999999996</v>
      </c>
      <c r="BB66" s="4">
        <v>2.5430000000000001</v>
      </c>
      <c r="BC66" s="4">
        <v>5.2889999999999997</v>
      </c>
      <c r="BD66" s="4">
        <v>-6.4000000000000001E-2</v>
      </c>
      <c r="BE66" s="4">
        <v>2.863</v>
      </c>
      <c r="BF66" s="4">
        <v>0.55600000000000005</v>
      </c>
      <c r="BG66" s="4">
        <v>1.079</v>
      </c>
      <c r="BH66" s="4">
        <v>2.6779999999999999</v>
      </c>
      <c r="BI66" s="4">
        <v>2.2040000000000002</v>
      </c>
      <c r="BJ66" s="4">
        <v>-4.008</v>
      </c>
      <c r="BK66" s="4">
        <v>1.786</v>
      </c>
      <c r="BL66" s="4">
        <v>-4.2220000000000004</v>
      </c>
      <c r="BM66" s="4">
        <v>-5.4660000000000002</v>
      </c>
      <c r="BN66" s="4">
        <v>-0.41699999999999998</v>
      </c>
      <c r="BO66" s="4">
        <v>-7.0810000000000004</v>
      </c>
      <c r="BP66" s="4">
        <v>1.002</v>
      </c>
      <c r="BQ66" s="4">
        <v>2.919</v>
      </c>
      <c r="BR66" s="4">
        <v>2.1480000000000001</v>
      </c>
      <c r="BS66" s="4">
        <v>4.3109999999999999</v>
      </c>
      <c r="BT66" s="4">
        <v>3.2970000000000002</v>
      </c>
      <c r="BU66" s="4">
        <v>3.49</v>
      </c>
      <c r="BV66" s="4">
        <v>1.8660000000000001</v>
      </c>
      <c r="BW66" s="4">
        <v>0.219</v>
      </c>
      <c r="BX66" s="4">
        <v>0.29599999999999999</v>
      </c>
      <c r="BY66" s="4">
        <v>2.359</v>
      </c>
      <c r="BZ66" s="4">
        <v>1.548</v>
      </c>
      <c r="CA66" s="4">
        <v>4.617</v>
      </c>
      <c r="CB66" s="4">
        <v>2.262</v>
      </c>
      <c r="CC66" s="4">
        <v>-2.859</v>
      </c>
      <c r="CD66" s="4">
        <v>2.1080000000000001</v>
      </c>
      <c r="CE66" s="4">
        <v>-4.17</v>
      </c>
      <c r="CF66" s="4">
        <v>-0.70899999999999996</v>
      </c>
      <c r="CG66" s="4">
        <v>3.8759999999999999</v>
      </c>
      <c r="CH66" s="4">
        <v>4.2750000000000004</v>
      </c>
      <c r="CI66" s="4">
        <v>0.39200000000000002</v>
      </c>
      <c r="CJ66" s="4">
        <v>-3.6629999999999998</v>
      </c>
      <c r="CK66" s="4">
        <v>5.1790000000000003</v>
      </c>
      <c r="CL66" s="4">
        <v>-6.4059999999999997</v>
      </c>
      <c r="CM66" s="4">
        <v>2.9990000000000001</v>
      </c>
      <c r="CN66" s="4">
        <v>2.984</v>
      </c>
      <c r="CO66" s="4">
        <v>3.306</v>
      </c>
      <c r="CP66" s="4">
        <v>1.7999999999999999E-2</v>
      </c>
      <c r="CQ66" s="4">
        <v>5.0129999999999999</v>
      </c>
      <c r="CR66" s="4">
        <v>3.8050000000000002</v>
      </c>
      <c r="CS66" s="4">
        <v>4.4320000000000004</v>
      </c>
      <c r="CT66" s="4">
        <v>4.4109999999999996</v>
      </c>
      <c r="CU66" s="4">
        <v>2.6739999999999999</v>
      </c>
      <c r="CV66" s="4">
        <v>2.1930000000000001</v>
      </c>
      <c r="CW66" s="4">
        <v>-0.09</v>
      </c>
      <c r="CX66" s="4">
        <v>3.319</v>
      </c>
      <c r="CY66" s="4">
        <v>3.4969999999999999</v>
      </c>
      <c r="CZ66" s="4">
        <v>2.4329999999999998</v>
      </c>
      <c r="DA66" s="4">
        <v>-6.4740000000000002</v>
      </c>
      <c r="DB66" s="4">
        <v>2.899</v>
      </c>
      <c r="DC66" s="4">
        <v>-3.4359999999999999</v>
      </c>
      <c r="DD66" s="4">
        <v>-4.29</v>
      </c>
      <c r="DE66" s="4">
        <v>4.4269999999999996</v>
      </c>
      <c r="DF66" s="4">
        <v>-8.6679999999999993</v>
      </c>
      <c r="DG66" s="4">
        <v>3.19</v>
      </c>
      <c r="DH66" s="4">
        <v>4.4320000000000004</v>
      </c>
      <c r="DI66" s="4">
        <v>1.224</v>
      </c>
      <c r="DJ66" s="4">
        <v>4.4429999999999996</v>
      </c>
      <c r="DK66" s="4">
        <v>2.149</v>
      </c>
      <c r="DL66" s="4">
        <v>2.4340000000000002</v>
      </c>
      <c r="DM66" s="4">
        <v>5.2619999999999996</v>
      </c>
      <c r="DN66" s="4">
        <v>1.849</v>
      </c>
      <c r="DO66" s="4">
        <v>3.43</v>
      </c>
      <c r="DP66" s="4">
        <v>-7.806</v>
      </c>
      <c r="DQ66" s="4">
        <v>2.8849999999999998</v>
      </c>
      <c r="DR66" s="4">
        <v>4.7089999999999996</v>
      </c>
      <c r="DS66" s="4">
        <v>1.653</v>
      </c>
      <c r="DT66" s="4">
        <v>1.9119999999999999</v>
      </c>
      <c r="DU66" s="4">
        <v>8.3000000000000004E-2</v>
      </c>
      <c r="DV66" s="4">
        <v>-1.5169999999999999</v>
      </c>
      <c r="DW66" s="4">
        <v>5.1280000000000001</v>
      </c>
      <c r="DX66" s="4">
        <v>1.72</v>
      </c>
      <c r="DY66" s="4">
        <v>2.4020000000000001</v>
      </c>
      <c r="DZ66" s="4">
        <v>4.0430000000000001</v>
      </c>
      <c r="EA66" s="4">
        <v>4.2510000000000003</v>
      </c>
      <c r="EB66" s="4">
        <v>2.1829999999999998</v>
      </c>
      <c r="EC66" s="4">
        <v>-7.1680000000000001</v>
      </c>
      <c r="ED66" s="4">
        <v>4.6909999999999998</v>
      </c>
      <c r="EE66" s="4">
        <v>5.2619999999999996</v>
      </c>
      <c r="EF66" s="4">
        <v>2.262</v>
      </c>
      <c r="EG66" s="4">
        <v>2.0819999999999999</v>
      </c>
      <c r="EH66" s="4">
        <v>-0.47499999999999998</v>
      </c>
      <c r="EI66" s="4">
        <v>3.55</v>
      </c>
      <c r="EJ66" s="4">
        <v>3.194</v>
      </c>
      <c r="EK66" s="4">
        <v>2.3159999999999998</v>
      </c>
      <c r="EL66" s="4">
        <v>3.5470000000000002</v>
      </c>
      <c r="EM66" s="4">
        <v>3.5329999999999999</v>
      </c>
      <c r="EN66" s="4">
        <v>0.99099999999999999</v>
      </c>
      <c r="EO66" s="4">
        <v>3.3660000000000001</v>
      </c>
      <c r="EP66" s="4">
        <v>3.4529999999999998</v>
      </c>
      <c r="EQ66" s="4">
        <v>-1.304</v>
      </c>
      <c r="ER66" s="4">
        <v>5.508</v>
      </c>
      <c r="ES66" s="4">
        <v>0.27600000000000002</v>
      </c>
      <c r="ET66" s="4">
        <v>-3.8809999999999998</v>
      </c>
      <c r="EU66" s="4">
        <v>5.3040000000000003</v>
      </c>
      <c r="EV66" s="4">
        <v>-4.4009999999999998</v>
      </c>
      <c r="EW66" s="4">
        <v>4.0119999999999996</v>
      </c>
      <c r="EX66" s="4">
        <v>-5.4020000000000001</v>
      </c>
      <c r="EY66" s="4">
        <v>2.8759999999999999</v>
      </c>
      <c r="EZ66" s="4">
        <v>5.5039999999999996</v>
      </c>
      <c r="FA66" s="4">
        <v>-1.341</v>
      </c>
      <c r="FB66" s="4">
        <v>3.3860000000000001</v>
      </c>
      <c r="FC66" s="4">
        <v>3.9279999999999999</v>
      </c>
      <c r="FD66" s="4">
        <v>1.524</v>
      </c>
      <c r="FE66" s="4">
        <v>3.2250000000000001</v>
      </c>
      <c r="FF66" s="4">
        <v>3.3340000000000001</v>
      </c>
      <c r="FG66" s="4">
        <v>4.1070000000000002</v>
      </c>
      <c r="FH66" s="4">
        <v>4.3529999999999998</v>
      </c>
      <c r="FI66" s="4">
        <v>-0.66800000000000004</v>
      </c>
      <c r="FJ66" s="4">
        <v>4.2839999999999998</v>
      </c>
      <c r="FK66" s="4">
        <v>2.9169999999999998</v>
      </c>
      <c r="FL66" s="4">
        <v>3.2559999999999998</v>
      </c>
      <c r="FM66" s="4">
        <v>0.77700000000000002</v>
      </c>
      <c r="FN66" s="4">
        <v>2.3319999999999999</v>
      </c>
      <c r="FO66" s="4">
        <v>2.149</v>
      </c>
      <c r="FP66" s="4">
        <v>1.0309999999999999</v>
      </c>
      <c r="FQ66" s="4">
        <v>0.60799999999999998</v>
      </c>
      <c r="FR66" s="4">
        <v>-0.81200000000000006</v>
      </c>
      <c r="FS66" s="4">
        <v>-2.0489999999999999</v>
      </c>
      <c r="FT66" s="4">
        <v>3.081</v>
      </c>
      <c r="FU66" s="4">
        <v>1.4450000000000001</v>
      </c>
      <c r="FV66" s="4">
        <v>-4.8239999999999998</v>
      </c>
      <c r="FW66" s="4">
        <v>3.9729999999999999</v>
      </c>
      <c r="FX66" s="4">
        <v>2.6789999999999998</v>
      </c>
      <c r="FY66" s="4">
        <v>2.157</v>
      </c>
      <c r="FZ66" s="4">
        <v>2.3250000000000002</v>
      </c>
      <c r="GA66" s="4">
        <v>4.7E-2</v>
      </c>
      <c r="GB66" s="4">
        <v>4.5620000000000003</v>
      </c>
      <c r="GC66" s="4">
        <v>3.2440000000000002</v>
      </c>
      <c r="GD66" s="4">
        <v>4.1070000000000002</v>
      </c>
      <c r="GE66" s="4">
        <v>2.234</v>
      </c>
      <c r="GF66" s="4">
        <v>4.2910000000000004</v>
      </c>
      <c r="GG66" s="4">
        <v>-1.772</v>
      </c>
      <c r="GH66" s="4">
        <v>-1.123</v>
      </c>
      <c r="GI66" s="4">
        <v>3.8359999999999999</v>
      </c>
      <c r="GJ66" s="4">
        <v>3.9</v>
      </c>
      <c r="GK66" s="4">
        <v>3.8530000000000002</v>
      </c>
      <c r="GL66" s="4">
        <v>1.9850000000000001</v>
      </c>
      <c r="GM66" s="3"/>
      <c r="GN66" s="4">
        <v>-3.3050000000000002</v>
      </c>
      <c r="GO66" s="4">
        <v>1.1970000000000001</v>
      </c>
      <c r="GP66" s="4">
        <v>-0.58299999999999996</v>
      </c>
      <c r="GQ66" s="4">
        <v>-4.9349999999999996</v>
      </c>
      <c r="GR66" s="4">
        <v>-4.8109999999999999</v>
      </c>
      <c r="GS66" s="4">
        <v>2.8090000000000002</v>
      </c>
      <c r="GT66" s="4">
        <v>-6.5650000000000004</v>
      </c>
      <c r="GU66" s="4">
        <v>3.8879999999999999</v>
      </c>
      <c r="GV66" s="4">
        <v>-3.3330000000000002</v>
      </c>
      <c r="GW66" s="4">
        <v>-0.81399999999999995</v>
      </c>
      <c r="GX66" s="4">
        <v>-7.9349999999999996</v>
      </c>
      <c r="GY66" s="4">
        <v>-2.5819999999999999</v>
      </c>
      <c r="GZ66" s="4">
        <v>4.3</v>
      </c>
      <c r="HA66" s="4">
        <v>2.6779999999999999</v>
      </c>
      <c r="HB66" s="4">
        <v>0.90800000000000003</v>
      </c>
      <c r="HC66" s="4">
        <v>2.2839999999999998</v>
      </c>
      <c r="HD66" s="4">
        <v>-2.6230000000000002</v>
      </c>
      <c r="HE66" s="4">
        <v>0.59899999999999998</v>
      </c>
      <c r="HF66" s="4">
        <v>-3.51</v>
      </c>
      <c r="HG66" s="4">
        <v>3.569</v>
      </c>
      <c r="HH66" s="4">
        <v>0.26700000000000002</v>
      </c>
      <c r="HI66" s="4">
        <v>2.4300000000000002</v>
      </c>
      <c r="HJ66" s="4">
        <v>1.853</v>
      </c>
      <c r="HK66" s="4">
        <v>4.9489999999999998</v>
      </c>
      <c r="HL66" s="4">
        <v>4.6020000000000003</v>
      </c>
      <c r="HM66" s="4">
        <v>3.1019999999999999</v>
      </c>
      <c r="HN66" s="4">
        <v>-2.9140000000000001</v>
      </c>
      <c r="HO66" s="4">
        <v>0.65600000000000003</v>
      </c>
      <c r="HP66" s="4">
        <v>2.8860000000000001</v>
      </c>
      <c r="HQ66" s="4">
        <v>4.7380000000000004</v>
      </c>
      <c r="HR66" s="4">
        <v>1.137</v>
      </c>
      <c r="HS66" s="4">
        <v>0.45300000000000001</v>
      </c>
      <c r="HT66" s="4">
        <v>0.58399999999999996</v>
      </c>
      <c r="HU66" s="4">
        <v>3.3079999999999998</v>
      </c>
      <c r="HV66" s="4">
        <v>2.214</v>
      </c>
      <c r="HW66" s="4">
        <v>-2.36</v>
      </c>
      <c r="HX66" s="4">
        <v>2.3610000000000002</v>
      </c>
      <c r="HY66" s="4">
        <v>2.472</v>
      </c>
      <c r="HZ66" s="4">
        <v>4.78</v>
      </c>
      <c r="IA66" s="4">
        <v>-5.5540000000000003</v>
      </c>
      <c r="IB66" s="4">
        <v>4.1230000000000002</v>
      </c>
      <c r="IC66" s="4">
        <v>5.2850000000000001</v>
      </c>
      <c r="ID66" s="4">
        <v>3.7850000000000001</v>
      </c>
      <c r="IE66" s="4">
        <v>2.5049999999999999</v>
      </c>
      <c r="IF66" s="4">
        <v>2.38</v>
      </c>
      <c r="IG66" s="4">
        <v>0.92400000000000004</v>
      </c>
      <c r="IH66" s="4">
        <v>-4.5599999999999996</v>
      </c>
      <c r="II66" s="4">
        <v>-5.4470000000000001</v>
      </c>
      <c r="IJ66" s="4">
        <v>2.149</v>
      </c>
      <c r="IK66" s="4">
        <v>3.496</v>
      </c>
      <c r="IL66" s="4">
        <v>-3.9940000000000002</v>
      </c>
      <c r="IM66" s="4">
        <v>2.4790000000000001</v>
      </c>
      <c r="IN66" s="4">
        <v>-0.68799999999999994</v>
      </c>
      <c r="IO66" s="4">
        <v>1.0389999999999999</v>
      </c>
      <c r="IP66" s="4">
        <v>1.228</v>
      </c>
      <c r="IQ66" s="4">
        <v>4.9660000000000002</v>
      </c>
      <c r="IR66" s="4">
        <v>5.1239999999999997</v>
      </c>
      <c r="IS66" s="4">
        <v>-2.8879999999999999</v>
      </c>
      <c r="IT66" s="4">
        <v>2.7829999999999999</v>
      </c>
      <c r="IU66" s="4">
        <v>-2.972</v>
      </c>
      <c r="IV66" s="4">
        <v>2.2730000000000001</v>
      </c>
      <c r="IW66" s="4">
        <v>-4.3040000000000003</v>
      </c>
      <c r="IX66" s="4">
        <v>3.31</v>
      </c>
      <c r="IY66" s="4">
        <v>0.88300000000000001</v>
      </c>
      <c r="IZ66" s="4">
        <v>3.2109999999999999</v>
      </c>
      <c r="JA66" s="4">
        <v>2.7509999999999999</v>
      </c>
      <c r="JB66" s="4">
        <v>1.0649999999999999</v>
      </c>
      <c r="JC66" s="4">
        <v>-1.1719999999999999</v>
      </c>
      <c r="JD66" s="4">
        <v>3.53</v>
      </c>
      <c r="JE66" s="4">
        <v>4.1890000000000001</v>
      </c>
      <c r="JF66" s="4">
        <v>4.593</v>
      </c>
      <c r="JG66" s="4">
        <v>3.09</v>
      </c>
      <c r="JH66" s="4">
        <v>4.3250000000000002</v>
      </c>
      <c r="JI66" s="4">
        <v>0.40799999999999997</v>
      </c>
      <c r="JJ66" s="4">
        <v>2.786</v>
      </c>
      <c r="JK66" s="4">
        <v>2.6469999999999998</v>
      </c>
      <c r="JL66" s="4">
        <v>5.1159999999999997</v>
      </c>
      <c r="JM66" s="4">
        <v>3.4350000000000001</v>
      </c>
      <c r="JN66" s="4">
        <v>2.3759999999999999</v>
      </c>
      <c r="JO66" s="4">
        <v>2.1819999999999999</v>
      </c>
      <c r="JP66" s="4">
        <v>3.5459999999999998</v>
      </c>
      <c r="JQ66" s="4">
        <v>3.6829999999999998</v>
      </c>
      <c r="JR66" s="4">
        <v>2.2770000000000001</v>
      </c>
      <c r="JS66" s="4">
        <v>-2.3580000000000001</v>
      </c>
      <c r="JT66" s="4">
        <v>1.994</v>
      </c>
      <c r="JU66" s="4">
        <v>2.1230000000000002</v>
      </c>
      <c r="JV66" s="4">
        <v>1.554</v>
      </c>
      <c r="JW66" s="4">
        <v>3.2240000000000002</v>
      </c>
      <c r="JX66" s="4">
        <v>2.629</v>
      </c>
      <c r="JY66" s="4">
        <v>3.5310000000000001</v>
      </c>
      <c r="JZ66" s="4">
        <v>1.702</v>
      </c>
      <c r="KA66" s="4">
        <v>3.41</v>
      </c>
      <c r="KB66" s="4">
        <v>-2.923</v>
      </c>
      <c r="KC66" s="4">
        <v>-0.81499999999999995</v>
      </c>
      <c r="KD66" s="4">
        <v>3.3540000000000001</v>
      </c>
      <c r="KE66" s="4">
        <v>4.5339999999999998</v>
      </c>
      <c r="KF66" s="4">
        <v>3.0750000000000002</v>
      </c>
      <c r="KG66" s="4">
        <v>2.1560000000000001</v>
      </c>
      <c r="KH66" s="4">
        <v>3.1480000000000001</v>
      </c>
      <c r="KI66" s="4">
        <v>1.7909999999999999</v>
      </c>
      <c r="KJ66" s="4">
        <v>3.93</v>
      </c>
      <c r="KK66" s="4">
        <v>3.149</v>
      </c>
      <c r="KL66" s="4">
        <v>2.6640000000000001</v>
      </c>
      <c r="KM66" s="4">
        <v>-5.3109999999999999</v>
      </c>
      <c r="KN66" s="4">
        <v>3.2309999999999999</v>
      </c>
      <c r="KO66" s="4">
        <v>-3.7770000000000001</v>
      </c>
      <c r="KP66" s="4">
        <v>2.399</v>
      </c>
      <c r="KQ66" s="4">
        <v>3</v>
      </c>
      <c r="KR66" s="4">
        <v>2.661</v>
      </c>
      <c r="KS66" s="4">
        <v>4.6689999999999996</v>
      </c>
    </row>
    <row r="67" spans="1:305" x14ac:dyDescent="0.25">
      <c r="A67" s="4">
        <v>2019</v>
      </c>
      <c r="B67" s="4">
        <v>4</v>
      </c>
      <c r="C67" s="4">
        <v>-0.55700000000000005</v>
      </c>
      <c r="D67" s="4">
        <v>6.8570000000000002</v>
      </c>
      <c r="E67" s="4">
        <v>8.2710000000000008</v>
      </c>
      <c r="F67" s="4">
        <v>7.7649999999999997</v>
      </c>
      <c r="G67" s="4">
        <v>7.3929999999999998</v>
      </c>
      <c r="H67" s="4">
        <v>4.4450000000000003</v>
      </c>
      <c r="I67" s="4">
        <v>7.5039999999999996</v>
      </c>
      <c r="J67" s="4">
        <v>3.6219999999999999</v>
      </c>
      <c r="K67" s="4">
        <v>7.0439999999999996</v>
      </c>
      <c r="L67" s="4">
        <v>8.3610000000000007</v>
      </c>
      <c r="M67" s="4">
        <v>3.8839999999999999</v>
      </c>
      <c r="N67" s="4">
        <v>7.0430000000000001</v>
      </c>
      <c r="O67" s="4">
        <v>3.069</v>
      </c>
      <c r="P67" s="4">
        <v>6.8170000000000002</v>
      </c>
      <c r="Q67" s="4">
        <v>0.90600000000000003</v>
      </c>
      <c r="R67" s="4">
        <v>2.2490000000000001</v>
      </c>
      <c r="S67" s="4">
        <v>6.976</v>
      </c>
      <c r="T67" s="4">
        <v>6.2539999999999996</v>
      </c>
      <c r="U67" s="4">
        <v>7.1429999999999998</v>
      </c>
      <c r="V67" s="4">
        <v>5.7670000000000003</v>
      </c>
      <c r="W67" s="4">
        <v>6.2679999999999998</v>
      </c>
      <c r="X67" s="4">
        <v>8.1620000000000008</v>
      </c>
      <c r="Y67" s="4">
        <v>7.2480000000000002</v>
      </c>
      <c r="Z67" s="4">
        <v>4.2439999999999998</v>
      </c>
      <c r="AA67" s="4">
        <v>8.4640000000000004</v>
      </c>
      <c r="AB67" s="4">
        <v>3.3029999999999999</v>
      </c>
      <c r="AC67" s="4">
        <v>7.9589999999999996</v>
      </c>
      <c r="AD67" s="4">
        <v>5.0679999999999996</v>
      </c>
      <c r="AE67" s="4">
        <v>7.5270000000000001</v>
      </c>
      <c r="AF67" s="4">
        <v>6.3040000000000003</v>
      </c>
      <c r="AG67" s="4">
        <v>5.8890000000000002</v>
      </c>
      <c r="AH67" s="4">
        <v>6.1669999999999998</v>
      </c>
      <c r="AI67" s="4">
        <v>3.2919999999999998</v>
      </c>
      <c r="AJ67" s="4">
        <v>7.7359999999999998</v>
      </c>
      <c r="AK67" s="4">
        <v>7.6130000000000004</v>
      </c>
      <c r="AL67" s="4">
        <v>8.6029999999999998</v>
      </c>
      <c r="AM67" s="4">
        <v>6.508</v>
      </c>
      <c r="AN67" s="4">
        <v>6.702</v>
      </c>
      <c r="AO67" s="4">
        <v>7.1470000000000002</v>
      </c>
      <c r="AP67" s="4">
        <v>4.53</v>
      </c>
      <c r="AQ67" s="4">
        <v>3.0129999999999999</v>
      </c>
      <c r="AR67" s="4">
        <v>4.6139999999999999</v>
      </c>
      <c r="AS67" s="4">
        <v>7.032</v>
      </c>
      <c r="AT67" s="4">
        <v>6.5519999999999996</v>
      </c>
      <c r="AU67" s="4">
        <v>6.8209999999999997</v>
      </c>
      <c r="AV67" s="4">
        <v>6.5990000000000002</v>
      </c>
      <c r="AW67" s="4">
        <v>6.835</v>
      </c>
      <c r="AX67" s="4">
        <v>8.1310000000000002</v>
      </c>
      <c r="AY67" s="4">
        <v>7.4039999999999999</v>
      </c>
      <c r="AZ67" s="4">
        <v>6.4240000000000004</v>
      </c>
      <c r="BA67" s="4">
        <v>8.3030000000000008</v>
      </c>
      <c r="BB67" s="4">
        <v>7.234</v>
      </c>
      <c r="BC67" s="4">
        <v>7.5990000000000002</v>
      </c>
      <c r="BD67" s="4">
        <v>5.8259999999999996</v>
      </c>
      <c r="BE67" s="4">
        <v>7.2469999999999999</v>
      </c>
      <c r="BF67" s="4">
        <v>6.5510000000000002</v>
      </c>
      <c r="BG67" s="4">
        <v>5.9160000000000004</v>
      </c>
      <c r="BH67" s="4">
        <v>6.6820000000000004</v>
      </c>
      <c r="BI67" s="4">
        <v>6.484</v>
      </c>
      <c r="BJ67" s="4">
        <v>3.835</v>
      </c>
      <c r="BK67" s="4">
        <v>7.5910000000000002</v>
      </c>
      <c r="BL67" s="4">
        <v>3.601</v>
      </c>
      <c r="BM67" s="4">
        <v>2.6040000000000001</v>
      </c>
      <c r="BN67" s="4">
        <v>5.5570000000000004</v>
      </c>
      <c r="BO67" s="4">
        <v>1.786</v>
      </c>
      <c r="BP67" s="4">
        <v>5.5590000000000002</v>
      </c>
      <c r="BQ67" s="4">
        <v>7.5579999999999998</v>
      </c>
      <c r="BR67" s="4">
        <v>5.9649999999999999</v>
      </c>
      <c r="BS67" s="4">
        <v>8.9130000000000003</v>
      </c>
      <c r="BT67" s="4">
        <v>7.7030000000000003</v>
      </c>
      <c r="BU67" s="4">
        <v>7.5819999999999999</v>
      </c>
      <c r="BV67" s="4">
        <v>6.7629999999999999</v>
      </c>
      <c r="BW67" s="4">
        <v>6.3639999999999999</v>
      </c>
      <c r="BX67" s="4">
        <v>6.367</v>
      </c>
      <c r="BY67" s="4">
        <v>7.1689999999999996</v>
      </c>
      <c r="BZ67" s="4">
        <v>6.7839999999999998</v>
      </c>
      <c r="CA67" s="4">
        <v>8.5329999999999995</v>
      </c>
      <c r="CB67" s="4">
        <v>6.7380000000000004</v>
      </c>
      <c r="CC67" s="4">
        <v>4.04</v>
      </c>
      <c r="CD67" s="4">
        <v>5.4569999999999999</v>
      </c>
      <c r="CE67" s="4">
        <v>2.105</v>
      </c>
      <c r="CF67" s="4">
        <v>3.9649999999999999</v>
      </c>
      <c r="CG67" s="4">
        <v>8.6310000000000002</v>
      </c>
      <c r="CH67" s="4">
        <v>7.2919999999999998</v>
      </c>
      <c r="CI67" s="4">
        <v>6.1580000000000004</v>
      </c>
      <c r="CJ67" s="4">
        <v>2.3029999999999999</v>
      </c>
      <c r="CK67" s="4">
        <v>8.4700000000000006</v>
      </c>
      <c r="CL67" s="4">
        <v>5.3999999999999999E-2</v>
      </c>
      <c r="CM67" s="4">
        <v>6.6980000000000004</v>
      </c>
      <c r="CN67" s="4">
        <v>7.5140000000000002</v>
      </c>
      <c r="CO67" s="4">
        <v>6.6050000000000004</v>
      </c>
      <c r="CP67" s="4">
        <v>5.6829999999999998</v>
      </c>
      <c r="CQ67" s="4">
        <v>8.1039999999999992</v>
      </c>
      <c r="CR67" s="4">
        <v>6.3730000000000002</v>
      </c>
      <c r="CS67" s="4">
        <v>7.556</v>
      </c>
      <c r="CT67" s="4">
        <v>7.492</v>
      </c>
      <c r="CU67" s="4">
        <v>7.5679999999999996</v>
      </c>
      <c r="CV67" s="4">
        <v>6.2050000000000001</v>
      </c>
      <c r="CW67" s="4">
        <v>4.7930000000000001</v>
      </c>
      <c r="CX67" s="4">
        <v>6.1180000000000003</v>
      </c>
      <c r="CY67" s="4">
        <v>7.484</v>
      </c>
      <c r="CZ67" s="4">
        <v>7.0460000000000003</v>
      </c>
      <c r="DA67" s="4">
        <v>2.1379999999999999</v>
      </c>
      <c r="DB67" s="4">
        <v>7.0780000000000003</v>
      </c>
      <c r="DC67" s="4">
        <v>3.5470000000000002</v>
      </c>
      <c r="DD67" s="4">
        <v>2.5270000000000001</v>
      </c>
      <c r="DE67" s="4">
        <v>6.6689999999999996</v>
      </c>
      <c r="DF67" s="4">
        <v>0.66600000000000004</v>
      </c>
      <c r="DG67" s="4">
        <v>6.7050000000000001</v>
      </c>
      <c r="DH67" s="4">
        <v>7.4880000000000004</v>
      </c>
      <c r="DI67" s="4">
        <v>6.8810000000000002</v>
      </c>
      <c r="DJ67" s="4">
        <v>7.5149999999999997</v>
      </c>
      <c r="DK67" s="4">
        <v>7.2939999999999996</v>
      </c>
      <c r="DL67" s="4">
        <v>6.7009999999999996</v>
      </c>
      <c r="DM67" s="4">
        <v>8.4049999999999994</v>
      </c>
      <c r="DN67" s="4">
        <v>7.516</v>
      </c>
      <c r="DO67" s="4">
        <v>8.1229999999999993</v>
      </c>
      <c r="DP67" s="4">
        <v>0.86899999999999999</v>
      </c>
      <c r="DQ67" s="4">
        <v>5.88</v>
      </c>
      <c r="DR67" s="4">
        <v>8.0830000000000002</v>
      </c>
      <c r="DS67" s="4">
        <v>6.516</v>
      </c>
      <c r="DT67" s="4">
        <v>6.9130000000000003</v>
      </c>
      <c r="DU67" s="4">
        <v>6.298</v>
      </c>
      <c r="DV67" s="4">
        <v>4.3209999999999997</v>
      </c>
      <c r="DW67" s="4">
        <v>7.4509999999999996</v>
      </c>
      <c r="DX67" s="4">
        <v>7.3049999999999997</v>
      </c>
      <c r="DY67" s="4">
        <v>7.2640000000000002</v>
      </c>
      <c r="DZ67" s="4">
        <v>8.5090000000000003</v>
      </c>
      <c r="EA67" s="4">
        <v>8.74</v>
      </c>
      <c r="EB67" s="4">
        <v>6.9610000000000003</v>
      </c>
      <c r="EC67" s="4">
        <v>1.2050000000000001</v>
      </c>
      <c r="ED67" s="4">
        <v>8.1790000000000003</v>
      </c>
      <c r="EE67" s="4">
        <v>8.3019999999999996</v>
      </c>
      <c r="EF67" s="4">
        <v>7.2939999999999996</v>
      </c>
      <c r="EG67" s="4">
        <v>7.2160000000000002</v>
      </c>
      <c r="EH67" s="4">
        <v>5.4880000000000004</v>
      </c>
      <c r="EI67" s="4">
        <v>8.1869999999999994</v>
      </c>
      <c r="EJ67" s="4">
        <v>6.9950000000000001</v>
      </c>
      <c r="EK67" s="4">
        <v>6.4930000000000003</v>
      </c>
      <c r="EL67" s="4">
        <v>7.9539999999999997</v>
      </c>
      <c r="EM67" s="4">
        <v>7.6369999999999996</v>
      </c>
      <c r="EN67" s="4">
        <v>6.9109999999999996</v>
      </c>
      <c r="EO67" s="4">
        <v>6.7869999999999999</v>
      </c>
      <c r="EP67" s="4">
        <v>7.4989999999999997</v>
      </c>
      <c r="EQ67" s="4">
        <v>4.6150000000000002</v>
      </c>
      <c r="ER67" s="4">
        <v>8.5839999999999996</v>
      </c>
      <c r="ES67" s="4">
        <v>6.282</v>
      </c>
      <c r="ET67" s="4">
        <v>2.738</v>
      </c>
      <c r="EU67" s="4">
        <v>8.4239999999999995</v>
      </c>
      <c r="EV67" s="4">
        <v>3.17</v>
      </c>
      <c r="EW67" s="4">
        <v>8.2420000000000009</v>
      </c>
      <c r="EX67" s="4">
        <v>2.5089999999999999</v>
      </c>
      <c r="EY67" s="4">
        <v>6.5890000000000004</v>
      </c>
      <c r="EZ67" s="4">
        <v>8.6509999999999998</v>
      </c>
      <c r="FA67" s="4">
        <v>4.4269999999999996</v>
      </c>
      <c r="FB67" s="4">
        <v>7.6130000000000004</v>
      </c>
      <c r="FC67" s="4">
        <v>7.6429999999999998</v>
      </c>
      <c r="FD67" s="4">
        <v>6.4829999999999997</v>
      </c>
      <c r="FE67" s="4">
        <v>7.1509999999999998</v>
      </c>
      <c r="FF67" s="4">
        <v>7.0490000000000004</v>
      </c>
      <c r="FG67" s="4">
        <v>8.8019999999999996</v>
      </c>
      <c r="FH67" s="4">
        <v>6.165</v>
      </c>
      <c r="FI67" s="4">
        <v>4.9710000000000001</v>
      </c>
      <c r="FJ67" s="4">
        <v>6.6180000000000003</v>
      </c>
      <c r="FK67" s="4">
        <v>7.15</v>
      </c>
      <c r="FL67" s="4">
        <v>7.7619999999999996</v>
      </c>
      <c r="FM67" s="4">
        <v>6.7560000000000002</v>
      </c>
      <c r="FN67" s="4">
        <v>6.4889999999999999</v>
      </c>
      <c r="FO67" s="4">
        <v>6.5179999999999998</v>
      </c>
      <c r="FP67" s="4">
        <v>6.7839999999999998</v>
      </c>
      <c r="FQ67" s="4">
        <v>6.3419999999999996</v>
      </c>
      <c r="FR67" s="4">
        <v>4.7069999999999999</v>
      </c>
      <c r="FS67" s="4">
        <v>3.738</v>
      </c>
      <c r="FT67" s="4">
        <v>6.5620000000000003</v>
      </c>
      <c r="FU67" s="4">
        <v>5.359</v>
      </c>
      <c r="FV67" s="4">
        <v>2.99</v>
      </c>
      <c r="FW67" s="4">
        <v>6.5940000000000003</v>
      </c>
      <c r="FX67" s="4">
        <v>6.1689999999999996</v>
      </c>
      <c r="FY67" s="4">
        <v>6.2519999999999998</v>
      </c>
      <c r="FZ67" s="4">
        <v>4.931</v>
      </c>
      <c r="GA67" s="4">
        <v>5.1740000000000004</v>
      </c>
      <c r="GB67" s="4">
        <v>8.4949999999999992</v>
      </c>
      <c r="GC67" s="4">
        <v>6.9989999999999997</v>
      </c>
      <c r="GD67" s="4">
        <v>7.7119999999999997</v>
      </c>
      <c r="GE67" s="4">
        <v>7.4450000000000003</v>
      </c>
      <c r="GF67" s="4">
        <v>7.7859999999999996</v>
      </c>
      <c r="GG67" s="4">
        <v>3.9180000000000001</v>
      </c>
      <c r="GH67" s="4">
        <v>4.694</v>
      </c>
      <c r="GI67" s="4">
        <v>8.3339999999999996</v>
      </c>
      <c r="GJ67" s="4">
        <v>7.569</v>
      </c>
      <c r="GK67" s="4">
        <v>5.7270000000000003</v>
      </c>
      <c r="GL67" s="4">
        <v>5.9790000000000001</v>
      </c>
      <c r="GM67" s="3"/>
      <c r="GN67" s="4">
        <v>4.0339999999999998</v>
      </c>
      <c r="GO67" s="4">
        <v>5.5270000000000001</v>
      </c>
      <c r="GP67" s="4">
        <v>5.3120000000000003</v>
      </c>
      <c r="GQ67" s="4">
        <v>2.9329999999999998</v>
      </c>
      <c r="GR67" s="4">
        <v>3.0659999999999998</v>
      </c>
      <c r="GS67" s="4">
        <v>5.6769999999999996</v>
      </c>
      <c r="GT67" s="4">
        <v>2.2309999999999999</v>
      </c>
      <c r="GU67" s="4">
        <v>8.5510000000000002</v>
      </c>
      <c r="GV67" s="4">
        <v>3.6659999999999999</v>
      </c>
      <c r="GW67" s="4">
        <v>5.2050000000000001</v>
      </c>
      <c r="GX67" s="4">
        <v>-1.0149999999999999</v>
      </c>
      <c r="GY67" s="4">
        <v>3.5670000000000002</v>
      </c>
      <c r="GZ67" s="4">
        <v>7.5369999999999999</v>
      </c>
      <c r="HA67" s="4">
        <v>6.9820000000000002</v>
      </c>
      <c r="HB67" s="4">
        <v>6.3979999999999997</v>
      </c>
      <c r="HC67" s="4">
        <v>6.6619999999999999</v>
      </c>
      <c r="HD67" s="4">
        <v>3.653</v>
      </c>
      <c r="HE67" s="4">
        <v>5.8129999999999997</v>
      </c>
      <c r="HF67" s="4">
        <v>1.9219999999999999</v>
      </c>
      <c r="HG67" s="4">
        <v>7.5439999999999996</v>
      </c>
      <c r="HH67" s="4">
        <v>6.0449999999999999</v>
      </c>
      <c r="HI67" s="4">
        <v>6.6079999999999997</v>
      </c>
      <c r="HJ67" s="4">
        <v>6.6710000000000003</v>
      </c>
      <c r="HK67" s="4">
        <v>6.5289999999999999</v>
      </c>
      <c r="HL67" s="4">
        <v>7.5140000000000002</v>
      </c>
      <c r="HM67" s="4">
        <v>7.8360000000000003</v>
      </c>
      <c r="HN67" s="4">
        <v>3.9089999999999998</v>
      </c>
      <c r="HO67" s="4">
        <v>6.5830000000000002</v>
      </c>
      <c r="HP67" s="4">
        <v>7.1539999999999999</v>
      </c>
      <c r="HQ67" s="4">
        <v>7.6</v>
      </c>
      <c r="HR67" s="4">
        <v>5.3460000000000001</v>
      </c>
      <c r="HS67" s="4">
        <v>6.3550000000000004</v>
      </c>
      <c r="HT67" s="4">
        <v>4.7439999999999998</v>
      </c>
      <c r="HU67" s="4">
        <v>6.1429999999999998</v>
      </c>
      <c r="HV67" s="4">
        <v>6.43</v>
      </c>
      <c r="HW67" s="4">
        <v>4.0369999999999999</v>
      </c>
      <c r="HX67" s="4">
        <v>6.8760000000000003</v>
      </c>
      <c r="HY67" s="4">
        <v>6.9240000000000004</v>
      </c>
      <c r="HZ67" s="4">
        <v>7.2919999999999998</v>
      </c>
      <c r="IA67" s="4">
        <v>2.3220000000000001</v>
      </c>
      <c r="IB67" s="4">
        <v>8.0069999999999997</v>
      </c>
      <c r="IC67" s="4">
        <v>8.3819999999999997</v>
      </c>
      <c r="ID67" s="4">
        <v>8.3089999999999993</v>
      </c>
      <c r="IE67" s="4">
        <v>7.0359999999999996</v>
      </c>
      <c r="IF67" s="4">
        <v>6.6879999999999997</v>
      </c>
      <c r="IG67" s="4">
        <v>6.9450000000000003</v>
      </c>
      <c r="IH67" s="4">
        <v>1.528</v>
      </c>
      <c r="II67" s="4">
        <v>2.1970000000000001</v>
      </c>
      <c r="IJ67" s="4">
        <v>6.6310000000000002</v>
      </c>
      <c r="IK67" s="4">
        <v>8.3940000000000001</v>
      </c>
      <c r="IL67" s="4">
        <v>3.0920000000000001</v>
      </c>
      <c r="IM67" s="4">
        <v>6.9969999999999999</v>
      </c>
      <c r="IN67" s="4">
        <v>4.5640000000000001</v>
      </c>
      <c r="IO67" s="4">
        <v>6.7140000000000004</v>
      </c>
      <c r="IP67" s="4">
        <v>6.68</v>
      </c>
      <c r="IQ67" s="4">
        <v>8.2569999999999997</v>
      </c>
      <c r="IR67" s="4">
        <v>8.2409999999999997</v>
      </c>
      <c r="IS67" s="4">
        <v>2.7890000000000001</v>
      </c>
      <c r="IT67" s="4">
        <v>7.43</v>
      </c>
      <c r="IU67" s="4">
        <v>3.1219999999999999</v>
      </c>
      <c r="IV67" s="4">
        <v>6.5860000000000003</v>
      </c>
      <c r="IW67" s="4">
        <v>1.7529999999999999</v>
      </c>
      <c r="IX67" s="4">
        <v>8.1470000000000002</v>
      </c>
      <c r="IY67" s="4">
        <v>6.2009999999999996</v>
      </c>
      <c r="IZ67" s="4">
        <v>7.242</v>
      </c>
      <c r="JA67" s="4">
        <v>7.1769999999999996</v>
      </c>
      <c r="JB67" s="4">
        <v>6.0730000000000004</v>
      </c>
      <c r="JC67" s="4">
        <v>4.306</v>
      </c>
      <c r="JD67" s="4">
        <v>7.3470000000000004</v>
      </c>
      <c r="JE67" s="4">
        <v>8.3089999999999993</v>
      </c>
      <c r="JF67" s="4">
        <v>7.141</v>
      </c>
      <c r="JG67" s="4">
        <v>7.7389999999999999</v>
      </c>
      <c r="JH67" s="4">
        <v>6.7210000000000001</v>
      </c>
      <c r="JI67" s="4">
        <v>6.2510000000000003</v>
      </c>
      <c r="JJ67" s="4">
        <v>6.9269999999999996</v>
      </c>
      <c r="JK67" s="4">
        <v>7.3179999999999996</v>
      </c>
      <c r="JL67" s="4">
        <v>7.649</v>
      </c>
      <c r="JM67" s="4">
        <v>7.4089999999999998</v>
      </c>
      <c r="JN67" s="4">
        <v>5.5650000000000004</v>
      </c>
      <c r="JO67" s="4">
        <v>5.9530000000000003</v>
      </c>
      <c r="JP67" s="4">
        <v>7.9539999999999997</v>
      </c>
      <c r="JQ67" s="4">
        <v>7.7709999999999999</v>
      </c>
      <c r="JR67" s="4">
        <v>7.0679999999999996</v>
      </c>
      <c r="JS67" s="4">
        <v>3.9369999999999998</v>
      </c>
      <c r="JT67" s="4">
        <v>6.8380000000000001</v>
      </c>
      <c r="JU67" s="4">
        <v>6.6769999999999996</v>
      </c>
      <c r="JV67" s="4">
        <v>6.5640000000000001</v>
      </c>
      <c r="JW67" s="4">
        <v>7.0250000000000004</v>
      </c>
      <c r="JX67" s="4">
        <v>6.992</v>
      </c>
      <c r="JY67" s="4">
        <v>5.593</v>
      </c>
      <c r="JZ67" s="4">
        <v>5.9050000000000002</v>
      </c>
      <c r="KA67" s="4">
        <v>7.399</v>
      </c>
      <c r="KB67" s="4">
        <v>3.972</v>
      </c>
      <c r="KC67" s="4">
        <v>5.3220000000000001</v>
      </c>
      <c r="KD67" s="4">
        <v>7.77</v>
      </c>
      <c r="KE67" s="4">
        <v>8.3130000000000006</v>
      </c>
      <c r="KF67" s="4">
        <v>7.49</v>
      </c>
      <c r="KG67" s="4">
        <v>5.9290000000000003</v>
      </c>
      <c r="KH67" s="4">
        <v>7.516</v>
      </c>
      <c r="KI67" s="4">
        <v>6.9039999999999999</v>
      </c>
      <c r="KJ67" s="4">
        <v>5.4169999999999998</v>
      </c>
      <c r="KK67" s="4">
        <v>7.5730000000000004</v>
      </c>
      <c r="KL67" s="4">
        <v>6.4820000000000002</v>
      </c>
      <c r="KM67" s="4">
        <v>2.4129999999999998</v>
      </c>
      <c r="KN67" s="4">
        <v>6.0339999999999998</v>
      </c>
      <c r="KO67" s="4">
        <v>3.645</v>
      </c>
      <c r="KP67" s="4">
        <v>7.0490000000000004</v>
      </c>
      <c r="KQ67" s="4">
        <v>6.4850000000000003</v>
      </c>
      <c r="KR67" s="4">
        <v>6.2290000000000001</v>
      </c>
      <c r="KS67" s="4">
        <v>6.9729999999999999</v>
      </c>
    </row>
    <row r="68" spans="1:305" x14ac:dyDescent="0.25">
      <c r="A68" s="4">
        <v>2019</v>
      </c>
      <c r="B68" s="4">
        <v>5</v>
      </c>
      <c r="C68" s="4">
        <v>2.9209999999999998</v>
      </c>
      <c r="D68" s="4">
        <v>10.808999999999999</v>
      </c>
      <c r="E68" s="4">
        <v>10.029999999999999</v>
      </c>
      <c r="F68" s="4">
        <v>9.6809999999999992</v>
      </c>
      <c r="G68" s="4">
        <v>9.6690000000000005</v>
      </c>
      <c r="H68" s="4">
        <v>7.5060000000000002</v>
      </c>
      <c r="I68" s="4">
        <v>9.7420000000000009</v>
      </c>
      <c r="J68" s="4">
        <v>7.0410000000000004</v>
      </c>
      <c r="K68" s="4">
        <v>9.7520000000000007</v>
      </c>
      <c r="L68" s="4">
        <v>10.742000000000001</v>
      </c>
      <c r="M68" s="4">
        <v>7.282</v>
      </c>
      <c r="N68" s="4">
        <v>10.574999999999999</v>
      </c>
      <c r="O68" s="4">
        <v>4.8920000000000003</v>
      </c>
      <c r="P68" s="4">
        <v>8.9510000000000005</v>
      </c>
      <c r="Q68" s="4">
        <v>4.444</v>
      </c>
      <c r="R68" s="4">
        <v>5.0919999999999996</v>
      </c>
      <c r="S68" s="4">
        <v>9.3510000000000009</v>
      </c>
      <c r="T68" s="4">
        <v>9.4429999999999996</v>
      </c>
      <c r="U68" s="4">
        <v>9.7759999999999998</v>
      </c>
      <c r="V68" s="4">
        <v>10.055</v>
      </c>
      <c r="W68" s="4">
        <v>9.673</v>
      </c>
      <c r="X68" s="4">
        <v>10.484</v>
      </c>
      <c r="Y68" s="4">
        <v>9.7170000000000005</v>
      </c>
      <c r="Z68" s="4">
        <v>7.2270000000000003</v>
      </c>
      <c r="AA68" s="4">
        <v>10.837</v>
      </c>
      <c r="AB68" s="4">
        <v>7.306</v>
      </c>
      <c r="AC68" s="4">
        <v>9.6129999999999995</v>
      </c>
      <c r="AD68" s="4">
        <v>8.484</v>
      </c>
      <c r="AE68" s="4">
        <v>9.2050000000000001</v>
      </c>
      <c r="AF68" s="4">
        <v>10.430999999999999</v>
      </c>
      <c r="AG68" s="4">
        <v>9.0660000000000007</v>
      </c>
      <c r="AH68" s="4">
        <v>10.194000000000001</v>
      </c>
      <c r="AI68" s="4">
        <v>6.4589999999999996</v>
      </c>
      <c r="AJ68" s="4">
        <v>10.269</v>
      </c>
      <c r="AK68" s="4">
        <v>10.708</v>
      </c>
      <c r="AL68" s="4">
        <v>11.352</v>
      </c>
      <c r="AM68" s="4">
        <v>8.9339999999999993</v>
      </c>
      <c r="AN68" s="4">
        <v>10.592000000000001</v>
      </c>
      <c r="AO68" s="4">
        <v>9.7520000000000007</v>
      </c>
      <c r="AP68" s="4">
        <v>8.15</v>
      </c>
      <c r="AQ68" s="4">
        <v>6.4610000000000003</v>
      </c>
      <c r="AR68" s="4">
        <v>7.9480000000000004</v>
      </c>
      <c r="AS68" s="4">
        <v>9.5830000000000002</v>
      </c>
      <c r="AT68" s="4">
        <v>9.3759999999999994</v>
      </c>
      <c r="AU68" s="4">
        <v>10.103</v>
      </c>
      <c r="AV68" s="4">
        <v>10.393000000000001</v>
      </c>
      <c r="AW68" s="4">
        <v>10.531000000000001</v>
      </c>
      <c r="AX68" s="4">
        <v>10.76</v>
      </c>
      <c r="AY68" s="4">
        <v>9.8079999999999998</v>
      </c>
      <c r="AZ68" s="4">
        <v>9.7040000000000006</v>
      </c>
      <c r="BA68" s="4">
        <v>10.435</v>
      </c>
      <c r="BB68" s="4">
        <v>9.266</v>
      </c>
      <c r="BC68" s="4">
        <v>10.561999999999999</v>
      </c>
      <c r="BD68" s="4">
        <v>9.2270000000000003</v>
      </c>
      <c r="BE68" s="4">
        <v>9.6649999999999991</v>
      </c>
      <c r="BF68" s="4">
        <v>8.9819999999999993</v>
      </c>
      <c r="BG68" s="4">
        <v>9.2949999999999999</v>
      </c>
      <c r="BH68" s="4">
        <v>10.26</v>
      </c>
      <c r="BI68" s="4">
        <v>10.407999999999999</v>
      </c>
      <c r="BJ68" s="4">
        <v>5.8550000000000004</v>
      </c>
      <c r="BK68" s="4">
        <v>9.8670000000000009</v>
      </c>
      <c r="BL68" s="4">
        <v>6.4530000000000003</v>
      </c>
      <c r="BM68" s="4">
        <v>5.6749999999999998</v>
      </c>
      <c r="BN68" s="4">
        <v>8.5340000000000007</v>
      </c>
      <c r="BO68" s="4">
        <v>5.0650000000000004</v>
      </c>
      <c r="BP68" s="4">
        <v>8.6310000000000002</v>
      </c>
      <c r="BQ68" s="4">
        <v>9.5719999999999992</v>
      </c>
      <c r="BR68" s="4">
        <v>10.194000000000001</v>
      </c>
      <c r="BS68" s="4">
        <v>10.465</v>
      </c>
      <c r="BT68" s="4">
        <v>10.105</v>
      </c>
      <c r="BU68" s="4">
        <v>9.9789999999999992</v>
      </c>
      <c r="BV68" s="4">
        <v>10.641999999999999</v>
      </c>
      <c r="BW68" s="4">
        <v>8.8160000000000007</v>
      </c>
      <c r="BX68" s="4">
        <v>9.0280000000000005</v>
      </c>
      <c r="BY68" s="4">
        <v>9.9949999999999992</v>
      </c>
      <c r="BZ68" s="4">
        <v>10.366</v>
      </c>
      <c r="CA68" s="4">
        <v>10.647</v>
      </c>
      <c r="CB68" s="4">
        <v>8.9529999999999994</v>
      </c>
      <c r="CC68" s="4">
        <v>7.2279999999999998</v>
      </c>
      <c r="CD68" s="4">
        <v>9.6940000000000008</v>
      </c>
      <c r="CE68" s="4">
        <v>6.7880000000000003</v>
      </c>
      <c r="CF68" s="4">
        <v>7.3520000000000003</v>
      </c>
      <c r="CG68" s="4">
        <v>10.135</v>
      </c>
      <c r="CH68" s="4">
        <v>9.98</v>
      </c>
      <c r="CI68" s="4">
        <v>9.4600000000000009</v>
      </c>
      <c r="CJ68" s="4">
        <v>5.4290000000000003</v>
      </c>
      <c r="CK68" s="4">
        <v>10.968999999999999</v>
      </c>
      <c r="CL68" s="4">
        <v>3.5409999999999999</v>
      </c>
      <c r="CM68" s="4">
        <v>10.275</v>
      </c>
      <c r="CN68" s="4">
        <v>9.6769999999999996</v>
      </c>
      <c r="CO68" s="4">
        <v>9.2430000000000003</v>
      </c>
      <c r="CP68" s="4">
        <v>8.8390000000000004</v>
      </c>
      <c r="CQ68" s="4">
        <v>10.78</v>
      </c>
      <c r="CR68" s="4">
        <v>10.51</v>
      </c>
      <c r="CS68" s="4">
        <v>10.252000000000001</v>
      </c>
      <c r="CT68" s="4">
        <v>10.122</v>
      </c>
      <c r="CU68" s="4">
        <v>10.037000000000001</v>
      </c>
      <c r="CV68" s="4">
        <v>10.201000000000001</v>
      </c>
      <c r="CW68" s="4">
        <v>8.1880000000000006</v>
      </c>
      <c r="CX68" s="4">
        <v>10.157</v>
      </c>
      <c r="CY68" s="4">
        <v>9.6349999999999998</v>
      </c>
      <c r="CZ68" s="4">
        <v>10.823</v>
      </c>
      <c r="DA68" s="4">
        <v>5.6619999999999999</v>
      </c>
      <c r="DB68" s="4">
        <v>9.6379999999999999</v>
      </c>
      <c r="DC68" s="4">
        <v>7.4080000000000004</v>
      </c>
      <c r="DD68" s="4">
        <v>6.7480000000000002</v>
      </c>
      <c r="DE68" s="4">
        <v>10.589</v>
      </c>
      <c r="DF68" s="4">
        <v>4.5869999999999997</v>
      </c>
      <c r="DG68" s="4">
        <v>9.5359999999999996</v>
      </c>
      <c r="DH68" s="4">
        <v>10.53</v>
      </c>
      <c r="DI68" s="4">
        <v>9.4600000000000009</v>
      </c>
      <c r="DJ68" s="4">
        <v>10.667</v>
      </c>
      <c r="DK68" s="4">
        <v>9.4550000000000001</v>
      </c>
      <c r="DL68" s="4">
        <v>10.430999999999999</v>
      </c>
      <c r="DM68" s="4">
        <v>11.143000000000001</v>
      </c>
      <c r="DN68" s="4">
        <v>9.7460000000000004</v>
      </c>
      <c r="DO68" s="4">
        <v>9.8070000000000004</v>
      </c>
      <c r="DP68" s="4">
        <v>4.6340000000000003</v>
      </c>
      <c r="DQ68" s="4">
        <v>9.7949999999999999</v>
      </c>
      <c r="DR68" s="4">
        <v>10.500999999999999</v>
      </c>
      <c r="DS68" s="4">
        <v>10.292</v>
      </c>
      <c r="DT68" s="4">
        <v>10.509</v>
      </c>
      <c r="DU68" s="4">
        <v>8.8469999999999995</v>
      </c>
      <c r="DV68" s="4">
        <v>7.78</v>
      </c>
      <c r="DW68" s="4">
        <v>10.718</v>
      </c>
      <c r="DX68" s="4">
        <v>9.6929999999999996</v>
      </c>
      <c r="DY68" s="4">
        <v>10.081</v>
      </c>
      <c r="DZ68" s="4">
        <v>10.159000000000001</v>
      </c>
      <c r="EA68" s="4">
        <v>10.384</v>
      </c>
      <c r="EB68" s="4">
        <v>10.616</v>
      </c>
      <c r="EC68" s="4">
        <v>4.6849999999999996</v>
      </c>
      <c r="ED68" s="4">
        <v>10.618</v>
      </c>
      <c r="EE68" s="4">
        <v>11.018000000000001</v>
      </c>
      <c r="EF68" s="4">
        <v>9.8369999999999997</v>
      </c>
      <c r="EG68" s="4">
        <v>9.907</v>
      </c>
      <c r="EH68" s="4">
        <v>8.5289999999999999</v>
      </c>
      <c r="EI68" s="4">
        <v>9.8469999999999995</v>
      </c>
      <c r="EJ68" s="4">
        <v>9.9060000000000006</v>
      </c>
      <c r="EK68" s="4">
        <v>10.456</v>
      </c>
      <c r="EL68" s="4">
        <v>10.271000000000001</v>
      </c>
      <c r="EM68" s="4">
        <v>9.8309999999999995</v>
      </c>
      <c r="EN68" s="4">
        <v>9.6750000000000007</v>
      </c>
      <c r="EO68" s="4">
        <v>10.442</v>
      </c>
      <c r="EP68" s="4">
        <v>9.7140000000000004</v>
      </c>
      <c r="EQ68" s="4">
        <v>8.0540000000000003</v>
      </c>
      <c r="ER68" s="4">
        <v>11.343999999999999</v>
      </c>
      <c r="ES68" s="4">
        <v>9.19</v>
      </c>
      <c r="ET68" s="4">
        <v>6.77</v>
      </c>
      <c r="EU68" s="4">
        <v>11.156000000000001</v>
      </c>
      <c r="EV68" s="4">
        <v>6.83</v>
      </c>
      <c r="EW68" s="4">
        <v>10.374000000000001</v>
      </c>
      <c r="EX68" s="4">
        <v>5.5830000000000002</v>
      </c>
      <c r="EY68" s="4">
        <v>9.7509999999999994</v>
      </c>
      <c r="EZ68" s="4">
        <v>11.361000000000001</v>
      </c>
      <c r="FA68" s="4">
        <v>7.4550000000000001</v>
      </c>
      <c r="FB68" s="4">
        <v>10.226000000000001</v>
      </c>
      <c r="FC68" s="4">
        <v>9.9009999999999998</v>
      </c>
      <c r="FD68" s="4">
        <v>10.118</v>
      </c>
      <c r="FE68" s="4">
        <v>9.7129999999999992</v>
      </c>
      <c r="FF68" s="4">
        <v>10.210000000000001</v>
      </c>
      <c r="FG68" s="4">
        <v>10.321</v>
      </c>
      <c r="FH68" s="4">
        <v>10.387</v>
      </c>
      <c r="FI68" s="4">
        <v>8.5510000000000002</v>
      </c>
      <c r="FJ68" s="4">
        <v>10.545</v>
      </c>
      <c r="FK68" s="4">
        <v>10.170999999999999</v>
      </c>
      <c r="FL68" s="4">
        <v>10.036</v>
      </c>
      <c r="FM68" s="4">
        <v>8.9320000000000004</v>
      </c>
      <c r="FN68" s="4">
        <v>10.448</v>
      </c>
      <c r="FO68" s="4">
        <v>9.0530000000000008</v>
      </c>
      <c r="FP68" s="4">
        <v>9.407</v>
      </c>
      <c r="FQ68" s="4">
        <v>9.6609999999999996</v>
      </c>
      <c r="FR68" s="4">
        <v>7.8319999999999999</v>
      </c>
      <c r="FS68" s="4">
        <v>7.758</v>
      </c>
      <c r="FT68" s="4">
        <v>10.311999999999999</v>
      </c>
      <c r="FU68" s="4">
        <v>9.3469999999999995</v>
      </c>
      <c r="FV68" s="4">
        <v>6.1749999999999998</v>
      </c>
      <c r="FW68" s="4">
        <v>10.53</v>
      </c>
      <c r="FX68" s="4">
        <v>10.134</v>
      </c>
      <c r="FY68" s="4">
        <v>10.337</v>
      </c>
      <c r="FZ68" s="4">
        <v>9.1020000000000003</v>
      </c>
      <c r="GA68" s="4">
        <v>8.3249999999999993</v>
      </c>
      <c r="GB68" s="4">
        <v>10.308999999999999</v>
      </c>
      <c r="GC68" s="4">
        <v>9.6989999999999998</v>
      </c>
      <c r="GD68" s="4">
        <v>10.391</v>
      </c>
      <c r="GE68" s="4">
        <v>10.157999999999999</v>
      </c>
      <c r="GF68" s="4">
        <v>10.122999999999999</v>
      </c>
      <c r="GG68" s="4">
        <v>7.6619999999999999</v>
      </c>
      <c r="GH68" s="4">
        <v>8.2330000000000005</v>
      </c>
      <c r="GI68" s="4">
        <v>10.316000000000001</v>
      </c>
      <c r="GJ68" s="4">
        <v>9.9380000000000006</v>
      </c>
      <c r="GK68" s="4">
        <v>10.111000000000001</v>
      </c>
      <c r="GL68" s="4">
        <v>10.019</v>
      </c>
      <c r="GM68" s="3"/>
      <c r="GN68" s="4">
        <v>6.351</v>
      </c>
      <c r="GO68" s="4">
        <v>8.9619999999999997</v>
      </c>
      <c r="GP68" s="4">
        <v>8.1199999999999992</v>
      </c>
      <c r="GQ68" s="4">
        <v>7.1459999999999999</v>
      </c>
      <c r="GR68" s="4">
        <v>7.1079999999999997</v>
      </c>
      <c r="GS68" s="4">
        <v>9.5440000000000005</v>
      </c>
      <c r="GT68" s="4">
        <v>6.0069999999999997</v>
      </c>
      <c r="GU68" s="4">
        <v>10.119999999999999</v>
      </c>
      <c r="GV68" s="4">
        <v>6.9980000000000002</v>
      </c>
      <c r="GW68" s="4">
        <v>8.2919999999999998</v>
      </c>
      <c r="GX68" s="4">
        <v>2.5219999999999998</v>
      </c>
      <c r="GY68" s="4">
        <v>7.39</v>
      </c>
      <c r="GZ68" s="4">
        <v>10.545999999999999</v>
      </c>
      <c r="HA68" s="4">
        <v>9.7330000000000005</v>
      </c>
      <c r="HB68" s="4">
        <v>9.8940000000000001</v>
      </c>
      <c r="HC68" s="4">
        <v>10.592000000000001</v>
      </c>
      <c r="HD68" s="4">
        <v>5.9980000000000002</v>
      </c>
      <c r="HE68" s="4">
        <v>9.218</v>
      </c>
      <c r="HF68" s="4">
        <v>5.7690000000000001</v>
      </c>
      <c r="HG68" s="4">
        <v>9.9600000000000009</v>
      </c>
      <c r="HH68" s="4">
        <v>9.2650000000000006</v>
      </c>
      <c r="HI68" s="4">
        <v>9.2569999999999997</v>
      </c>
      <c r="HJ68" s="4">
        <v>10.484</v>
      </c>
      <c r="HK68" s="4">
        <v>9.7249999999999996</v>
      </c>
      <c r="HL68" s="4">
        <v>10.164999999999999</v>
      </c>
      <c r="HM68" s="4">
        <v>9.9640000000000004</v>
      </c>
      <c r="HN68" s="4">
        <v>7.4359999999999999</v>
      </c>
      <c r="HO68" s="4">
        <v>9.5540000000000003</v>
      </c>
      <c r="HP68" s="4">
        <v>9.6989999999999998</v>
      </c>
      <c r="HQ68" s="4">
        <v>10.356999999999999</v>
      </c>
      <c r="HR68" s="4">
        <v>8.3710000000000004</v>
      </c>
      <c r="HS68" s="4">
        <v>9.4269999999999996</v>
      </c>
      <c r="HT68" s="4">
        <v>7.9909999999999997</v>
      </c>
      <c r="HU68" s="4">
        <v>10.23</v>
      </c>
      <c r="HV68" s="4">
        <v>10.448</v>
      </c>
      <c r="HW68" s="4">
        <v>7.6059999999999999</v>
      </c>
      <c r="HX68" s="4">
        <v>10.688000000000001</v>
      </c>
      <c r="HY68" s="4">
        <v>10.739000000000001</v>
      </c>
      <c r="HZ68" s="4">
        <v>10.507</v>
      </c>
      <c r="IA68" s="4">
        <v>5.64</v>
      </c>
      <c r="IB68" s="4">
        <v>10.242000000000001</v>
      </c>
      <c r="IC68" s="4">
        <v>11.08</v>
      </c>
      <c r="ID68" s="4">
        <v>10.035</v>
      </c>
      <c r="IE68" s="4">
        <v>10.811999999999999</v>
      </c>
      <c r="IF68" s="4">
        <v>10.563000000000001</v>
      </c>
      <c r="IG68" s="4">
        <v>9.4120000000000008</v>
      </c>
      <c r="IH68" s="4">
        <v>3.7570000000000001</v>
      </c>
      <c r="II68" s="4">
        <v>5.5570000000000004</v>
      </c>
      <c r="IJ68" s="4">
        <v>10.585000000000001</v>
      </c>
      <c r="IK68" s="4">
        <v>10.513</v>
      </c>
      <c r="IL68" s="4">
        <v>6.31</v>
      </c>
      <c r="IM68" s="4">
        <v>10.782999999999999</v>
      </c>
      <c r="IN68" s="4">
        <v>7.8440000000000003</v>
      </c>
      <c r="IO68" s="4">
        <v>8.9779999999999998</v>
      </c>
      <c r="IP68" s="4">
        <v>10.163</v>
      </c>
      <c r="IQ68" s="4">
        <v>10.805999999999999</v>
      </c>
      <c r="IR68" s="4">
        <v>10.984999999999999</v>
      </c>
      <c r="IS68" s="4">
        <v>6.4249999999999998</v>
      </c>
      <c r="IT68" s="4">
        <v>9.3949999999999996</v>
      </c>
      <c r="IU68" s="4">
        <v>6.4109999999999996</v>
      </c>
      <c r="IV68" s="4">
        <v>10.492000000000001</v>
      </c>
      <c r="IW68" s="4">
        <v>4.444</v>
      </c>
      <c r="IX68" s="4">
        <v>10.295999999999999</v>
      </c>
      <c r="IY68" s="4">
        <v>9.7590000000000003</v>
      </c>
      <c r="IZ68" s="4">
        <v>9.9740000000000002</v>
      </c>
      <c r="JA68" s="4">
        <v>9.5510000000000002</v>
      </c>
      <c r="JB68" s="4">
        <v>9.3070000000000004</v>
      </c>
      <c r="JC68" s="4">
        <v>7.8689999999999998</v>
      </c>
      <c r="JD68" s="4">
        <v>10.106</v>
      </c>
      <c r="JE68" s="4">
        <v>10.122999999999999</v>
      </c>
      <c r="JF68" s="4">
        <v>10.034000000000001</v>
      </c>
      <c r="JG68" s="4">
        <v>10.324</v>
      </c>
      <c r="JH68" s="4">
        <v>10.637</v>
      </c>
      <c r="JI68" s="4">
        <v>8.9179999999999993</v>
      </c>
      <c r="JJ68" s="4">
        <v>9.7330000000000005</v>
      </c>
      <c r="JK68" s="4">
        <v>9.3889999999999993</v>
      </c>
      <c r="JL68" s="4">
        <v>10.638</v>
      </c>
      <c r="JM68" s="4">
        <v>9.8650000000000002</v>
      </c>
      <c r="JN68" s="4">
        <v>9.8059999999999992</v>
      </c>
      <c r="JO68" s="4">
        <v>10.028</v>
      </c>
      <c r="JP68" s="4">
        <v>10.131</v>
      </c>
      <c r="JQ68" s="4">
        <v>9.7550000000000008</v>
      </c>
      <c r="JR68" s="4">
        <v>9.0459999999999994</v>
      </c>
      <c r="JS68" s="4">
        <v>7.8559999999999999</v>
      </c>
      <c r="JT68" s="4">
        <v>10.712</v>
      </c>
      <c r="JU68" s="4">
        <v>10.512</v>
      </c>
      <c r="JV68" s="4">
        <v>10.215999999999999</v>
      </c>
      <c r="JW68" s="4">
        <v>9.9209999999999994</v>
      </c>
      <c r="JX68" s="4">
        <v>9.4979999999999993</v>
      </c>
      <c r="JY68" s="4">
        <v>10.013</v>
      </c>
      <c r="JZ68" s="4">
        <v>9.8710000000000004</v>
      </c>
      <c r="KA68" s="4">
        <v>9.8450000000000006</v>
      </c>
      <c r="KB68" s="4">
        <v>7.59</v>
      </c>
      <c r="KC68" s="4">
        <v>8.2170000000000005</v>
      </c>
      <c r="KD68" s="4">
        <v>9.9600000000000009</v>
      </c>
      <c r="KE68" s="4">
        <v>10.372999999999999</v>
      </c>
      <c r="KF68" s="4">
        <v>9.5670000000000002</v>
      </c>
      <c r="KG68" s="4">
        <v>9.9979999999999993</v>
      </c>
      <c r="KH68" s="4">
        <v>9.8010000000000002</v>
      </c>
      <c r="KI68" s="4">
        <v>10.568</v>
      </c>
      <c r="KJ68" s="4">
        <v>9.984</v>
      </c>
      <c r="KK68" s="4">
        <v>9.8490000000000002</v>
      </c>
      <c r="KL68" s="4">
        <v>9.5229999999999997</v>
      </c>
      <c r="KM68" s="4">
        <v>5.9240000000000004</v>
      </c>
      <c r="KN68" s="4">
        <v>10.087</v>
      </c>
      <c r="KO68" s="4">
        <v>7.1070000000000002</v>
      </c>
      <c r="KP68" s="4">
        <v>10.465</v>
      </c>
      <c r="KQ68" s="4">
        <v>10.005000000000001</v>
      </c>
      <c r="KR68" s="4">
        <v>9.4619999999999997</v>
      </c>
      <c r="KS68" s="4">
        <v>9.9109999999999996</v>
      </c>
    </row>
    <row r="69" spans="1:305" x14ac:dyDescent="0.25">
      <c r="A69" s="4">
        <v>2019</v>
      </c>
      <c r="B69" s="4">
        <v>6</v>
      </c>
      <c r="C69" s="4">
        <v>8.532</v>
      </c>
      <c r="D69" s="4">
        <v>18.128</v>
      </c>
      <c r="E69" s="4">
        <v>16.527000000000001</v>
      </c>
      <c r="F69" s="4">
        <v>16.481999999999999</v>
      </c>
      <c r="G69" s="4">
        <v>17.14</v>
      </c>
      <c r="H69" s="4">
        <v>14.438000000000001</v>
      </c>
      <c r="I69" s="4">
        <v>17.387</v>
      </c>
      <c r="J69" s="4">
        <v>14.276</v>
      </c>
      <c r="K69" s="4">
        <v>15.698</v>
      </c>
      <c r="L69" s="4">
        <v>17.838000000000001</v>
      </c>
      <c r="M69" s="4">
        <v>14.282</v>
      </c>
      <c r="N69" s="4">
        <v>17.323</v>
      </c>
      <c r="O69" s="4">
        <v>11.365</v>
      </c>
      <c r="P69" s="4">
        <v>15.032999999999999</v>
      </c>
      <c r="Q69" s="4">
        <v>11.287000000000001</v>
      </c>
      <c r="R69" s="4">
        <v>12.307</v>
      </c>
      <c r="S69" s="4">
        <v>15.638999999999999</v>
      </c>
      <c r="T69" s="4">
        <v>17.462</v>
      </c>
      <c r="U69" s="4">
        <v>16.655000000000001</v>
      </c>
      <c r="V69" s="4">
        <v>17.946000000000002</v>
      </c>
      <c r="W69" s="4">
        <v>16.692</v>
      </c>
      <c r="X69" s="4">
        <v>17.613</v>
      </c>
      <c r="Y69" s="4">
        <v>15.753</v>
      </c>
      <c r="Z69" s="4">
        <v>13.901999999999999</v>
      </c>
      <c r="AA69" s="4">
        <v>18.033000000000001</v>
      </c>
      <c r="AB69" s="4">
        <v>14.478999999999999</v>
      </c>
      <c r="AC69" s="4">
        <v>16.574000000000002</v>
      </c>
      <c r="AD69" s="4">
        <v>15.984</v>
      </c>
      <c r="AE69" s="4">
        <v>16.436</v>
      </c>
      <c r="AF69" s="4">
        <v>18.050999999999998</v>
      </c>
      <c r="AG69" s="4">
        <v>16.343</v>
      </c>
      <c r="AH69" s="4">
        <v>17.687999999999999</v>
      </c>
      <c r="AI69" s="4">
        <v>13.445</v>
      </c>
      <c r="AJ69" s="4">
        <v>17.45</v>
      </c>
      <c r="AK69" s="4">
        <v>17.699000000000002</v>
      </c>
      <c r="AL69" s="4">
        <v>18.623000000000001</v>
      </c>
      <c r="AM69" s="4">
        <v>15.208</v>
      </c>
      <c r="AN69" s="4">
        <v>18.13</v>
      </c>
      <c r="AO69" s="4">
        <v>16.422000000000001</v>
      </c>
      <c r="AP69" s="4">
        <v>15.302</v>
      </c>
      <c r="AQ69" s="4">
        <v>13.31</v>
      </c>
      <c r="AR69" s="4">
        <v>15.19</v>
      </c>
      <c r="AS69" s="4">
        <v>15.446</v>
      </c>
      <c r="AT69" s="4">
        <v>17.131</v>
      </c>
      <c r="AU69" s="4">
        <v>17.751000000000001</v>
      </c>
      <c r="AV69" s="4">
        <v>17.262</v>
      </c>
      <c r="AW69" s="4">
        <v>17.372</v>
      </c>
      <c r="AX69" s="4">
        <v>18.138000000000002</v>
      </c>
      <c r="AY69" s="4">
        <v>16.378</v>
      </c>
      <c r="AZ69" s="4">
        <v>16.509</v>
      </c>
      <c r="BA69" s="4">
        <v>17.041</v>
      </c>
      <c r="BB69" s="4">
        <v>16.283000000000001</v>
      </c>
      <c r="BC69" s="4">
        <v>16.695</v>
      </c>
      <c r="BD69" s="4">
        <v>16.530999999999999</v>
      </c>
      <c r="BE69" s="4">
        <v>15.590999999999999</v>
      </c>
      <c r="BF69" s="4">
        <v>15.749000000000001</v>
      </c>
      <c r="BG69" s="4">
        <v>16.885000000000002</v>
      </c>
      <c r="BH69" s="4">
        <v>17.423999999999999</v>
      </c>
      <c r="BI69" s="4">
        <v>17.381</v>
      </c>
      <c r="BJ69" s="4">
        <v>12.333</v>
      </c>
      <c r="BK69" s="4">
        <v>16.486999999999998</v>
      </c>
      <c r="BL69" s="4">
        <v>13.305</v>
      </c>
      <c r="BM69" s="4">
        <v>12.731</v>
      </c>
      <c r="BN69" s="4">
        <v>15.757</v>
      </c>
      <c r="BO69" s="4">
        <v>11.592000000000001</v>
      </c>
      <c r="BP69" s="4">
        <v>16.556999999999999</v>
      </c>
      <c r="BQ69" s="4">
        <v>16.922000000000001</v>
      </c>
      <c r="BR69" s="4">
        <v>17.597000000000001</v>
      </c>
      <c r="BS69" s="4">
        <v>16.920999999999999</v>
      </c>
      <c r="BT69" s="4">
        <v>16.626999999999999</v>
      </c>
      <c r="BU69" s="4">
        <v>16.294</v>
      </c>
      <c r="BV69" s="4">
        <v>17.928999999999998</v>
      </c>
      <c r="BW69" s="4">
        <v>15.686999999999999</v>
      </c>
      <c r="BX69" s="4">
        <v>15.867000000000001</v>
      </c>
      <c r="BY69" s="4">
        <v>16.710999999999999</v>
      </c>
      <c r="BZ69" s="4">
        <v>17.077000000000002</v>
      </c>
      <c r="CA69" s="4">
        <v>17.591000000000001</v>
      </c>
      <c r="CB69" s="4">
        <v>14.845000000000001</v>
      </c>
      <c r="CC69" s="4">
        <v>14.012</v>
      </c>
      <c r="CD69" s="4">
        <v>16.898</v>
      </c>
      <c r="CE69" s="4">
        <v>13.016</v>
      </c>
      <c r="CF69" s="4">
        <v>14.006</v>
      </c>
      <c r="CG69" s="4">
        <v>16.829000000000001</v>
      </c>
      <c r="CH69" s="4">
        <v>17.157</v>
      </c>
      <c r="CI69" s="4">
        <v>16.581</v>
      </c>
      <c r="CJ69" s="4">
        <v>12.491</v>
      </c>
      <c r="CK69" s="4">
        <v>18.010999999999999</v>
      </c>
      <c r="CL69" s="4">
        <v>9.4450000000000003</v>
      </c>
      <c r="CM69" s="4">
        <v>17.689</v>
      </c>
      <c r="CN69" s="4">
        <v>16.454999999999998</v>
      </c>
      <c r="CO69" s="4">
        <v>15.728999999999999</v>
      </c>
      <c r="CP69" s="4">
        <v>16.213999999999999</v>
      </c>
      <c r="CQ69" s="4">
        <v>17.547000000000001</v>
      </c>
      <c r="CR69" s="4">
        <v>18.559999999999999</v>
      </c>
      <c r="CS69" s="4">
        <v>17.782</v>
      </c>
      <c r="CT69" s="4">
        <v>17.811</v>
      </c>
      <c r="CU69" s="4">
        <v>16.638999999999999</v>
      </c>
      <c r="CV69" s="4">
        <v>17.62</v>
      </c>
      <c r="CW69" s="4">
        <v>15.288</v>
      </c>
      <c r="CX69" s="4">
        <v>18.084</v>
      </c>
      <c r="CY69" s="4">
        <v>16.861999999999998</v>
      </c>
      <c r="CZ69" s="4">
        <v>18.303000000000001</v>
      </c>
      <c r="DA69" s="4">
        <v>12.906000000000001</v>
      </c>
      <c r="DB69" s="4">
        <v>17.260000000000002</v>
      </c>
      <c r="DC69" s="4">
        <v>14.308</v>
      </c>
      <c r="DD69" s="4">
        <v>13.34</v>
      </c>
      <c r="DE69" s="4">
        <v>18.059000000000001</v>
      </c>
      <c r="DF69" s="4">
        <v>10.566000000000001</v>
      </c>
      <c r="DG69" s="4">
        <v>16.033999999999999</v>
      </c>
      <c r="DH69" s="4">
        <v>17.38</v>
      </c>
      <c r="DI69" s="4">
        <v>16.087</v>
      </c>
      <c r="DJ69" s="4">
        <v>17.725000000000001</v>
      </c>
      <c r="DK69" s="4">
        <v>15.577</v>
      </c>
      <c r="DL69" s="4">
        <v>17.364000000000001</v>
      </c>
      <c r="DM69" s="4">
        <v>18.324999999999999</v>
      </c>
      <c r="DN69" s="4">
        <v>16.306999999999999</v>
      </c>
      <c r="DO69" s="4">
        <v>16.994</v>
      </c>
      <c r="DP69" s="4">
        <v>10.702999999999999</v>
      </c>
      <c r="DQ69" s="4">
        <v>17.68</v>
      </c>
      <c r="DR69" s="4">
        <v>17.722000000000001</v>
      </c>
      <c r="DS69" s="4">
        <v>17.577999999999999</v>
      </c>
      <c r="DT69" s="4">
        <v>17.213999999999999</v>
      </c>
      <c r="DU69" s="4">
        <v>15.818</v>
      </c>
      <c r="DV69" s="4">
        <v>14.834</v>
      </c>
      <c r="DW69" s="4">
        <v>17.917000000000002</v>
      </c>
      <c r="DX69" s="4">
        <v>15.875999999999999</v>
      </c>
      <c r="DY69" s="4">
        <v>16.702999999999999</v>
      </c>
      <c r="DZ69" s="4">
        <v>16.561</v>
      </c>
      <c r="EA69" s="4">
        <v>16.991</v>
      </c>
      <c r="EB69" s="4">
        <v>17.311</v>
      </c>
      <c r="EC69" s="4">
        <v>10.678000000000001</v>
      </c>
      <c r="ED69" s="4">
        <v>17.742000000000001</v>
      </c>
      <c r="EE69" s="4">
        <v>17.960999999999999</v>
      </c>
      <c r="EF69" s="4">
        <v>16.619</v>
      </c>
      <c r="EG69" s="4">
        <v>16.553000000000001</v>
      </c>
      <c r="EH69" s="4">
        <v>15.677</v>
      </c>
      <c r="EI69" s="4">
        <v>16.535</v>
      </c>
      <c r="EJ69" s="4">
        <v>17.555</v>
      </c>
      <c r="EK69" s="4">
        <v>17.972999999999999</v>
      </c>
      <c r="EL69" s="4">
        <v>16.539000000000001</v>
      </c>
      <c r="EM69" s="4">
        <v>16.242999999999999</v>
      </c>
      <c r="EN69" s="4">
        <v>16.417000000000002</v>
      </c>
      <c r="EO69" s="4">
        <v>17.933</v>
      </c>
      <c r="EP69" s="4">
        <v>17.151</v>
      </c>
      <c r="EQ69" s="4">
        <v>15.292999999999999</v>
      </c>
      <c r="ER69" s="4">
        <v>18.585000000000001</v>
      </c>
      <c r="ES69" s="4">
        <v>16.305</v>
      </c>
      <c r="ET69" s="4">
        <v>13.763</v>
      </c>
      <c r="EU69" s="4">
        <v>18.451000000000001</v>
      </c>
      <c r="EV69" s="4">
        <v>14.146000000000001</v>
      </c>
      <c r="EW69" s="4">
        <v>15.747</v>
      </c>
      <c r="EX69" s="4">
        <v>12.741</v>
      </c>
      <c r="EY69" s="4">
        <v>17.428000000000001</v>
      </c>
      <c r="EZ69" s="4">
        <v>18.640999999999998</v>
      </c>
      <c r="FA69" s="4">
        <v>14.413</v>
      </c>
      <c r="FB69" s="4">
        <v>16.59</v>
      </c>
      <c r="FC69" s="4">
        <v>17.306999999999999</v>
      </c>
      <c r="FD69" s="4">
        <v>17.45</v>
      </c>
      <c r="FE69" s="4">
        <v>15.372</v>
      </c>
      <c r="FF69" s="4">
        <v>17.513000000000002</v>
      </c>
      <c r="FG69" s="4">
        <v>16.920000000000002</v>
      </c>
      <c r="FH69" s="4">
        <v>18.355</v>
      </c>
      <c r="FI69" s="4">
        <v>15.579000000000001</v>
      </c>
      <c r="FJ69" s="4">
        <v>17.704000000000001</v>
      </c>
      <c r="FK69" s="4">
        <v>17.047000000000001</v>
      </c>
      <c r="FL69" s="4">
        <v>15.871</v>
      </c>
      <c r="FM69" s="4">
        <v>15.66</v>
      </c>
      <c r="FN69" s="4">
        <v>17.911000000000001</v>
      </c>
      <c r="FO69" s="4">
        <v>16.815999999999999</v>
      </c>
      <c r="FP69" s="4">
        <v>16.132999999999999</v>
      </c>
      <c r="FQ69" s="4">
        <v>16.545999999999999</v>
      </c>
      <c r="FR69" s="4">
        <v>14.898999999999999</v>
      </c>
      <c r="FS69" s="4">
        <v>13.856999999999999</v>
      </c>
      <c r="FT69" s="4">
        <v>17.864000000000001</v>
      </c>
      <c r="FU69" s="4">
        <v>16.989999999999998</v>
      </c>
      <c r="FV69" s="4">
        <v>13.446</v>
      </c>
      <c r="FW69" s="4">
        <v>18.18</v>
      </c>
      <c r="FX69" s="4">
        <v>17.454000000000001</v>
      </c>
      <c r="FY69" s="4">
        <v>17.783999999999999</v>
      </c>
      <c r="FZ69" s="4">
        <v>15.847</v>
      </c>
      <c r="GA69" s="4">
        <v>15.952</v>
      </c>
      <c r="GB69" s="4">
        <v>16.052</v>
      </c>
      <c r="GC69" s="4">
        <v>16.800999999999998</v>
      </c>
      <c r="GD69" s="4">
        <v>17.640999999999998</v>
      </c>
      <c r="GE69" s="4">
        <v>16.704999999999998</v>
      </c>
      <c r="GF69" s="4">
        <v>17.393999999999998</v>
      </c>
      <c r="GG69" s="4">
        <v>14.117000000000001</v>
      </c>
      <c r="GH69" s="4">
        <v>15.259</v>
      </c>
      <c r="GI69" s="4">
        <v>16.094000000000001</v>
      </c>
      <c r="GJ69" s="4">
        <v>17.210999999999999</v>
      </c>
      <c r="GK69" s="4">
        <v>18.045000000000002</v>
      </c>
      <c r="GL69" s="4">
        <v>17.588999999999999</v>
      </c>
      <c r="GM69" s="3"/>
      <c r="GN69" s="4">
        <v>12.952</v>
      </c>
      <c r="GO69" s="4">
        <v>16.873999999999999</v>
      </c>
      <c r="GP69" s="4">
        <v>14.615</v>
      </c>
      <c r="GQ69" s="4">
        <v>13.823</v>
      </c>
      <c r="GR69" s="4">
        <v>13.736000000000001</v>
      </c>
      <c r="GS69" s="4">
        <v>16.593</v>
      </c>
      <c r="GT69" s="4">
        <v>12.587999999999999</v>
      </c>
      <c r="GU69" s="4">
        <v>16.734000000000002</v>
      </c>
      <c r="GV69" s="4">
        <v>14.19</v>
      </c>
      <c r="GW69" s="4">
        <v>15.366</v>
      </c>
      <c r="GX69" s="4">
        <v>8.2409999999999997</v>
      </c>
      <c r="GY69" s="4">
        <v>14.246</v>
      </c>
      <c r="GZ69" s="4">
        <v>17.466999999999999</v>
      </c>
      <c r="HA69" s="4">
        <v>15.786</v>
      </c>
      <c r="HB69" s="4">
        <v>16.812999999999999</v>
      </c>
      <c r="HC69" s="4">
        <v>18.071999999999999</v>
      </c>
      <c r="HD69" s="4">
        <v>12.944000000000001</v>
      </c>
      <c r="HE69" s="4">
        <v>16.864000000000001</v>
      </c>
      <c r="HF69" s="4">
        <v>12.75</v>
      </c>
      <c r="HG69" s="4">
        <v>15.978999999999999</v>
      </c>
      <c r="HH69" s="4">
        <v>16.484000000000002</v>
      </c>
      <c r="HI69" s="4">
        <v>16.992000000000001</v>
      </c>
      <c r="HJ69" s="4">
        <v>17.795999999999999</v>
      </c>
      <c r="HK69" s="4">
        <v>16.637</v>
      </c>
      <c r="HL69" s="4">
        <v>17.731999999999999</v>
      </c>
      <c r="HM69" s="4">
        <v>16.585999999999999</v>
      </c>
      <c r="HN69" s="4">
        <v>14.791</v>
      </c>
      <c r="HO69" s="4">
        <v>16.341000000000001</v>
      </c>
      <c r="HP69" s="4">
        <v>16.63</v>
      </c>
      <c r="HQ69" s="4">
        <v>17.651</v>
      </c>
      <c r="HR69" s="4">
        <v>16.251999999999999</v>
      </c>
      <c r="HS69" s="4">
        <v>16.468</v>
      </c>
      <c r="HT69" s="4">
        <v>15.253</v>
      </c>
      <c r="HU69" s="4">
        <v>18.079000000000001</v>
      </c>
      <c r="HV69" s="4">
        <v>17.927</v>
      </c>
      <c r="HW69" s="4">
        <v>14.481999999999999</v>
      </c>
      <c r="HX69" s="4">
        <v>18.181999999999999</v>
      </c>
      <c r="HY69" s="4">
        <v>18.265999999999998</v>
      </c>
      <c r="HZ69" s="4">
        <v>17.288</v>
      </c>
      <c r="IA69" s="4">
        <v>12.791</v>
      </c>
      <c r="IB69" s="4">
        <v>15.273999999999999</v>
      </c>
      <c r="IC69" s="4">
        <v>18.408000000000001</v>
      </c>
      <c r="ID69" s="4">
        <v>16.11</v>
      </c>
      <c r="IE69" s="4">
        <v>18.331</v>
      </c>
      <c r="IF69" s="4">
        <v>18.079000000000001</v>
      </c>
      <c r="IG69" s="4">
        <v>15.962</v>
      </c>
      <c r="IH69" s="4">
        <v>10.43</v>
      </c>
      <c r="II69" s="4">
        <v>12.723000000000001</v>
      </c>
      <c r="IJ69" s="4">
        <v>17.667999999999999</v>
      </c>
      <c r="IK69" s="4">
        <v>15.43</v>
      </c>
      <c r="IL69" s="4">
        <v>12.938000000000001</v>
      </c>
      <c r="IM69" s="4">
        <v>18.3</v>
      </c>
      <c r="IN69" s="4">
        <v>14.829000000000001</v>
      </c>
      <c r="IO69" s="4">
        <v>15.44</v>
      </c>
      <c r="IP69" s="4">
        <v>16.937999999999999</v>
      </c>
      <c r="IQ69" s="4">
        <v>18.018000000000001</v>
      </c>
      <c r="IR69" s="4">
        <v>18.37</v>
      </c>
      <c r="IS69" s="4">
        <v>13.65</v>
      </c>
      <c r="IT69" s="4">
        <v>16.808</v>
      </c>
      <c r="IU69" s="4">
        <v>13.154999999999999</v>
      </c>
      <c r="IV69" s="4">
        <v>18.015999999999998</v>
      </c>
      <c r="IW69" s="4">
        <v>11.247999999999999</v>
      </c>
      <c r="IX69" s="4">
        <v>15.561999999999999</v>
      </c>
      <c r="IY69" s="4">
        <v>17.131</v>
      </c>
      <c r="IZ69" s="4">
        <v>16.956</v>
      </c>
      <c r="JA69" s="4">
        <v>16.788</v>
      </c>
      <c r="JB69" s="4">
        <v>17.009</v>
      </c>
      <c r="JC69" s="4">
        <v>14.779</v>
      </c>
      <c r="JD69" s="4">
        <v>17.571999999999999</v>
      </c>
      <c r="JE69" s="4">
        <v>15.585000000000001</v>
      </c>
      <c r="JF69" s="4">
        <v>17.459</v>
      </c>
      <c r="JG69" s="4">
        <v>17.007999999999999</v>
      </c>
      <c r="JH69" s="4">
        <v>17.853000000000002</v>
      </c>
      <c r="JI69" s="4">
        <v>15.491</v>
      </c>
      <c r="JJ69" s="4">
        <v>17.555</v>
      </c>
      <c r="JK69" s="4">
        <v>16.803000000000001</v>
      </c>
      <c r="JL69" s="4">
        <v>17.334</v>
      </c>
      <c r="JM69" s="4">
        <v>16.213999999999999</v>
      </c>
      <c r="JN69" s="4">
        <v>16.937000000000001</v>
      </c>
      <c r="JO69" s="4">
        <v>17.298999999999999</v>
      </c>
      <c r="JP69" s="4">
        <v>16.013999999999999</v>
      </c>
      <c r="JQ69" s="4">
        <v>16.809999999999999</v>
      </c>
      <c r="JR69" s="4">
        <v>16.288</v>
      </c>
      <c r="JS69" s="4">
        <v>14.03</v>
      </c>
      <c r="JT69" s="4">
        <v>18.058</v>
      </c>
      <c r="JU69" s="4">
        <v>17.927</v>
      </c>
      <c r="JV69" s="4">
        <v>17.507000000000001</v>
      </c>
      <c r="JW69" s="4">
        <v>16.71</v>
      </c>
      <c r="JX69" s="4">
        <v>16.998999999999999</v>
      </c>
      <c r="JY69" s="4">
        <v>18.068000000000001</v>
      </c>
      <c r="JZ69" s="4">
        <v>17.335999999999999</v>
      </c>
      <c r="KA69" s="4">
        <v>16.052</v>
      </c>
      <c r="KB69" s="4">
        <v>14.286</v>
      </c>
      <c r="KC69" s="4">
        <v>15.303000000000001</v>
      </c>
      <c r="KD69" s="4">
        <v>16.346</v>
      </c>
      <c r="KE69" s="4">
        <v>16.962</v>
      </c>
      <c r="KF69" s="4">
        <v>16.361999999999998</v>
      </c>
      <c r="KG69" s="4">
        <v>17.364999999999998</v>
      </c>
      <c r="KH69" s="4">
        <v>17.236000000000001</v>
      </c>
      <c r="KI69" s="4">
        <v>17.288</v>
      </c>
      <c r="KJ69" s="4">
        <v>17.481999999999999</v>
      </c>
      <c r="KK69" s="4">
        <v>17.561</v>
      </c>
      <c r="KL69" s="4">
        <v>17.318000000000001</v>
      </c>
      <c r="KM69" s="4">
        <v>13.109</v>
      </c>
      <c r="KN69" s="4">
        <v>17.885999999999999</v>
      </c>
      <c r="KO69" s="4">
        <v>14.028</v>
      </c>
      <c r="KP69" s="4">
        <v>17.298999999999999</v>
      </c>
      <c r="KQ69" s="4">
        <v>17.489999999999998</v>
      </c>
      <c r="KR69" s="4">
        <v>17.338999999999999</v>
      </c>
      <c r="KS69" s="4">
        <v>16.782</v>
      </c>
    </row>
    <row r="70" spans="1:305" x14ac:dyDescent="0.25">
      <c r="A70" s="4">
        <v>2019</v>
      </c>
      <c r="B70" s="4">
        <v>7</v>
      </c>
      <c r="C70" s="4">
        <v>12.266999999999999</v>
      </c>
      <c r="D70" s="4">
        <v>17.329000000000001</v>
      </c>
      <c r="E70" s="4">
        <v>17.475999999999999</v>
      </c>
      <c r="F70" s="4">
        <v>17.09</v>
      </c>
      <c r="G70" s="4">
        <v>16.164000000000001</v>
      </c>
      <c r="H70" s="4">
        <v>15.215</v>
      </c>
      <c r="I70" s="4">
        <v>16.282</v>
      </c>
      <c r="J70" s="4">
        <v>15.206</v>
      </c>
      <c r="K70" s="4">
        <v>17.155999999999999</v>
      </c>
      <c r="L70" s="4">
        <v>17.628</v>
      </c>
      <c r="M70" s="4">
        <v>15.044</v>
      </c>
      <c r="N70" s="4">
        <v>17.123000000000001</v>
      </c>
      <c r="O70" s="4">
        <v>13.467000000000001</v>
      </c>
      <c r="P70" s="4">
        <v>16.538</v>
      </c>
      <c r="Q70" s="4">
        <v>14.241</v>
      </c>
      <c r="R70" s="4">
        <v>14.217000000000001</v>
      </c>
      <c r="S70" s="4">
        <v>16.888000000000002</v>
      </c>
      <c r="T70" s="4">
        <v>15.79</v>
      </c>
      <c r="U70" s="4">
        <v>16.658000000000001</v>
      </c>
      <c r="V70" s="4">
        <v>16.536999999999999</v>
      </c>
      <c r="W70" s="4">
        <v>16.152999999999999</v>
      </c>
      <c r="X70" s="4">
        <v>17.401</v>
      </c>
      <c r="Y70" s="4">
        <v>17.221</v>
      </c>
      <c r="Z70" s="4">
        <v>15.003</v>
      </c>
      <c r="AA70" s="4">
        <v>17.756</v>
      </c>
      <c r="AB70" s="4">
        <v>15.46</v>
      </c>
      <c r="AC70" s="4">
        <v>16.823</v>
      </c>
      <c r="AD70" s="4">
        <v>15.662000000000001</v>
      </c>
      <c r="AE70" s="4">
        <v>16.364000000000001</v>
      </c>
      <c r="AF70" s="4">
        <v>17.242999999999999</v>
      </c>
      <c r="AG70" s="4">
        <v>16.138999999999999</v>
      </c>
      <c r="AH70" s="4">
        <v>16.754000000000001</v>
      </c>
      <c r="AI70" s="4">
        <v>14.553000000000001</v>
      </c>
      <c r="AJ70" s="4">
        <v>16.594999999999999</v>
      </c>
      <c r="AK70" s="4">
        <v>17.154</v>
      </c>
      <c r="AL70" s="4">
        <v>18.350000000000001</v>
      </c>
      <c r="AM70" s="4">
        <v>16.513000000000002</v>
      </c>
      <c r="AN70" s="4">
        <v>17.175000000000001</v>
      </c>
      <c r="AO70" s="4">
        <v>16.641999999999999</v>
      </c>
      <c r="AP70" s="4">
        <v>15.534000000000001</v>
      </c>
      <c r="AQ70" s="4">
        <v>15.226000000000001</v>
      </c>
      <c r="AR70" s="4">
        <v>15.21</v>
      </c>
      <c r="AS70" s="4">
        <v>17.015000000000001</v>
      </c>
      <c r="AT70" s="4">
        <v>15.843</v>
      </c>
      <c r="AU70" s="4">
        <v>16.463999999999999</v>
      </c>
      <c r="AV70" s="4">
        <v>16.404</v>
      </c>
      <c r="AW70" s="4">
        <v>16.832999999999998</v>
      </c>
      <c r="AX70" s="4">
        <v>17.716000000000001</v>
      </c>
      <c r="AY70" s="4">
        <v>17.199000000000002</v>
      </c>
      <c r="AZ70" s="4">
        <v>16.271000000000001</v>
      </c>
      <c r="BA70" s="4">
        <v>17.260000000000002</v>
      </c>
      <c r="BB70" s="4">
        <v>16.298999999999999</v>
      </c>
      <c r="BC70" s="4">
        <v>17.327999999999999</v>
      </c>
      <c r="BD70" s="4">
        <v>16.335999999999999</v>
      </c>
      <c r="BE70" s="4">
        <v>17.061</v>
      </c>
      <c r="BF70" s="4">
        <v>16.225000000000001</v>
      </c>
      <c r="BG70" s="4">
        <v>15.891999999999999</v>
      </c>
      <c r="BH70" s="4">
        <v>16.646999999999998</v>
      </c>
      <c r="BI70" s="4">
        <v>16.814</v>
      </c>
      <c r="BJ70" s="4">
        <v>14.584</v>
      </c>
      <c r="BK70" s="4">
        <v>17.245000000000001</v>
      </c>
      <c r="BL70" s="4">
        <v>14.507</v>
      </c>
      <c r="BM70" s="4">
        <v>14.497</v>
      </c>
      <c r="BN70" s="4">
        <v>15.721</v>
      </c>
      <c r="BO70" s="4">
        <v>13.65</v>
      </c>
      <c r="BP70" s="4">
        <v>15.952999999999999</v>
      </c>
      <c r="BQ70" s="4">
        <v>16.436</v>
      </c>
      <c r="BR70" s="4">
        <v>16.687000000000001</v>
      </c>
      <c r="BS70" s="4">
        <v>17.7</v>
      </c>
      <c r="BT70" s="4">
        <v>17.137</v>
      </c>
      <c r="BU70" s="4">
        <v>17.303000000000001</v>
      </c>
      <c r="BV70" s="4">
        <v>17.042000000000002</v>
      </c>
      <c r="BW70" s="4">
        <v>15.965999999999999</v>
      </c>
      <c r="BX70" s="4">
        <v>16.082000000000001</v>
      </c>
      <c r="BY70" s="4">
        <v>16.713999999999999</v>
      </c>
      <c r="BZ70" s="4">
        <v>16.638000000000002</v>
      </c>
      <c r="CA70" s="4">
        <v>17.422000000000001</v>
      </c>
      <c r="CB70" s="4">
        <v>16.663</v>
      </c>
      <c r="CC70" s="4">
        <v>15.02</v>
      </c>
      <c r="CD70" s="4">
        <v>16.364000000000001</v>
      </c>
      <c r="CE70" s="4">
        <v>14.938000000000001</v>
      </c>
      <c r="CF70" s="4">
        <v>15.161</v>
      </c>
      <c r="CG70" s="4">
        <v>17.488</v>
      </c>
      <c r="CH70" s="4">
        <v>16.434999999999999</v>
      </c>
      <c r="CI70" s="4">
        <v>16.044</v>
      </c>
      <c r="CJ70" s="4">
        <v>13.829000000000001</v>
      </c>
      <c r="CK70" s="4">
        <v>17.844000000000001</v>
      </c>
      <c r="CL70" s="4">
        <v>12.845000000000001</v>
      </c>
      <c r="CM70" s="4">
        <v>16.561</v>
      </c>
      <c r="CN70" s="4">
        <v>16.702000000000002</v>
      </c>
      <c r="CO70" s="4">
        <v>16.356999999999999</v>
      </c>
      <c r="CP70" s="4">
        <v>15.631</v>
      </c>
      <c r="CQ70" s="4">
        <v>17.626000000000001</v>
      </c>
      <c r="CR70" s="4">
        <v>16.832999999999998</v>
      </c>
      <c r="CS70" s="4">
        <v>17.122</v>
      </c>
      <c r="CT70" s="4">
        <v>17.088000000000001</v>
      </c>
      <c r="CU70" s="4">
        <v>16.983000000000001</v>
      </c>
      <c r="CV70" s="4">
        <v>16.8</v>
      </c>
      <c r="CW70" s="4">
        <v>15.657999999999999</v>
      </c>
      <c r="CX70" s="4">
        <v>16.213999999999999</v>
      </c>
      <c r="CY70" s="4">
        <v>16.27</v>
      </c>
      <c r="CZ70" s="4">
        <v>17.308</v>
      </c>
      <c r="DA70" s="4">
        <v>15.202</v>
      </c>
      <c r="DB70" s="4">
        <v>16.559999999999999</v>
      </c>
      <c r="DC70" s="4">
        <v>15.749000000000001</v>
      </c>
      <c r="DD70" s="4">
        <v>15.255000000000001</v>
      </c>
      <c r="DE70" s="4">
        <v>17.09</v>
      </c>
      <c r="DF70" s="4">
        <v>13.167</v>
      </c>
      <c r="DG70" s="4">
        <v>16.741</v>
      </c>
      <c r="DH70" s="4">
        <v>16.89</v>
      </c>
      <c r="DI70" s="4">
        <v>16.277999999999999</v>
      </c>
      <c r="DJ70" s="4">
        <v>17.13</v>
      </c>
      <c r="DK70" s="4">
        <v>16.940000000000001</v>
      </c>
      <c r="DL70" s="4">
        <v>16.870999999999999</v>
      </c>
      <c r="DM70" s="4">
        <v>18.045000000000002</v>
      </c>
      <c r="DN70" s="4">
        <v>17.184999999999999</v>
      </c>
      <c r="DO70" s="4">
        <v>17.04</v>
      </c>
      <c r="DP70" s="4">
        <v>13.435</v>
      </c>
      <c r="DQ70" s="4">
        <v>16.3</v>
      </c>
      <c r="DR70" s="4">
        <v>17.231000000000002</v>
      </c>
      <c r="DS70" s="4">
        <v>16.425999999999998</v>
      </c>
      <c r="DT70" s="4">
        <v>16.847000000000001</v>
      </c>
      <c r="DU70" s="4">
        <v>15.638999999999999</v>
      </c>
      <c r="DV70" s="4">
        <v>15.44</v>
      </c>
      <c r="DW70" s="4">
        <v>17.257000000000001</v>
      </c>
      <c r="DX70" s="4">
        <v>16.82</v>
      </c>
      <c r="DY70" s="4">
        <v>16.751999999999999</v>
      </c>
      <c r="DZ70" s="4">
        <v>17.509</v>
      </c>
      <c r="EA70" s="4">
        <v>17.573</v>
      </c>
      <c r="EB70" s="4">
        <v>16.974</v>
      </c>
      <c r="EC70" s="4">
        <v>13.744999999999999</v>
      </c>
      <c r="ED70" s="4">
        <v>17.385999999999999</v>
      </c>
      <c r="EE70" s="4">
        <v>17.812000000000001</v>
      </c>
      <c r="EF70" s="4">
        <v>16.835000000000001</v>
      </c>
      <c r="EG70" s="4">
        <v>16.702000000000002</v>
      </c>
      <c r="EH70" s="4">
        <v>15.782999999999999</v>
      </c>
      <c r="EI70" s="4">
        <v>17.170999999999999</v>
      </c>
      <c r="EJ70" s="4">
        <v>16.303999999999998</v>
      </c>
      <c r="EK70" s="4">
        <v>17.132999999999999</v>
      </c>
      <c r="EL70" s="4">
        <v>17.460999999999999</v>
      </c>
      <c r="EM70" s="4">
        <v>17.417000000000002</v>
      </c>
      <c r="EN70" s="4">
        <v>16.442</v>
      </c>
      <c r="EO70" s="4">
        <v>17.106999999999999</v>
      </c>
      <c r="EP70" s="4">
        <v>16.388999999999999</v>
      </c>
      <c r="EQ70" s="4">
        <v>15.534000000000001</v>
      </c>
      <c r="ER70" s="4">
        <v>18.312999999999999</v>
      </c>
      <c r="ES70" s="4">
        <v>16.048999999999999</v>
      </c>
      <c r="ET70" s="4">
        <v>15.567</v>
      </c>
      <c r="EU70" s="4">
        <v>18.143000000000001</v>
      </c>
      <c r="EV70" s="4">
        <v>15.343999999999999</v>
      </c>
      <c r="EW70" s="4">
        <v>17.210999999999999</v>
      </c>
      <c r="EX70" s="4">
        <v>14.406000000000001</v>
      </c>
      <c r="EY70" s="4">
        <v>16.335999999999999</v>
      </c>
      <c r="EZ70" s="4">
        <v>18.355</v>
      </c>
      <c r="FA70" s="4">
        <v>15.089</v>
      </c>
      <c r="FB70" s="4">
        <v>17.266999999999999</v>
      </c>
      <c r="FC70" s="4">
        <v>16.459</v>
      </c>
      <c r="FD70" s="4">
        <v>16.372</v>
      </c>
      <c r="FE70" s="4">
        <v>17.038</v>
      </c>
      <c r="FF70" s="4">
        <v>16.780999999999999</v>
      </c>
      <c r="FG70" s="4">
        <v>17.622</v>
      </c>
      <c r="FH70" s="4">
        <v>17.134</v>
      </c>
      <c r="FI70" s="4">
        <v>16.103999999999999</v>
      </c>
      <c r="FJ70" s="4">
        <v>17.126999999999999</v>
      </c>
      <c r="FK70" s="4">
        <v>16.905000000000001</v>
      </c>
      <c r="FL70" s="4">
        <v>17.355</v>
      </c>
      <c r="FM70" s="4">
        <v>16.216000000000001</v>
      </c>
      <c r="FN70" s="4">
        <v>17.158000000000001</v>
      </c>
      <c r="FO70" s="4">
        <v>15.696999999999999</v>
      </c>
      <c r="FP70" s="4">
        <v>16.318000000000001</v>
      </c>
      <c r="FQ70" s="4">
        <v>16.228000000000002</v>
      </c>
      <c r="FR70" s="4">
        <v>15.11</v>
      </c>
      <c r="FS70" s="4">
        <v>15.481999999999999</v>
      </c>
      <c r="FT70" s="4">
        <v>17.027999999999999</v>
      </c>
      <c r="FU70" s="4">
        <v>16.18</v>
      </c>
      <c r="FV70" s="4">
        <v>14.673</v>
      </c>
      <c r="FW70" s="4">
        <v>16.719000000000001</v>
      </c>
      <c r="FX70" s="4">
        <v>16.942</v>
      </c>
      <c r="FY70" s="4">
        <v>16.808</v>
      </c>
      <c r="FZ70" s="4">
        <v>16.085999999999999</v>
      </c>
      <c r="GA70" s="4">
        <v>15.423</v>
      </c>
      <c r="GB70" s="4">
        <v>17.206</v>
      </c>
      <c r="GC70" s="4">
        <v>16.632999999999999</v>
      </c>
      <c r="GD70" s="4">
        <v>16.791</v>
      </c>
      <c r="GE70" s="4">
        <v>16.849</v>
      </c>
      <c r="GF70" s="4">
        <v>16.786999999999999</v>
      </c>
      <c r="GG70" s="4">
        <v>15.316000000000001</v>
      </c>
      <c r="GH70" s="4">
        <v>15.872999999999999</v>
      </c>
      <c r="GI70" s="4">
        <v>17.475999999999999</v>
      </c>
      <c r="GJ70" s="4">
        <v>16.295000000000002</v>
      </c>
      <c r="GK70" s="4">
        <v>16.815999999999999</v>
      </c>
      <c r="GL70" s="4">
        <v>16.693999999999999</v>
      </c>
      <c r="GM70" s="3"/>
      <c r="GN70" s="4">
        <v>14.733000000000001</v>
      </c>
      <c r="GO70" s="4">
        <v>15.824</v>
      </c>
      <c r="GP70" s="4">
        <v>15.907999999999999</v>
      </c>
      <c r="GQ70" s="4">
        <v>15.353999999999999</v>
      </c>
      <c r="GR70" s="4">
        <v>14.992000000000001</v>
      </c>
      <c r="GS70" s="4">
        <v>16.614999999999998</v>
      </c>
      <c r="GT70" s="4">
        <v>14.273</v>
      </c>
      <c r="GU70" s="4">
        <v>17.457000000000001</v>
      </c>
      <c r="GV70" s="4">
        <v>15.429</v>
      </c>
      <c r="GW70" s="4">
        <v>15.574</v>
      </c>
      <c r="GX70" s="4">
        <v>12.43</v>
      </c>
      <c r="GY70" s="4">
        <v>15.016</v>
      </c>
      <c r="GZ70" s="4">
        <v>16.896999999999998</v>
      </c>
      <c r="HA70" s="4">
        <v>17.073</v>
      </c>
      <c r="HB70" s="4">
        <v>15.999000000000001</v>
      </c>
      <c r="HC70" s="4">
        <v>17.099</v>
      </c>
      <c r="HD70" s="4">
        <v>14.09</v>
      </c>
      <c r="HE70" s="4">
        <v>16.096</v>
      </c>
      <c r="HF70" s="4">
        <v>14.097</v>
      </c>
      <c r="HG70" s="4">
        <v>17.222000000000001</v>
      </c>
      <c r="HH70" s="4">
        <v>16.062000000000001</v>
      </c>
      <c r="HI70" s="4">
        <v>15.933</v>
      </c>
      <c r="HJ70" s="4">
        <v>16.696000000000002</v>
      </c>
      <c r="HK70" s="4">
        <v>16.939</v>
      </c>
      <c r="HL70" s="4">
        <v>17.274000000000001</v>
      </c>
      <c r="HM70" s="4">
        <v>16.888999999999999</v>
      </c>
      <c r="HN70" s="4">
        <v>15.356999999999999</v>
      </c>
      <c r="HO70" s="4">
        <v>16.13</v>
      </c>
      <c r="HP70" s="4">
        <v>16.753</v>
      </c>
      <c r="HQ70" s="4">
        <v>17.506</v>
      </c>
      <c r="HR70" s="4">
        <v>15.891999999999999</v>
      </c>
      <c r="HS70" s="4">
        <v>16.192</v>
      </c>
      <c r="HT70" s="4">
        <v>15.403</v>
      </c>
      <c r="HU70" s="4">
        <v>17.055</v>
      </c>
      <c r="HV70" s="4">
        <v>16.946000000000002</v>
      </c>
      <c r="HW70" s="4">
        <v>15.164</v>
      </c>
      <c r="HX70" s="4">
        <v>17.12</v>
      </c>
      <c r="HY70" s="4">
        <v>17.334</v>
      </c>
      <c r="HZ70" s="4">
        <v>16.937000000000001</v>
      </c>
      <c r="IA70" s="4">
        <v>14.92</v>
      </c>
      <c r="IB70" s="4">
        <v>16.88</v>
      </c>
      <c r="IC70" s="4">
        <v>18.122</v>
      </c>
      <c r="ID70" s="4">
        <v>17.366</v>
      </c>
      <c r="IE70" s="4">
        <v>17.38</v>
      </c>
      <c r="IF70" s="4">
        <v>17.196000000000002</v>
      </c>
      <c r="IG70" s="4">
        <v>16.54</v>
      </c>
      <c r="IH70" s="4">
        <v>12.5</v>
      </c>
      <c r="II70" s="4">
        <v>14.814</v>
      </c>
      <c r="IJ70" s="4">
        <v>16.876000000000001</v>
      </c>
      <c r="IK70" s="4">
        <v>17.484999999999999</v>
      </c>
      <c r="IL70" s="4">
        <v>14.945</v>
      </c>
      <c r="IM70" s="4">
        <v>17.331</v>
      </c>
      <c r="IN70" s="4">
        <v>15.348000000000001</v>
      </c>
      <c r="IO70" s="4">
        <v>16.341999999999999</v>
      </c>
      <c r="IP70" s="4">
        <v>16.431000000000001</v>
      </c>
      <c r="IQ70" s="4">
        <v>17.713999999999999</v>
      </c>
      <c r="IR70" s="4">
        <v>18.108000000000001</v>
      </c>
      <c r="IS70" s="4">
        <v>14.535</v>
      </c>
      <c r="IT70" s="4">
        <v>16.366</v>
      </c>
      <c r="IU70" s="4">
        <v>14.757999999999999</v>
      </c>
      <c r="IV70" s="4">
        <v>16.998000000000001</v>
      </c>
      <c r="IW70" s="4">
        <v>12.882999999999999</v>
      </c>
      <c r="IX70" s="4">
        <v>17.225000000000001</v>
      </c>
      <c r="IY70" s="4">
        <v>16.210999999999999</v>
      </c>
      <c r="IZ70" s="4">
        <v>16.952000000000002</v>
      </c>
      <c r="JA70" s="4">
        <v>16.550999999999998</v>
      </c>
      <c r="JB70" s="4">
        <v>16.113</v>
      </c>
      <c r="JC70" s="4">
        <v>15.315</v>
      </c>
      <c r="JD70" s="4">
        <v>16.556000000000001</v>
      </c>
      <c r="JE70" s="4">
        <v>17.006</v>
      </c>
      <c r="JF70" s="4">
        <v>17.103999999999999</v>
      </c>
      <c r="JG70" s="4">
        <v>17.227</v>
      </c>
      <c r="JH70" s="4">
        <v>17.013000000000002</v>
      </c>
      <c r="JI70" s="4">
        <v>16.474</v>
      </c>
      <c r="JJ70" s="4">
        <v>16.425999999999998</v>
      </c>
      <c r="JK70" s="4">
        <v>16.184999999999999</v>
      </c>
      <c r="JL70" s="4">
        <v>17.564</v>
      </c>
      <c r="JM70" s="4">
        <v>17.469000000000001</v>
      </c>
      <c r="JN70" s="4">
        <v>16.54</v>
      </c>
      <c r="JO70" s="4">
        <v>16.824000000000002</v>
      </c>
      <c r="JP70" s="4">
        <v>17.445</v>
      </c>
      <c r="JQ70" s="4">
        <v>16.715</v>
      </c>
      <c r="JR70" s="4">
        <v>15.972</v>
      </c>
      <c r="JS70" s="4">
        <v>15.515000000000001</v>
      </c>
      <c r="JT70" s="4">
        <v>17.145</v>
      </c>
      <c r="JU70" s="4">
        <v>16.8</v>
      </c>
      <c r="JV70" s="4">
        <v>16.428999999999998</v>
      </c>
      <c r="JW70" s="4">
        <v>16.850000000000001</v>
      </c>
      <c r="JX70" s="4">
        <v>16.273</v>
      </c>
      <c r="JY70" s="4">
        <v>16.959</v>
      </c>
      <c r="JZ70" s="4">
        <v>16.213000000000001</v>
      </c>
      <c r="KA70" s="4">
        <v>17.372</v>
      </c>
      <c r="KB70" s="4">
        <v>15.244999999999999</v>
      </c>
      <c r="KC70" s="4">
        <v>15.486000000000001</v>
      </c>
      <c r="KD70" s="4">
        <v>16.968</v>
      </c>
      <c r="KE70" s="4">
        <v>17.372</v>
      </c>
      <c r="KF70" s="4">
        <v>16.850000000000001</v>
      </c>
      <c r="KG70" s="4">
        <v>16.893999999999998</v>
      </c>
      <c r="KH70" s="4">
        <v>16.547000000000001</v>
      </c>
      <c r="KI70" s="4">
        <v>16.701000000000001</v>
      </c>
      <c r="KJ70" s="4">
        <v>16.863</v>
      </c>
      <c r="KK70" s="4">
        <v>16.391999999999999</v>
      </c>
      <c r="KL70" s="4">
        <v>15.866</v>
      </c>
      <c r="KM70" s="4">
        <v>14.868</v>
      </c>
      <c r="KN70" s="4">
        <v>16.215</v>
      </c>
      <c r="KO70" s="4">
        <v>14.99</v>
      </c>
      <c r="KP70" s="4">
        <v>16.911999999999999</v>
      </c>
      <c r="KQ70" s="4">
        <v>16.186</v>
      </c>
      <c r="KR70" s="4">
        <v>16.033999999999999</v>
      </c>
      <c r="KS70" s="4">
        <v>16.887</v>
      </c>
    </row>
    <row r="71" spans="1:305" x14ac:dyDescent="0.25">
      <c r="A71" s="4">
        <v>2019</v>
      </c>
      <c r="B71" s="4">
        <v>8</v>
      </c>
      <c r="C71" s="4">
        <v>11.7</v>
      </c>
      <c r="D71" s="4">
        <v>17.838999999999999</v>
      </c>
      <c r="E71" s="4">
        <v>16.777000000000001</v>
      </c>
      <c r="F71" s="4">
        <v>16.233000000000001</v>
      </c>
      <c r="G71" s="4">
        <v>15.968999999999999</v>
      </c>
      <c r="H71" s="4">
        <v>14.465</v>
      </c>
      <c r="I71" s="4">
        <v>15.92</v>
      </c>
      <c r="J71" s="4">
        <v>13.939</v>
      </c>
      <c r="K71" s="4">
        <v>16.193000000000001</v>
      </c>
      <c r="L71" s="4">
        <v>17.728000000000002</v>
      </c>
      <c r="M71" s="4">
        <v>14.689</v>
      </c>
      <c r="N71" s="4">
        <v>17.042000000000002</v>
      </c>
      <c r="O71" s="4">
        <v>13.148999999999999</v>
      </c>
      <c r="P71" s="4">
        <v>15.622</v>
      </c>
      <c r="Q71" s="4">
        <v>12.775</v>
      </c>
      <c r="R71" s="4">
        <v>12.923</v>
      </c>
      <c r="S71" s="4">
        <v>16.04</v>
      </c>
      <c r="T71" s="4">
        <v>15.920999999999999</v>
      </c>
      <c r="U71" s="4">
        <v>16.402999999999999</v>
      </c>
      <c r="V71" s="4">
        <v>16.896000000000001</v>
      </c>
      <c r="W71" s="4">
        <v>15.992000000000001</v>
      </c>
      <c r="X71" s="4">
        <v>17.751000000000001</v>
      </c>
      <c r="Y71" s="4">
        <v>16.187000000000001</v>
      </c>
      <c r="Z71" s="4">
        <v>14.167999999999999</v>
      </c>
      <c r="AA71" s="4">
        <v>18.081</v>
      </c>
      <c r="AB71" s="4">
        <v>14.164999999999999</v>
      </c>
      <c r="AC71" s="4">
        <v>15.96</v>
      </c>
      <c r="AD71" s="4">
        <v>15.577</v>
      </c>
      <c r="AE71" s="4">
        <v>15.601000000000001</v>
      </c>
      <c r="AF71" s="4">
        <v>18.350999999999999</v>
      </c>
      <c r="AG71" s="4">
        <v>15.685</v>
      </c>
      <c r="AH71" s="4">
        <v>16.940999999999999</v>
      </c>
      <c r="AI71" s="4">
        <v>14.234999999999999</v>
      </c>
      <c r="AJ71" s="4">
        <v>16.632000000000001</v>
      </c>
      <c r="AK71" s="4">
        <v>17.626999999999999</v>
      </c>
      <c r="AL71" s="4">
        <v>19.148</v>
      </c>
      <c r="AM71" s="4">
        <v>15.711</v>
      </c>
      <c r="AN71" s="4">
        <v>17.646999999999998</v>
      </c>
      <c r="AO71" s="4">
        <v>16.164000000000001</v>
      </c>
      <c r="AP71" s="4">
        <v>15.605</v>
      </c>
      <c r="AQ71" s="4">
        <v>13.929</v>
      </c>
      <c r="AR71" s="4">
        <v>15.013</v>
      </c>
      <c r="AS71" s="4">
        <v>16.062999999999999</v>
      </c>
      <c r="AT71" s="4">
        <v>15.739000000000001</v>
      </c>
      <c r="AU71" s="4">
        <v>16.238</v>
      </c>
      <c r="AV71" s="4">
        <v>16.981000000000002</v>
      </c>
      <c r="AW71" s="4">
        <v>17.138999999999999</v>
      </c>
      <c r="AX71" s="4">
        <v>18.219000000000001</v>
      </c>
      <c r="AY71" s="4">
        <v>16.29</v>
      </c>
      <c r="AZ71" s="4">
        <v>15.962999999999999</v>
      </c>
      <c r="BA71" s="4">
        <v>17.754000000000001</v>
      </c>
      <c r="BB71" s="4">
        <v>15.912000000000001</v>
      </c>
      <c r="BC71" s="4">
        <v>18.738</v>
      </c>
      <c r="BD71" s="4">
        <v>15.967000000000001</v>
      </c>
      <c r="BE71" s="4">
        <v>16.106999999999999</v>
      </c>
      <c r="BF71" s="4">
        <v>15.468999999999999</v>
      </c>
      <c r="BG71" s="4">
        <v>16.186</v>
      </c>
      <c r="BH71" s="4">
        <v>16.783000000000001</v>
      </c>
      <c r="BI71" s="4">
        <v>16.867999999999999</v>
      </c>
      <c r="BJ71" s="4">
        <v>13.618</v>
      </c>
      <c r="BK71" s="4">
        <v>16.222000000000001</v>
      </c>
      <c r="BL71" s="4">
        <v>13.651</v>
      </c>
      <c r="BM71" s="4">
        <v>13.096</v>
      </c>
      <c r="BN71" s="4">
        <v>15.098000000000001</v>
      </c>
      <c r="BO71" s="4">
        <v>12.167</v>
      </c>
      <c r="BP71" s="4">
        <v>16.527999999999999</v>
      </c>
      <c r="BQ71" s="4">
        <v>15.734</v>
      </c>
      <c r="BR71" s="4">
        <v>16.82</v>
      </c>
      <c r="BS71" s="4">
        <v>17.486999999999998</v>
      </c>
      <c r="BT71" s="4">
        <v>16.678000000000001</v>
      </c>
      <c r="BU71" s="4">
        <v>16.513999999999999</v>
      </c>
      <c r="BV71" s="4">
        <v>17.538</v>
      </c>
      <c r="BW71" s="4">
        <v>15.22</v>
      </c>
      <c r="BX71" s="4">
        <v>15.394</v>
      </c>
      <c r="BY71" s="4">
        <v>16.628</v>
      </c>
      <c r="BZ71" s="4">
        <v>16.596</v>
      </c>
      <c r="CA71" s="4">
        <v>17.841999999999999</v>
      </c>
      <c r="CB71" s="4">
        <v>16.510999999999999</v>
      </c>
      <c r="CC71" s="4">
        <v>14.506</v>
      </c>
      <c r="CD71" s="4">
        <v>16.672999999999998</v>
      </c>
      <c r="CE71" s="4">
        <v>13.773999999999999</v>
      </c>
      <c r="CF71" s="4">
        <v>15.239000000000001</v>
      </c>
      <c r="CG71" s="4">
        <v>16.899000000000001</v>
      </c>
      <c r="CH71" s="4">
        <v>16.695</v>
      </c>
      <c r="CI71" s="4">
        <v>15.891999999999999</v>
      </c>
      <c r="CJ71" s="4">
        <v>13.138999999999999</v>
      </c>
      <c r="CK71" s="4">
        <v>18.327999999999999</v>
      </c>
      <c r="CL71" s="4">
        <v>11.656000000000001</v>
      </c>
      <c r="CM71" s="4">
        <v>17.89</v>
      </c>
      <c r="CN71" s="4">
        <v>16.062000000000001</v>
      </c>
      <c r="CO71" s="4">
        <v>16.518000000000001</v>
      </c>
      <c r="CP71" s="4">
        <v>15.676</v>
      </c>
      <c r="CQ71" s="4">
        <v>18.113</v>
      </c>
      <c r="CR71" s="4">
        <v>16.963000000000001</v>
      </c>
      <c r="CS71" s="4">
        <v>17.504000000000001</v>
      </c>
      <c r="CT71" s="4">
        <v>17.594999999999999</v>
      </c>
      <c r="CU71" s="4">
        <v>16.585999999999999</v>
      </c>
      <c r="CV71" s="4">
        <v>17.048999999999999</v>
      </c>
      <c r="CW71" s="4">
        <v>15.842000000000001</v>
      </c>
      <c r="CX71" s="4">
        <v>16.474</v>
      </c>
      <c r="CY71" s="4">
        <v>15.837</v>
      </c>
      <c r="CZ71" s="4">
        <v>17.798999999999999</v>
      </c>
      <c r="DA71" s="4">
        <v>13.484</v>
      </c>
      <c r="DB71" s="4">
        <v>16.126000000000001</v>
      </c>
      <c r="DC71" s="4">
        <v>14.824</v>
      </c>
      <c r="DD71" s="4">
        <v>13.832000000000001</v>
      </c>
      <c r="DE71" s="4">
        <v>17.920000000000002</v>
      </c>
      <c r="DF71" s="4">
        <v>11.826000000000001</v>
      </c>
      <c r="DG71" s="4">
        <v>16.809999999999999</v>
      </c>
      <c r="DH71" s="4">
        <v>17.247</v>
      </c>
      <c r="DI71" s="4">
        <v>15.941000000000001</v>
      </c>
      <c r="DJ71" s="4">
        <v>17.978000000000002</v>
      </c>
      <c r="DK71" s="4">
        <v>16.509</v>
      </c>
      <c r="DL71" s="4">
        <v>16.946999999999999</v>
      </c>
      <c r="DM71" s="4">
        <v>18.731000000000002</v>
      </c>
      <c r="DN71" s="4">
        <v>16.117999999999999</v>
      </c>
      <c r="DO71" s="4">
        <v>16.283000000000001</v>
      </c>
      <c r="DP71" s="4">
        <v>12.113</v>
      </c>
      <c r="DQ71" s="4">
        <v>16.265999999999998</v>
      </c>
      <c r="DR71" s="4">
        <v>17.401</v>
      </c>
      <c r="DS71" s="4">
        <v>16.896999999999998</v>
      </c>
      <c r="DT71" s="4">
        <v>16.841000000000001</v>
      </c>
      <c r="DU71" s="4">
        <v>15.105</v>
      </c>
      <c r="DV71" s="4">
        <v>15.395</v>
      </c>
      <c r="DW71" s="4">
        <v>17.55</v>
      </c>
      <c r="DX71" s="4">
        <v>16.568999999999999</v>
      </c>
      <c r="DY71" s="4">
        <v>16.634</v>
      </c>
      <c r="DZ71" s="4">
        <v>17.016999999999999</v>
      </c>
      <c r="EA71" s="4">
        <v>17.341999999999999</v>
      </c>
      <c r="EB71" s="4">
        <v>17.117000000000001</v>
      </c>
      <c r="EC71" s="4">
        <v>12.362</v>
      </c>
      <c r="ED71" s="4">
        <v>17.408000000000001</v>
      </c>
      <c r="EE71" s="4">
        <v>18.645</v>
      </c>
      <c r="EF71" s="4">
        <v>16.367000000000001</v>
      </c>
      <c r="EG71" s="4">
        <v>16.388000000000002</v>
      </c>
      <c r="EH71" s="4">
        <v>15.157</v>
      </c>
      <c r="EI71" s="4">
        <v>16.408000000000001</v>
      </c>
      <c r="EJ71" s="4">
        <v>16.050999999999998</v>
      </c>
      <c r="EK71" s="4">
        <v>17.571000000000002</v>
      </c>
      <c r="EL71" s="4">
        <v>16.832999999999998</v>
      </c>
      <c r="EM71" s="4">
        <v>16.457000000000001</v>
      </c>
      <c r="EN71" s="4">
        <v>15.973000000000001</v>
      </c>
      <c r="EO71" s="4">
        <v>17.295000000000002</v>
      </c>
      <c r="EP71" s="4">
        <v>15.836</v>
      </c>
      <c r="EQ71" s="4">
        <v>15.305999999999999</v>
      </c>
      <c r="ER71" s="4">
        <v>19.126000000000001</v>
      </c>
      <c r="ES71" s="4">
        <v>15.561999999999999</v>
      </c>
      <c r="ET71" s="4">
        <v>14.736000000000001</v>
      </c>
      <c r="EU71" s="4">
        <v>18.806000000000001</v>
      </c>
      <c r="EV71" s="4">
        <v>14.195</v>
      </c>
      <c r="EW71" s="4">
        <v>17.190000000000001</v>
      </c>
      <c r="EX71" s="4">
        <v>13.215</v>
      </c>
      <c r="EY71" s="4">
        <v>16.295999999999999</v>
      </c>
      <c r="EZ71" s="4">
        <v>19.225000000000001</v>
      </c>
      <c r="FA71" s="4">
        <v>14.462</v>
      </c>
      <c r="FB71" s="4">
        <v>17.052</v>
      </c>
      <c r="FC71" s="4">
        <v>16.359000000000002</v>
      </c>
      <c r="FD71" s="4">
        <v>16.870999999999999</v>
      </c>
      <c r="FE71" s="4">
        <v>16.472999999999999</v>
      </c>
      <c r="FF71" s="4">
        <v>16.846</v>
      </c>
      <c r="FG71" s="4">
        <v>17.202000000000002</v>
      </c>
      <c r="FH71" s="4">
        <v>17.837</v>
      </c>
      <c r="FI71" s="4">
        <v>15.592000000000001</v>
      </c>
      <c r="FJ71" s="4">
        <v>18.047000000000001</v>
      </c>
      <c r="FK71" s="4">
        <v>16.977</v>
      </c>
      <c r="FL71" s="4">
        <v>16.556000000000001</v>
      </c>
      <c r="FM71" s="4">
        <v>15.462999999999999</v>
      </c>
      <c r="FN71" s="4">
        <v>17.542999999999999</v>
      </c>
      <c r="FO71" s="4">
        <v>15.459</v>
      </c>
      <c r="FP71" s="4">
        <v>15.893000000000001</v>
      </c>
      <c r="FQ71" s="4">
        <v>15.925000000000001</v>
      </c>
      <c r="FR71" s="4">
        <v>15.315</v>
      </c>
      <c r="FS71" s="4">
        <v>14.994999999999999</v>
      </c>
      <c r="FT71" s="4">
        <v>17.433</v>
      </c>
      <c r="FU71" s="4">
        <v>16.669</v>
      </c>
      <c r="FV71" s="4">
        <v>13.518000000000001</v>
      </c>
      <c r="FW71" s="4">
        <v>16.866</v>
      </c>
      <c r="FX71" s="4">
        <v>17.292000000000002</v>
      </c>
      <c r="FY71" s="4">
        <v>17.045000000000002</v>
      </c>
      <c r="FZ71" s="4">
        <v>16.863</v>
      </c>
      <c r="GA71" s="4">
        <v>15.662000000000001</v>
      </c>
      <c r="GB71" s="4">
        <v>17.722999999999999</v>
      </c>
      <c r="GC71" s="4">
        <v>16.664000000000001</v>
      </c>
      <c r="GD71" s="4">
        <v>16.643000000000001</v>
      </c>
      <c r="GE71" s="4">
        <v>16.533999999999999</v>
      </c>
      <c r="GF71" s="4">
        <v>16.757999999999999</v>
      </c>
      <c r="GG71" s="4">
        <v>15.032</v>
      </c>
      <c r="GH71" s="4">
        <v>15.32</v>
      </c>
      <c r="GI71" s="4">
        <v>17.045000000000002</v>
      </c>
      <c r="GJ71" s="4">
        <v>16.266999999999999</v>
      </c>
      <c r="GK71" s="4">
        <v>17.550999999999998</v>
      </c>
      <c r="GL71" s="4">
        <v>17.207999999999998</v>
      </c>
      <c r="GM71" s="3"/>
      <c r="GN71" s="4">
        <v>14.42</v>
      </c>
      <c r="GO71" s="4">
        <v>16.364000000000001</v>
      </c>
      <c r="GP71" s="4">
        <v>15.077999999999999</v>
      </c>
      <c r="GQ71" s="4">
        <v>13.957000000000001</v>
      </c>
      <c r="GR71" s="4">
        <v>13.744</v>
      </c>
      <c r="GS71" s="4">
        <v>17.427</v>
      </c>
      <c r="GT71" s="4">
        <v>12.847</v>
      </c>
      <c r="GU71" s="4">
        <v>16.850999999999999</v>
      </c>
      <c r="GV71" s="4">
        <v>14.603</v>
      </c>
      <c r="GW71" s="4">
        <v>15.163</v>
      </c>
      <c r="GX71" s="4">
        <v>11.914999999999999</v>
      </c>
      <c r="GY71" s="4">
        <v>14.374000000000001</v>
      </c>
      <c r="GZ71" s="4">
        <v>17.446999999999999</v>
      </c>
      <c r="HA71" s="4">
        <v>16.042000000000002</v>
      </c>
      <c r="HB71" s="4">
        <v>16.122</v>
      </c>
      <c r="HC71" s="4">
        <v>17.39</v>
      </c>
      <c r="HD71" s="4">
        <v>13.28</v>
      </c>
      <c r="HE71" s="4">
        <v>16.265999999999998</v>
      </c>
      <c r="HF71" s="4">
        <v>13.544</v>
      </c>
      <c r="HG71" s="4">
        <v>16.684000000000001</v>
      </c>
      <c r="HH71" s="4">
        <v>15.782</v>
      </c>
      <c r="HI71" s="4">
        <v>15.565</v>
      </c>
      <c r="HJ71" s="4">
        <v>17.221</v>
      </c>
      <c r="HK71" s="4">
        <v>18.260000000000002</v>
      </c>
      <c r="HL71" s="4">
        <v>17.864000000000001</v>
      </c>
      <c r="HM71" s="4">
        <v>16.492000000000001</v>
      </c>
      <c r="HN71" s="4">
        <v>14.795999999999999</v>
      </c>
      <c r="HO71" s="4">
        <v>15.863</v>
      </c>
      <c r="HP71" s="4">
        <v>16.309999999999999</v>
      </c>
      <c r="HQ71" s="4">
        <v>18.251999999999999</v>
      </c>
      <c r="HR71" s="4">
        <v>16.646999999999998</v>
      </c>
      <c r="HS71" s="4">
        <v>15.7</v>
      </c>
      <c r="HT71" s="4">
        <v>15.834</v>
      </c>
      <c r="HU71" s="4">
        <v>17.529</v>
      </c>
      <c r="HV71" s="4">
        <v>17.178999999999998</v>
      </c>
      <c r="HW71" s="4">
        <v>14.705</v>
      </c>
      <c r="HX71" s="4">
        <v>17.646999999999998</v>
      </c>
      <c r="HY71" s="4">
        <v>17.765999999999998</v>
      </c>
      <c r="HZ71" s="4">
        <v>17.798999999999999</v>
      </c>
      <c r="IA71" s="4">
        <v>13.063000000000001</v>
      </c>
      <c r="IB71" s="4">
        <v>17.169</v>
      </c>
      <c r="IC71" s="4">
        <v>18.786999999999999</v>
      </c>
      <c r="ID71" s="4">
        <v>16.87</v>
      </c>
      <c r="IE71" s="4">
        <v>17.812999999999999</v>
      </c>
      <c r="IF71" s="4">
        <v>17.526</v>
      </c>
      <c r="IG71" s="4">
        <v>15.945</v>
      </c>
      <c r="IH71" s="4">
        <v>12.207000000000001</v>
      </c>
      <c r="II71" s="4">
        <v>13.471</v>
      </c>
      <c r="IJ71" s="4">
        <v>17.195</v>
      </c>
      <c r="IK71" s="4">
        <v>17.209</v>
      </c>
      <c r="IL71" s="4">
        <v>14.093</v>
      </c>
      <c r="IM71" s="4">
        <v>17.786999999999999</v>
      </c>
      <c r="IN71" s="4">
        <v>15.635999999999999</v>
      </c>
      <c r="IO71" s="4">
        <v>15.69</v>
      </c>
      <c r="IP71" s="4">
        <v>16.359000000000002</v>
      </c>
      <c r="IQ71" s="4">
        <v>18.254999999999999</v>
      </c>
      <c r="IR71" s="4">
        <v>18.718</v>
      </c>
      <c r="IS71" s="4">
        <v>14.038</v>
      </c>
      <c r="IT71" s="4">
        <v>15.622999999999999</v>
      </c>
      <c r="IU71" s="4">
        <v>14.224</v>
      </c>
      <c r="IV71" s="4">
        <v>17.512</v>
      </c>
      <c r="IW71" s="4">
        <v>12.298</v>
      </c>
      <c r="IX71" s="4">
        <v>16.84</v>
      </c>
      <c r="IY71" s="4">
        <v>16.167999999999999</v>
      </c>
      <c r="IZ71" s="4">
        <v>16.61</v>
      </c>
      <c r="JA71" s="4">
        <v>16.202000000000002</v>
      </c>
      <c r="JB71" s="4">
        <v>16.32</v>
      </c>
      <c r="JC71" s="4">
        <v>15.346</v>
      </c>
      <c r="JD71" s="4">
        <v>16.187000000000001</v>
      </c>
      <c r="JE71" s="4">
        <v>17.268999999999998</v>
      </c>
      <c r="JF71" s="4">
        <v>17.815000000000001</v>
      </c>
      <c r="JG71" s="4">
        <v>16.899999999999999</v>
      </c>
      <c r="JH71" s="4">
        <v>17.388999999999999</v>
      </c>
      <c r="JI71" s="4">
        <v>15.666</v>
      </c>
      <c r="JJ71" s="4">
        <v>16.207999999999998</v>
      </c>
      <c r="JK71" s="4">
        <v>15.507</v>
      </c>
      <c r="JL71" s="4">
        <v>18.748999999999999</v>
      </c>
      <c r="JM71" s="4">
        <v>16.498000000000001</v>
      </c>
      <c r="JN71" s="4">
        <v>16.940000000000001</v>
      </c>
      <c r="JO71" s="4">
        <v>17.231999999999999</v>
      </c>
      <c r="JP71" s="4">
        <v>16.765000000000001</v>
      </c>
      <c r="JQ71" s="4">
        <v>16.173999999999999</v>
      </c>
      <c r="JR71" s="4">
        <v>15.484999999999999</v>
      </c>
      <c r="JS71" s="4">
        <v>14.821999999999999</v>
      </c>
      <c r="JT71" s="4">
        <v>17.678999999999998</v>
      </c>
      <c r="JU71" s="4">
        <v>17.369</v>
      </c>
      <c r="JV71" s="4">
        <v>16.928000000000001</v>
      </c>
      <c r="JW71" s="4">
        <v>17.059999999999999</v>
      </c>
      <c r="JX71" s="4">
        <v>15.557</v>
      </c>
      <c r="JY71" s="4">
        <v>17.489999999999998</v>
      </c>
      <c r="JZ71" s="4">
        <v>16.73</v>
      </c>
      <c r="KA71" s="4">
        <v>16.556000000000001</v>
      </c>
      <c r="KB71" s="4">
        <v>14.55</v>
      </c>
      <c r="KC71" s="4">
        <v>14.863</v>
      </c>
      <c r="KD71" s="4">
        <v>16.481000000000002</v>
      </c>
      <c r="KE71" s="4">
        <v>17.811</v>
      </c>
      <c r="KF71" s="4">
        <v>16.027999999999999</v>
      </c>
      <c r="KG71" s="4">
        <v>17.356999999999999</v>
      </c>
      <c r="KH71" s="4">
        <v>15.997</v>
      </c>
      <c r="KI71" s="4">
        <v>16.968</v>
      </c>
      <c r="KJ71" s="4">
        <v>17.550999999999998</v>
      </c>
      <c r="KK71" s="4">
        <v>16.114000000000001</v>
      </c>
      <c r="KL71" s="4">
        <v>15.859</v>
      </c>
      <c r="KM71" s="4">
        <v>13.369</v>
      </c>
      <c r="KN71" s="4">
        <v>16.324000000000002</v>
      </c>
      <c r="KO71" s="4">
        <v>14.253</v>
      </c>
      <c r="KP71" s="4">
        <v>16.949000000000002</v>
      </c>
      <c r="KQ71" s="4">
        <v>17.68</v>
      </c>
      <c r="KR71" s="4">
        <v>16.033000000000001</v>
      </c>
      <c r="KS71" s="4">
        <v>18.242000000000001</v>
      </c>
    </row>
    <row r="72" spans="1:305" x14ac:dyDescent="0.25">
      <c r="A72" s="4">
        <v>2019</v>
      </c>
      <c r="B72" s="4">
        <v>9</v>
      </c>
      <c r="C72" s="4">
        <v>5.5339999999999998</v>
      </c>
      <c r="D72" s="4">
        <v>12.824999999999999</v>
      </c>
      <c r="E72" s="4">
        <v>12.742000000000001</v>
      </c>
      <c r="F72" s="4">
        <v>12.03</v>
      </c>
      <c r="G72" s="4">
        <v>12.032</v>
      </c>
      <c r="H72" s="4">
        <v>8.5129999999999999</v>
      </c>
      <c r="I72" s="4">
        <v>11.952</v>
      </c>
      <c r="J72" s="4">
        <v>7.0750000000000002</v>
      </c>
      <c r="K72" s="4">
        <v>11.853999999999999</v>
      </c>
      <c r="L72" s="4">
        <v>13.429</v>
      </c>
      <c r="M72" s="4">
        <v>8.0609999999999999</v>
      </c>
      <c r="N72" s="4">
        <v>11.676</v>
      </c>
      <c r="O72" s="4">
        <v>6.649</v>
      </c>
      <c r="P72" s="4">
        <v>10.754</v>
      </c>
      <c r="Q72" s="4">
        <v>5.7880000000000003</v>
      </c>
      <c r="R72" s="4">
        <v>5.9829999999999997</v>
      </c>
      <c r="S72" s="4">
        <v>10.776</v>
      </c>
      <c r="T72" s="4">
        <v>11.510999999999999</v>
      </c>
      <c r="U72" s="4">
        <v>11.324999999999999</v>
      </c>
      <c r="V72" s="4">
        <v>11.670999999999999</v>
      </c>
      <c r="W72" s="4">
        <v>10.737</v>
      </c>
      <c r="X72" s="4">
        <v>13.500999999999999</v>
      </c>
      <c r="Y72" s="4">
        <v>11.307</v>
      </c>
      <c r="Z72" s="4">
        <v>7.5419999999999998</v>
      </c>
      <c r="AA72" s="4">
        <v>13.499000000000001</v>
      </c>
      <c r="AB72" s="4">
        <v>7.7270000000000003</v>
      </c>
      <c r="AC72" s="4">
        <v>11.89</v>
      </c>
      <c r="AD72" s="4">
        <v>10.128</v>
      </c>
      <c r="AE72" s="4">
        <v>11.382999999999999</v>
      </c>
      <c r="AF72" s="4">
        <v>13.847</v>
      </c>
      <c r="AG72" s="4">
        <v>10.34</v>
      </c>
      <c r="AH72" s="4">
        <v>12.004</v>
      </c>
      <c r="AI72" s="4">
        <v>7.54</v>
      </c>
      <c r="AJ72" s="4">
        <v>12.603999999999999</v>
      </c>
      <c r="AK72" s="4">
        <v>13.38</v>
      </c>
      <c r="AL72" s="4">
        <v>14.374000000000001</v>
      </c>
      <c r="AM72" s="4">
        <v>10.135999999999999</v>
      </c>
      <c r="AN72" s="4">
        <v>12.617000000000001</v>
      </c>
      <c r="AO72" s="4">
        <v>10.773</v>
      </c>
      <c r="AP72" s="4">
        <v>10.007</v>
      </c>
      <c r="AQ72" s="4">
        <v>6.9880000000000004</v>
      </c>
      <c r="AR72" s="4">
        <v>9.3970000000000002</v>
      </c>
      <c r="AS72" s="4">
        <v>11.228999999999999</v>
      </c>
      <c r="AT72" s="4">
        <v>11.124000000000001</v>
      </c>
      <c r="AU72" s="4">
        <v>12.191000000000001</v>
      </c>
      <c r="AV72" s="4">
        <v>11.846</v>
      </c>
      <c r="AW72" s="4">
        <v>11.814</v>
      </c>
      <c r="AX72" s="4">
        <v>13.573</v>
      </c>
      <c r="AY72" s="4">
        <v>11.922000000000001</v>
      </c>
      <c r="AZ72" s="4">
        <v>10.77</v>
      </c>
      <c r="BA72" s="4">
        <v>13.738</v>
      </c>
      <c r="BB72" s="4">
        <v>11.201000000000001</v>
      </c>
      <c r="BC72" s="4">
        <v>14.827999999999999</v>
      </c>
      <c r="BD72" s="4">
        <v>10.557</v>
      </c>
      <c r="BE72" s="4">
        <v>11.643000000000001</v>
      </c>
      <c r="BF72" s="4">
        <v>10.121</v>
      </c>
      <c r="BG72" s="4">
        <v>11.166</v>
      </c>
      <c r="BH72" s="4">
        <v>11.567</v>
      </c>
      <c r="BI72" s="4">
        <v>11.616</v>
      </c>
      <c r="BJ72" s="4">
        <v>6.9539999999999997</v>
      </c>
      <c r="BK72" s="4">
        <v>10.972</v>
      </c>
      <c r="BL72" s="4">
        <v>6.9539999999999997</v>
      </c>
      <c r="BM72" s="4">
        <v>6.085</v>
      </c>
      <c r="BN72" s="4">
        <v>9.6059999999999999</v>
      </c>
      <c r="BO72" s="4">
        <v>5.5940000000000003</v>
      </c>
      <c r="BP72" s="4">
        <v>11.145</v>
      </c>
      <c r="BQ72" s="4">
        <v>11.52</v>
      </c>
      <c r="BR72" s="4">
        <v>11.705</v>
      </c>
      <c r="BS72" s="4">
        <v>13.579000000000001</v>
      </c>
      <c r="BT72" s="4">
        <v>12.122999999999999</v>
      </c>
      <c r="BU72" s="4">
        <v>12.244999999999999</v>
      </c>
      <c r="BV72" s="4">
        <v>12.5</v>
      </c>
      <c r="BW72" s="4">
        <v>9.7959999999999994</v>
      </c>
      <c r="BX72" s="4">
        <v>10.105</v>
      </c>
      <c r="BY72" s="4">
        <v>11.260999999999999</v>
      </c>
      <c r="BZ72" s="4">
        <v>11.398999999999999</v>
      </c>
      <c r="CA72" s="4">
        <v>13.634</v>
      </c>
      <c r="CB72" s="4">
        <v>12.11</v>
      </c>
      <c r="CC72" s="4">
        <v>7.9240000000000004</v>
      </c>
      <c r="CD72" s="4">
        <v>11.871</v>
      </c>
      <c r="CE72" s="4">
        <v>8.7959999999999994</v>
      </c>
      <c r="CF72" s="4">
        <v>10.065</v>
      </c>
      <c r="CG72" s="4">
        <v>12.893000000000001</v>
      </c>
      <c r="CH72" s="4">
        <v>12.486000000000001</v>
      </c>
      <c r="CI72" s="4">
        <v>10.539</v>
      </c>
      <c r="CJ72" s="4">
        <v>6.5119999999999996</v>
      </c>
      <c r="CK72" s="4">
        <v>13.815</v>
      </c>
      <c r="CL72" s="4">
        <v>4.8179999999999996</v>
      </c>
      <c r="CM72" s="4">
        <v>13.218999999999999</v>
      </c>
      <c r="CN72" s="4">
        <v>11.726000000000001</v>
      </c>
      <c r="CO72" s="4">
        <v>12.262</v>
      </c>
      <c r="CP72" s="4">
        <v>10.244</v>
      </c>
      <c r="CQ72" s="4">
        <v>13.929</v>
      </c>
      <c r="CR72" s="4">
        <v>12.444000000000001</v>
      </c>
      <c r="CS72" s="4">
        <v>12.913</v>
      </c>
      <c r="CT72" s="4">
        <v>12.949</v>
      </c>
      <c r="CU72" s="4">
        <v>11.726000000000001</v>
      </c>
      <c r="CV72" s="4">
        <v>12.115</v>
      </c>
      <c r="CW72" s="4">
        <v>10.372</v>
      </c>
      <c r="CX72" s="4">
        <v>11.961</v>
      </c>
      <c r="CY72" s="4">
        <v>11.866</v>
      </c>
      <c r="CZ72" s="4">
        <v>12.831</v>
      </c>
      <c r="DA72" s="4">
        <v>6.3150000000000004</v>
      </c>
      <c r="DB72" s="4">
        <v>11.59</v>
      </c>
      <c r="DC72" s="4">
        <v>7.8419999999999996</v>
      </c>
      <c r="DD72" s="4">
        <v>8.1479999999999997</v>
      </c>
      <c r="DE72" s="4">
        <v>13.632</v>
      </c>
      <c r="DF72" s="4">
        <v>5.7939999999999996</v>
      </c>
      <c r="DG72" s="4">
        <v>12.42</v>
      </c>
      <c r="DH72" s="4">
        <v>13.106</v>
      </c>
      <c r="DI72" s="4">
        <v>10.601000000000001</v>
      </c>
      <c r="DJ72" s="4">
        <v>13.747999999999999</v>
      </c>
      <c r="DK72" s="4">
        <v>11.746</v>
      </c>
      <c r="DL72" s="4">
        <v>11.682</v>
      </c>
      <c r="DM72" s="4">
        <v>14.048</v>
      </c>
      <c r="DN72" s="4">
        <v>10.964</v>
      </c>
      <c r="DO72" s="4">
        <v>12.188000000000001</v>
      </c>
      <c r="DP72" s="4">
        <v>5.5709999999999997</v>
      </c>
      <c r="DQ72" s="4">
        <v>11.507</v>
      </c>
      <c r="DR72" s="4">
        <v>12.981</v>
      </c>
      <c r="DS72" s="4">
        <v>11.827</v>
      </c>
      <c r="DT72" s="4">
        <v>11.516999999999999</v>
      </c>
      <c r="DU72" s="4">
        <v>9.9169999999999998</v>
      </c>
      <c r="DV72" s="4">
        <v>9.2469999999999999</v>
      </c>
      <c r="DW72" s="4">
        <v>13.439</v>
      </c>
      <c r="DX72" s="4">
        <v>11.404999999999999</v>
      </c>
      <c r="DY72" s="4">
        <v>11.316000000000001</v>
      </c>
      <c r="DZ72" s="4">
        <v>13.015000000000001</v>
      </c>
      <c r="EA72" s="4">
        <v>13.452</v>
      </c>
      <c r="EB72" s="4">
        <v>11.74</v>
      </c>
      <c r="EC72" s="4">
        <v>5.4349999999999996</v>
      </c>
      <c r="ED72" s="4">
        <v>13.239000000000001</v>
      </c>
      <c r="EE72" s="4">
        <v>14.124000000000001</v>
      </c>
      <c r="EF72" s="4">
        <v>11.151</v>
      </c>
      <c r="EG72" s="4">
        <v>11.134</v>
      </c>
      <c r="EH72" s="4">
        <v>9.6039999999999992</v>
      </c>
      <c r="EI72" s="4">
        <v>12.353999999999999</v>
      </c>
      <c r="EJ72" s="4">
        <v>11.958</v>
      </c>
      <c r="EK72" s="4">
        <v>12.532999999999999</v>
      </c>
      <c r="EL72" s="4">
        <v>12.464</v>
      </c>
      <c r="EM72" s="4">
        <v>12.311999999999999</v>
      </c>
      <c r="EN72" s="4">
        <v>10.675000000000001</v>
      </c>
      <c r="EO72" s="4">
        <v>12.12</v>
      </c>
      <c r="EP72" s="4">
        <v>11.938000000000001</v>
      </c>
      <c r="EQ72" s="4">
        <v>9.5640000000000001</v>
      </c>
      <c r="ER72" s="4">
        <v>14.371</v>
      </c>
      <c r="ES72" s="4">
        <v>10.234</v>
      </c>
      <c r="ET72" s="4">
        <v>8.8849999999999998</v>
      </c>
      <c r="EU72" s="4">
        <v>14.055999999999999</v>
      </c>
      <c r="EV72" s="4">
        <v>6.8079999999999998</v>
      </c>
      <c r="EW72" s="4">
        <v>13.26</v>
      </c>
      <c r="EX72" s="4">
        <v>6.2080000000000002</v>
      </c>
      <c r="EY72" s="4">
        <v>11.613</v>
      </c>
      <c r="EZ72" s="4">
        <v>14.488</v>
      </c>
      <c r="FA72" s="4">
        <v>8.5960000000000001</v>
      </c>
      <c r="FB72" s="4">
        <v>12.571999999999999</v>
      </c>
      <c r="FC72" s="4">
        <v>12.285</v>
      </c>
      <c r="FD72" s="4">
        <v>11.747</v>
      </c>
      <c r="FE72" s="4">
        <v>12.254</v>
      </c>
      <c r="FF72" s="4">
        <v>12.042</v>
      </c>
      <c r="FG72" s="4">
        <v>13.247</v>
      </c>
      <c r="FH72" s="4">
        <v>13.331</v>
      </c>
      <c r="FI72" s="4">
        <v>9.8520000000000003</v>
      </c>
      <c r="FJ72" s="4">
        <v>13.888</v>
      </c>
      <c r="FK72" s="4">
        <v>12.188000000000001</v>
      </c>
      <c r="FL72" s="4">
        <v>12.147</v>
      </c>
      <c r="FM72" s="4">
        <v>10.151999999999999</v>
      </c>
      <c r="FN72" s="4">
        <v>12.518000000000001</v>
      </c>
      <c r="FO72" s="4">
        <v>10.821999999999999</v>
      </c>
      <c r="FP72" s="4">
        <v>10.648</v>
      </c>
      <c r="FQ72" s="4">
        <v>10.728</v>
      </c>
      <c r="FR72" s="4">
        <v>9.6669999999999998</v>
      </c>
      <c r="FS72" s="4">
        <v>8.9380000000000006</v>
      </c>
      <c r="FT72" s="4">
        <v>12.048</v>
      </c>
      <c r="FU72" s="4">
        <v>11.728999999999999</v>
      </c>
      <c r="FV72" s="4">
        <v>6.657</v>
      </c>
      <c r="FW72" s="4">
        <v>12.586</v>
      </c>
      <c r="FX72" s="4">
        <v>12.08</v>
      </c>
      <c r="FY72" s="4">
        <v>11.91</v>
      </c>
      <c r="FZ72" s="4">
        <v>12.195</v>
      </c>
      <c r="GA72" s="4">
        <v>10.337999999999999</v>
      </c>
      <c r="GB72" s="4">
        <v>14.147</v>
      </c>
      <c r="GC72" s="4">
        <v>12.289</v>
      </c>
      <c r="GD72" s="4">
        <v>12.71</v>
      </c>
      <c r="GE72" s="4">
        <v>11.375999999999999</v>
      </c>
      <c r="GF72" s="4">
        <v>12.509</v>
      </c>
      <c r="GG72" s="4">
        <v>9.1760000000000002</v>
      </c>
      <c r="GH72" s="4">
        <v>9.5579999999999998</v>
      </c>
      <c r="GI72" s="4">
        <v>12.858000000000001</v>
      </c>
      <c r="GJ72" s="4">
        <v>12.301</v>
      </c>
      <c r="GK72" s="4">
        <v>12.959</v>
      </c>
      <c r="GL72" s="4">
        <v>12.183999999999999</v>
      </c>
      <c r="GM72" s="3"/>
      <c r="GN72" s="4">
        <v>7.7050000000000001</v>
      </c>
      <c r="GO72" s="4">
        <v>11.525</v>
      </c>
      <c r="GP72" s="4">
        <v>9.49</v>
      </c>
      <c r="GQ72" s="4">
        <v>7.593</v>
      </c>
      <c r="GR72" s="4">
        <v>7.7969999999999997</v>
      </c>
      <c r="GS72" s="4">
        <v>12.201000000000001</v>
      </c>
      <c r="GT72" s="4">
        <v>6.59</v>
      </c>
      <c r="GU72" s="4">
        <v>12.842000000000001</v>
      </c>
      <c r="GV72" s="4">
        <v>8.2449999999999992</v>
      </c>
      <c r="GW72" s="4">
        <v>9.5389999999999997</v>
      </c>
      <c r="GX72" s="4">
        <v>5.617</v>
      </c>
      <c r="GY72" s="4">
        <v>8.1590000000000007</v>
      </c>
      <c r="GZ72" s="4">
        <v>13.324</v>
      </c>
      <c r="HA72" s="4">
        <v>11.561999999999999</v>
      </c>
      <c r="HB72" s="4">
        <v>10.976000000000001</v>
      </c>
      <c r="HC72" s="4">
        <v>12.364000000000001</v>
      </c>
      <c r="HD72" s="4">
        <v>7.27</v>
      </c>
      <c r="HE72" s="4">
        <v>10.964</v>
      </c>
      <c r="HF72" s="4">
        <v>6.9409999999999998</v>
      </c>
      <c r="HG72" s="4">
        <v>12.602</v>
      </c>
      <c r="HH72" s="4">
        <v>10.436</v>
      </c>
      <c r="HI72" s="4">
        <v>11.144</v>
      </c>
      <c r="HJ72" s="4">
        <v>12.193</v>
      </c>
      <c r="HK72" s="4">
        <v>14.161</v>
      </c>
      <c r="HL72" s="4">
        <v>13.292</v>
      </c>
      <c r="HM72" s="4">
        <v>11.85</v>
      </c>
      <c r="HN72" s="4">
        <v>8.2579999999999991</v>
      </c>
      <c r="HO72" s="4">
        <v>10.612</v>
      </c>
      <c r="HP72" s="4">
        <v>11.532</v>
      </c>
      <c r="HQ72" s="4">
        <v>13.686999999999999</v>
      </c>
      <c r="HR72" s="4">
        <v>11.247</v>
      </c>
      <c r="HS72" s="4">
        <v>10.451000000000001</v>
      </c>
      <c r="HT72" s="4">
        <v>10.733000000000001</v>
      </c>
      <c r="HU72" s="4">
        <v>12.106999999999999</v>
      </c>
      <c r="HV72" s="4">
        <v>12.122</v>
      </c>
      <c r="HW72" s="4">
        <v>7.9909999999999997</v>
      </c>
      <c r="HX72" s="4">
        <v>12.666</v>
      </c>
      <c r="HY72" s="4">
        <v>12.763</v>
      </c>
      <c r="HZ72" s="4">
        <v>13.385999999999999</v>
      </c>
      <c r="IA72" s="4">
        <v>5.673</v>
      </c>
      <c r="IB72" s="4">
        <v>13.525</v>
      </c>
      <c r="IC72" s="4">
        <v>14.018000000000001</v>
      </c>
      <c r="ID72" s="4">
        <v>12.778</v>
      </c>
      <c r="IE72" s="4">
        <v>12.83</v>
      </c>
      <c r="IF72" s="4">
        <v>12.526999999999999</v>
      </c>
      <c r="IG72" s="4">
        <v>10.494999999999999</v>
      </c>
      <c r="IH72" s="4">
        <v>6.0019999999999998</v>
      </c>
      <c r="II72" s="4">
        <v>6.2389999999999999</v>
      </c>
      <c r="IJ72" s="4">
        <v>11.973000000000001</v>
      </c>
      <c r="IK72" s="4">
        <v>12.916</v>
      </c>
      <c r="IL72" s="4">
        <v>7.1550000000000002</v>
      </c>
      <c r="IM72" s="4">
        <v>12.8</v>
      </c>
      <c r="IN72" s="4">
        <v>9.9049999999999994</v>
      </c>
      <c r="IO72" s="4">
        <v>10.488</v>
      </c>
      <c r="IP72" s="4">
        <v>11.169</v>
      </c>
      <c r="IQ72" s="4">
        <v>13.631</v>
      </c>
      <c r="IR72" s="4">
        <v>13.954000000000001</v>
      </c>
      <c r="IS72" s="4">
        <v>7.6829999999999998</v>
      </c>
      <c r="IT72" s="4">
        <v>11.449</v>
      </c>
      <c r="IU72" s="4">
        <v>7.524</v>
      </c>
      <c r="IV72" s="4">
        <v>12.486000000000001</v>
      </c>
      <c r="IW72" s="4">
        <v>5.7560000000000002</v>
      </c>
      <c r="IX72" s="4">
        <v>12.47</v>
      </c>
      <c r="IY72" s="4">
        <v>10.957000000000001</v>
      </c>
      <c r="IZ72" s="4">
        <v>11.833</v>
      </c>
      <c r="JA72" s="4">
        <v>11.394</v>
      </c>
      <c r="JB72" s="4">
        <v>11.211</v>
      </c>
      <c r="JC72" s="4">
        <v>9.5790000000000006</v>
      </c>
      <c r="JD72" s="4">
        <v>12.362</v>
      </c>
      <c r="JE72" s="4">
        <v>13.593</v>
      </c>
      <c r="JF72" s="4">
        <v>13.467000000000001</v>
      </c>
      <c r="JG72" s="4">
        <v>12</v>
      </c>
      <c r="JH72" s="4">
        <v>13.391</v>
      </c>
      <c r="JI72" s="4">
        <v>10.167</v>
      </c>
      <c r="JJ72" s="4">
        <v>11.56</v>
      </c>
      <c r="JK72" s="4">
        <v>11.3</v>
      </c>
      <c r="JL72" s="4">
        <v>14.464</v>
      </c>
      <c r="JM72" s="4">
        <v>12.339</v>
      </c>
      <c r="JN72" s="4">
        <v>12.002000000000001</v>
      </c>
      <c r="JO72" s="4">
        <v>12.279</v>
      </c>
      <c r="JP72" s="4">
        <v>12.465999999999999</v>
      </c>
      <c r="JQ72" s="4">
        <v>12.256</v>
      </c>
      <c r="JR72" s="4">
        <v>11.135999999999999</v>
      </c>
      <c r="JS72" s="4">
        <v>8.7449999999999992</v>
      </c>
      <c r="JT72" s="4">
        <v>12.676</v>
      </c>
      <c r="JU72" s="4">
        <v>12.378</v>
      </c>
      <c r="JV72" s="4">
        <v>11.815</v>
      </c>
      <c r="JW72" s="4">
        <v>12.545</v>
      </c>
      <c r="JX72" s="4">
        <v>11.319000000000001</v>
      </c>
      <c r="JY72" s="4">
        <v>12.582000000000001</v>
      </c>
      <c r="JZ72" s="4">
        <v>11.694000000000001</v>
      </c>
      <c r="KA72" s="4">
        <v>12.436</v>
      </c>
      <c r="KB72" s="4">
        <v>8.0039999999999996</v>
      </c>
      <c r="KC72" s="4">
        <v>9.1050000000000004</v>
      </c>
      <c r="KD72" s="4">
        <v>12.057</v>
      </c>
      <c r="KE72" s="4">
        <v>13.772</v>
      </c>
      <c r="KF72" s="4">
        <v>11.706</v>
      </c>
      <c r="KG72" s="4">
        <v>12.395</v>
      </c>
      <c r="KH72" s="4">
        <v>11.833</v>
      </c>
      <c r="KI72" s="4">
        <v>11.811999999999999</v>
      </c>
      <c r="KJ72" s="4">
        <v>12.93</v>
      </c>
      <c r="KK72" s="4">
        <v>12.010999999999999</v>
      </c>
      <c r="KL72" s="4">
        <v>11.374000000000001</v>
      </c>
      <c r="KM72" s="4">
        <v>6.2380000000000004</v>
      </c>
      <c r="KN72" s="4">
        <v>11.738</v>
      </c>
      <c r="KO72" s="4">
        <v>7.3719999999999999</v>
      </c>
      <c r="KP72" s="4">
        <v>11.698</v>
      </c>
      <c r="KQ72" s="4">
        <v>13.319000000000001</v>
      </c>
      <c r="KR72" s="4">
        <v>11.289</v>
      </c>
      <c r="KS72" s="4">
        <v>14.087999999999999</v>
      </c>
    </row>
    <row r="73" spans="1:305" x14ac:dyDescent="0.25">
      <c r="A73" s="4">
        <v>2019</v>
      </c>
      <c r="B73" s="4">
        <v>10</v>
      </c>
      <c r="C73" s="4">
        <v>-2.4060000000000001</v>
      </c>
      <c r="D73" s="4">
        <v>7.2309999999999999</v>
      </c>
      <c r="E73" s="4">
        <v>7.5979999999999999</v>
      </c>
      <c r="F73" s="4">
        <v>7.0419999999999998</v>
      </c>
      <c r="G73" s="4">
        <v>7.5309999999999997</v>
      </c>
      <c r="H73" s="4">
        <v>2.4260000000000002</v>
      </c>
      <c r="I73" s="4">
        <v>7.3760000000000003</v>
      </c>
      <c r="J73" s="4">
        <v>-1.226</v>
      </c>
      <c r="K73" s="4">
        <v>6.3070000000000004</v>
      </c>
      <c r="L73" s="4">
        <v>9.1679999999999993</v>
      </c>
      <c r="M73" s="4">
        <v>1.673</v>
      </c>
      <c r="N73" s="4">
        <v>6.1210000000000004</v>
      </c>
      <c r="O73" s="4">
        <v>0.46500000000000002</v>
      </c>
      <c r="P73" s="4">
        <v>5.0149999999999997</v>
      </c>
      <c r="Q73" s="4">
        <v>-1.6830000000000001</v>
      </c>
      <c r="R73" s="4">
        <v>-2.1949999999999998</v>
      </c>
      <c r="S73" s="4">
        <v>5.01</v>
      </c>
      <c r="T73" s="4">
        <v>6.8760000000000003</v>
      </c>
      <c r="U73" s="4">
        <v>6.08</v>
      </c>
      <c r="V73" s="4">
        <v>6.6159999999999997</v>
      </c>
      <c r="W73" s="4">
        <v>4.8959999999999999</v>
      </c>
      <c r="X73" s="4">
        <v>9.2420000000000009</v>
      </c>
      <c r="Y73" s="4">
        <v>5.5670000000000002</v>
      </c>
      <c r="Z73" s="4">
        <v>0.85599999999999998</v>
      </c>
      <c r="AA73" s="4">
        <v>9.1980000000000004</v>
      </c>
      <c r="AB73" s="4">
        <v>-0.60599999999999998</v>
      </c>
      <c r="AC73" s="4">
        <v>7.0949999999999998</v>
      </c>
      <c r="AD73" s="4">
        <v>3.6779999999999999</v>
      </c>
      <c r="AE73" s="4">
        <v>6.6319999999999997</v>
      </c>
      <c r="AF73" s="4">
        <v>9.0790000000000006</v>
      </c>
      <c r="AG73" s="4">
        <v>4.2869999999999999</v>
      </c>
      <c r="AH73" s="4">
        <v>6.6120000000000001</v>
      </c>
      <c r="AI73" s="4">
        <v>1.405</v>
      </c>
      <c r="AJ73" s="4">
        <v>8.2219999999999995</v>
      </c>
      <c r="AK73" s="4">
        <v>8.9760000000000009</v>
      </c>
      <c r="AL73" s="4">
        <v>10.074999999999999</v>
      </c>
      <c r="AM73" s="4">
        <v>4.2750000000000004</v>
      </c>
      <c r="AN73" s="4">
        <v>7.0410000000000004</v>
      </c>
      <c r="AO73" s="4">
        <v>5.3949999999999996</v>
      </c>
      <c r="AP73" s="4">
        <v>3.6360000000000001</v>
      </c>
      <c r="AQ73" s="4">
        <v>0.77800000000000002</v>
      </c>
      <c r="AR73" s="4">
        <v>2.996</v>
      </c>
      <c r="AS73" s="4">
        <v>5.6189999999999998</v>
      </c>
      <c r="AT73" s="4">
        <v>6.4029999999999996</v>
      </c>
      <c r="AU73" s="4">
        <v>7.6520000000000001</v>
      </c>
      <c r="AV73" s="4">
        <v>6.12</v>
      </c>
      <c r="AW73" s="4">
        <v>6.26</v>
      </c>
      <c r="AX73" s="4">
        <v>9.3469999999999995</v>
      </c>
      <c r="AY73" s="4">
        <v>6.6050000000000004</v>
      </c>
      <c r="AZ73" s="4">
        <v>5.0179999999999998</v>
      </c>
      <c r="BA73" s="4">
        <v>9.173</v>
      </c>
      <c r="BB73" s="4">
        <v>6.2930000000000001</v>
      </c>
      <c r="BC73" s="4">
        <v>10.738</v>
      </c>
      <c r="BD73" s="4">
        <v>4.38</v>
      </c>
      <c r="BE73" s="4">
        <v>6.25</v>
      </c>
      <c r="BF73" s="4">
        <v>4.6929999999999996</v>
      </c>
      <c r="BG73" s="4">
        <v>5.4429999999999996</v>
      </c>
      <c r="BH73" s="4">
        <v>6.266</v>
      </c>
      <c r="BI73" s="4">
        <v>6.2839999999999998</v>
      </c>
      <c r="BJ73" s="4">
        <v>0.78800000000000003</v>
      </c>
      <c r="BK73" s="4">
        <v>5.3209999999999997</v>
      </c>
      <c r="BL73" s="4">
        <v>0.33100000000000002</v>
      </c>
      <c r="BM73" s="4">
        <v>-0.44</v>
      </c>
      <c r="BN73" s="4">
        <v>3.6709999999999998</v>
      </c>
      <c r="BO73" s="4">
        <v>-3.8330000000000002</v>
      </c>
      <c r="BP73" s="4">
        <v>5.3419999999999996</v>
      </c>
      <c r="BQ73" s="4">
        <v>6.99</v>
      </c>
      <c r="BR73" s="4">
        <v>6.4359999999999999</v>
      </c>
      <c r="BS73" s="4">
        <v>8.5350000000000001</v>
      </c>
      <c r="BT73" s="4">
        <v>6.6980000000000004</v>
      </c>
      <c r="BU73" s="4">
        <v>6.83</v>
      </c>
      <c r="BV73" s="4">
        <v>6.718</v>
      </c>
      <c r="BW73" s="4">
        <v>4.0970000000000004</v>
      </c>
      <c r="BX73" s="4">
        <v>4.6379999999999999</v>
      </c>
      <c r="BY73" s="4">
        <v>5.9269999999999996</v>
      </c>
      <c r="BZ73" s="4">
        <v>5.6120000000000001</v>
      </c>
      <c r="CA73" s="4">
        <v>9.19</v>
      </c>
      <c r="CB73" s="4">
        <v>6.7130000000000001</v>
      </c>
      <c r="CC73" s="4">
        <v>1.7490000000000001</v>
      </c>
      <c r="CD73" s="4">
        <v>6.5720000000000001</v>
      </c>
      <c r="CE73" s="4">
        <v>0.747</v>
      </c>
      <c r="CF73" s="4">
        <v>4.0369999999999999</v>
      </c>
      <c r="CG73" s="4">
        <v>7.9189999999999996</v>
      </c>
      <c r="CH73" s="4">
        <v>8.1660000000000004</v>
      </c>
      <c r="CI73" s="4">
        <v>4.5780000000000003</v>
      </c>
      <c r="CJ73" s="4">
        <v>0.43099999999999999</v>
      </c>
      <c r="CK73" s="4">
        <v>9.5370000000000008</v>
      </c>
      <c r="CL73" s="4">
        <v>-0.96899999999999997</v>
      </c>
      <c r="CM73" s="4">
        <v>8.6319999999999997</v>
      </c>
      <c r="CN73" s="4">
        <v>6.577</v>
      </c>
      <c r="CO73" s="4">
        <v>7.476</v>
      </c>
      <c r="CP73" s="4">
        <v>4.2300000000000004</v>
      </c>
      <c r="CQ73" s="4">
        <v>9.7469999999999999</v>
      </c>
      <c r="CR73" s="4">
        <v>7.6159999999999997</v>
      </c>
      <c r="CS73" s="4">
        <v>8.6709999999999994</v>
      </c>
      <c r="CT73" s="4">
        <v>8.73</v>
      </c>
      <c r="CU73" s="4">
        <v>6.298</v>
      </c>
      <c r="CV73" s="4">
        <v>6.7320000000000002</v>
      </c>
      <c r="CW73" s="4">
        <v>4.468</v>
      </c>
      <c r="CX73" s="4">
        <v>6.9779999999999998</v>
      </c>
      <c r="CY73" s="4">
        <v>7.468</v>
      </c>
      <c r="CZ73" s="4">
        <v>7.1669999999999998</v>
      </c>
      <c r="DA73" s="4">
        <v>-2.7890000000000001</v>
      </c>
      <c r="DB73" s="4">
        <v>6.9640000000000004</v>
      </c>
      <c r="DC73" s="4">
        <v>1.74</v>
      </c>
      <c r="DD73" s="4">
        <v>5.2999999999999999E-2</v>
      </c>
      <c r="DE73" s="4">
        <v>8.7449999999999992</v>
      </c>
      <c r="DF73" s="4">
        <v>-4.5019999999999998</v>
      </c>
      <c r="DG73" s="4">
        <v>7.3529999999999998</v>
      </c>
      <c r="DH73" s="4">
        <v>8.6180000000000003</v>
      </c>
      <c r="DI73" s="4">
        <v>5.2309999999999999</v>
      </c>
      <c r="DJ73" s="4">
        <v>9.2509999999999994</v>
      </c>
      <c r="DK73" s="4">
        <v>6.2089999999999996</v>
      </c>
      <c r="DL73" s="4">
        <v>6.26</v>
      </c>
      <c r="DM73" s="4">
        <v>9.7889999999999997</v>
      </c>
      <c r="DN73" s="4">
        <v>5.327</v>
      </c>
      <c r="DO73" s="4">
        <v>7.4870000000000001</v>
      </c>
      <c r="DP73" s="4">
        <v>-4.2949999999999999</v>
      </c>
      <c r="DQ73" s="4">
        <v>6.4980000000000002</v>
      </c>
      <c r="DR73" s="4">
        <v>8.73</v>
      </c>
      <c r="DS73" s="4">
        <v>6.1619999999999999</v>
      </c>
      <c r="DT73" s="4">
        <v>5.8719999999999999</v>
      </c>
      <c r="DU73" s="4">
        <v>4.367</v>
      </c>
      <c r="DV73" s="4">
        <v>3.0089999999999999</v>
      </c>
      <c r="DW73" s="4">
        <v>9.0329999999999995</v>
      </c>
      <c r="DX73" s="4">
        <v>5.9349999999999996</v>
      </c>
      <c r="DY73" s="4">
        <v>5.9669999999999996</v>
      </c>
      <c r="DZ73" s="4">
        <v>7.8710000000000004</v>
      </c>
      <c r="EA73" s="4">
        <v>8.5749999999999993</v>
      </c>
      <c r="EB73" s="4">
        <v>6.1760000000000002</v>
      </c>
      <c r="EC73" s="4">
        <v>-2.5680000000000001</v>
      </c>
      <c r="ED73" s="4">
        <v>8.8840000000000003</v>
      </c>
      <c r="EE73" s="4">
        <v>9.907</v>
      </c>
      <c r="EF73" s="4">
        <v>5.8540000000000001</v>
      </c>
      <c r="EG73" s="4">
        <v>5.8</v>
      </c>
      <c r="EH73" s="4">
        <v>3.67</v>
      </c>
      <c r="EI73" s="4">
        <v>7.4489999999999998</v>
      </c>
      <c r="EJ73" s="4">
        <v>7.4610000000000003</v>
      </c>
      <c r="EK73" s="4">
        <v>7.0119999999999996</v>
      </c>
      <c r="EL73" s="4">
        <v>7.056</v>
      </c>
      <c r="EM73" s="4">
        <v>6.8940000000000001</v>
      </c>
      <c r="EN73" s="4">
        <v>5.0940000000000003</v>
      </c>
      <c r="EO73" s="4">
        <v>7.077</v>
      </c>
      <c r="EP73" s="4">
        <v>7.4029999999999996</v>
      </c>
      <c r="EQ73" s="4">
        <v>3.0310000000000001</v>
      </c>
      <c r="ER73" s="4">
        <v>10.092000000000001</v>
      </c>
      <c r="ES73" s="4">
        <v>4.4320000000000004</v>
      </c>
      <c r="ET73" s="4">
        <v>0.68500000000000005</v>
      </c>
      <c r="EU73" s="4">
        <v>9.8010000000000002</v>
      </c>
      <c r="EV73" s="4">
        <v>5.1999999999999998E-2</v>
      </c>
      <c r="EW73" s="4">
        <v>7.9429999999999996</v>
      </c>
      <c r="EX73" s="4">
        <v>-1.2370000000000001</v>
      </c>
      <c r="EY73" s="4">
        <v>6.609</v>
      </c>
      <c r="EZ73" s="4">
        <v>10.18</v>
      </c>
      <c r="FA73" s="4">
        <v>2.774</v>
      </c>
      <c r="FB73" s="4">
        <v>7.1369999999999996</v>
      </c>
      <c r="FC73" s="4">
        <v>7.8579999999999997</v>
      </c>
      <c r="FD73" s="4">
        <v>6.0110000000000001</v>
      </c>
      <c r="FE73" s="4">
        <v>7.0880000000000001</v>
      </c>
      <c r="FF73" s="4">
        <v>6.8869999999999996</v>
      </c>
      <c r="FG73" s="4">
        <v>8.2349999999999994</v>
      </c>
      <c r="FH73" s="4">
        <v>8.5109999999999992</v>
      </c>
      <c r="FI73" s="4">
        <v>3.7130000000000001</v>
      </c>
      <c r="FJ73" s="4">
        <v>8.9870000000000001</v>
      </c>
      <c r="FK73" s="4">
        <v>7.0229999999999997</v>
      </c>
      <c r="FL73" s="4">
        <v>6.6440000000000001</v>
      </c>
      <c r="FM73" s="4">
        <v>4.601</v>
      </c>
      <c r="FN73" s="4">
        <v>7.0339999999999998</v>
      </c>
      <c r="FO73" s="4">
        <v>6.2130000000000001</v>
      </c>
      <c r="FP73" s="4">
        <v>5.14</v>
      </c>
      <c r="FQ73" s="4">
        <v>4.9409999999999998</v>
      </c>
      <c r="FR73" s="4">
        <v>3.6240000000000001</v>
      </c>
      <c r="FS73" s="4">
        <v>2.5009999999999999</v>
      </c>
      <c r="FT73" s="4">
        <v>6.8550000000000004</v>
      </c>
      <c r="FU73" s="4">
        <v>6.2560000000000002</v>
      </c>
      <c r="FV73" s="4">
        <v>-0.67400000000000004</v>
      </c>
      <c r="FW73" s="4">
        <v>7.9610000000000003</v>
      </c>
      <c r="FX73" s="4">
        <v>6.8529999999999998</v>
      </c>
      <c r="FY73" s="4">
        <v>6.5590000000000002</v>
      </c>
      <c r="FZ73" s="4">
        <v>7.1779999999999999</v>
      </c>
      <c r="GA73" s="4">
        <v>4.2220000000000004</v>
      </c>
      <c r="GB73" s="4">
        <v>9.3000000000000007</v>
      </c>
      <c r="GC73" s="4">
        <v>7.3929999999999998</v>
      </c>
      <c r="GD73" s="4">
        <v>8.1140000000000008</v>
      </c>
      <c r="GE73" s="4">
        <v>5.9480000000000004</v>
      </c>
      <c r="GF73" s="4">
        <v>8.24</v>
      </c>
      <c r="GG73" s="4">
        <v>2.8530000000000002</v>
      </c>
      <c r="GH73" s="4">
        <v>3.2959999999999998</v>
      </c>
      <c r="GI73" s="4">
        <v>7.4089999999999998</v>
      </c>
      <c r="GJ73" s="4">
        <v>7.8810000000000002</v>
      </c>
      <c r="GK73" s="4">
        <v>7.8819999999999997</v>
      </c>
      <c r="GL73" s="4">
        <v>6.6669999999999998</v>
      </c>
      <c r="GM73" s="3"/>
      <c r="GN73" s="4">
        <v>1.627</v>
      </c>
      <c r="GO73" s="4">
        <v>5.8579999999999997</v>
      </c>
      <c r="GP73" s="4">
        <v>3.5979999999999999</v>
      </c>
      <c r="GQ73" s="4">
        <v>-0.96099999999999997</v>
      </c>
      <c r="GR73" s="4">
        <v>-0.8</v>
      </c>
      <c r="GS73" s="4">
        <v>7.2830000000000004</v>
      </c>
      <c r="GT73" s="4">
        <v>-2.661</v>
      </c>
      <c r="GU73" s="4">
        <v>7.8570000000000002</v>
      </c>
      <c r="GV73" s="4">
        <v>0.29499999999999998</v>
      </c>
      <c r="GW73" s="4">
        <v>3.5</v>
      </c>
      <c r="GX73" s="4">
        <v>-1.5229999999999999</v>
      </c>
      <c r="GY73" s="4">
        <v>1.679</v>
      </c>
      <c r="GZ73" s="4">
        <v>8.8109999999999999</v>
      </c>
      <c r="HA73" s="4">
        <v>6.0140000000000002</v>
      </c>
      <c r="HB73" s="4">
        <v>5.258</v>
      </c>
      <c r="HC73" s="4">
        <v>6.8920000000000003</v>
      </c>
      <c r="HD73" s="4">
        <v>1.3660000000000001</v>
      </c>
      <c r="HE73" s="4">
        <v>4.8609999999999998</v>
      </c>
      <c r="HF73" s="4">
        <v>0.73699999999999999</v>
      </c>
      <c r="HG73" s="4">
        <v>7.2690000000000001</v>
      </c>
      <c r="HH73" s="4">
        <v>4.3769999999999998</v>
      </c>
      <c r="HI73" s="4">
        <v>6.5750000000000002</v>
      </c>
      <c r="HJ73" s="4">
        <v>6.4809999999999999</v>
      </c>
      <c r="HK73" s="4">
        <v>9.9619999999999997</v>
      </c>
      <c r="HL73" s="4">
        <v>9.0500000000000007</v>
      </c>
      <c r="HM73" s="4">
        <v>6.54</v>
      </c>
      <c r="HN73" s="4">
        <v>0.96</v>
      </c>
      <c r="HO73" s="4">
        <v>4.8949999999999996</v>
      </c>
      <c r="HP73" s="4">
        <v>6.367</v>
      </c>
      <c r="HQ73" s="4">
        <v>9.4480000000000004</v>
      </c>
      <c r="HR73" s="4">
        <v>5.8090000000000002</v>
      </c>
      <c r="HS73" s="4">
        <v>4.633</v>
      </c>
      <c r="HT73" s="4">
        <v>5.1020000000000003</v>
      </c>
      <c r="HU73" s="4">
        <v>6.9390000000000001</v>
      </c>
      <c r="HV73" s="4">
        <v>6.7</v>
      </c>
      <c r="HW73" s="4">
        <v>1.847</v>
      </c>
      <c r="HX73" s="4">
        <v>7.0049999999999999</v>
      </c>
      <c r="HY73" s="4">
        <v>7.1710000000000003</v>
      </c>
      <c r="HZ73" s="4">
        <v>9.1210000000000004</v>
      </c>
      <c r="IA73" s="4">
        <v>-1.3859999999999999</v>
      </c>
      <c r="IB73" s="4">
        <v>8.4329999999999998</v>
      </c>
      <c r="IC73" s="4">
        <v>9.7469999999999999</v>
      </c>
      <c r="ID73" s="4">
        <v>7.4480000000000004</v>
      </c>
      <c r="IE73" s="4">
        <v>7.2119999999999997</v>
      </c>
      <c r="IF73" s="4">
        <v>7.0330000000000004</v>
      </c>
      <c r="IG73" s="4">
        <v>5.0289999999999999</v>
      </c>
      <c r="IH73" s="4">
        <v>1.6E-2</v>
      </c>
      <c r="II73" s="4">
        <v>-0.39100000000000001</v>
      </c>
      <c r="IJ73" s="4">
        <v>6.4290000000000003</v>
      </c>
      <c r="IK73" s="4">
        <v>7.1239999999999997</v>
      </c>
      <c r="IL73" s="4">
        <v>1.1399999999999999</v>
      </c>
      <c r="IM73" s="4">
        <v>7.1760000000000002</v>
      </c>
      <c r="IN73" s="4">
        <v>3.7450000000000001</v>
      </c>
      <c r="IO73" s="4">
        <v>4.79</v>
      </c>
      <c r="IP73" s="4">
        <v>5.3609999999999998</v>
      </c>
      <c r="IQ73" s="4">
        <v>9.3490000000000002</v>
      </c>
      <c r="IR73" s="4">
        <v>9.593</v>
      </c>
      <c r="IS73" s="4">
        <v>1.3879999999999999</v>
      </c>
      <c r="IT73" s="4">
        <v>6.9009999999999998</v>
      </c>
      <c r="IU73" s="4">
        <v>1.5349999999999999</v>
      </c>
      <c r="IV73" s="4">
        <v>6.9009999999999998</v>
      </c>
      <c r="IW73" s="4">
        <v>-0.13700000000000001</v>
      </c>
      <c r="IX73" s="4">
        <v>6.8029999999999999</v>
      </c>
      <c r="IY73" s="4">
        <v>5.1989999999999998</v>
      </c>
      <c r="IZ73" s="4">
        <v>6.6520000000000001</v>
      </c>
      <c r="JA73" s="4">
        <v>6.4320000000000004</v>
      </c>
      <c r="JB73" s="4">
        <v>5.36</v>
      </c>
      <c r="JC73" s="4">
        <v>3.3290000000000002</v>
      </c>
      <c r="JD73" s="4">
        <v>7.8470000000000004</v>
      </c>
      <c r="JE73" s="4">
        <v>8.5500000000000007</v>
      </c>
      <c r="JF73" s="4">
        <v>9.125</v>
      </c>
      <c r="JG73" s="4">
        <v>6.5119999999999996</v>
      </c>
      <c r="JH73" s="4">
        <v>8.6310000000000002</v>
      </c>
      <c r="JI73" s="4">
        <v>4.2030000000000003</v>
      </c>
      <c r="JJ73" s="4">
        <v>6.532</v>
      </c>
      <c r="JK73" s="4">
        <v>6.774</v>
      </c>
      <c r="JL73" s="4">
        <v>10.182</v>
      </c>
      <c r="JM73" s="4">
        <v>6.7190000000000003</v>
      </c>
      <c r="JN73" s="4">
        <v>6.8540000000000001</v>
      </c>
      <c r="JO73" s="4">
        <v>6.8940000000000001</v>
      </c>
      <c r="JP73" s="4">
        <v>6.9980000000000002</v>
      </c>
      <c r="JQ73" s="4">
        <v>7.7789999999999999</v>
      </c>
      <c r="JR73" s="4">
        <v>6.4580000000000002</v>
      </c>
      <c r="JS73" s="4">
        <v>2.2330000000000001</v>
      </c>
      <c r="JT73" s="4">
        <v>6.9050000000000002</v>
      </c>
      <c r="JU73" s="4">
        <v>6.7290000000000001</v>
      </c>
      <c r="JV73" s="4">
        <v>6.0609999999999999</v>
      </c>
      <c r="JW73" s="4">
        <v>7.49</v>
      </c>
      <c r="JX73" s="4">
        <v>6.6829999999999998</v>
      </c>
      <c r="JY73" s="4">
        <v>7.141</v>
      </c>
      <c r="JZ73" s="4">
        <v>6.202</v>
      </c>
      <c r="KA73" s="4">
        <v>6.8120000000000003</v>
      </c>
      <c r="KB73" s="4">
        <v>1.4710000000000001</v>
      </c>
      <c r="KC73" s="4">
        <v>3.3140000000000001</v>
      </c>
      <c r="KD73" s="4">
        <v>6.7050000000000001</v>
      </c>
      <c r="KE73" s="4">
        <v>9.1440000000000001</v>
      </c>
      <c r="KF73" s="4">
        <v>6.6020000000000003</v>
      </c>
      <c r="KG73" s="4">
        <v>6.9550000000000001</v>
      </c>
      <c r="KH73" s="4">
        <v>7.2</v>
      </c>
      <c r="KI73" s="4">
        <v>6.0380000000000003</v>
      </c>
      <c r="KJ73" s="4">
        <v>8.0660000000000007</v>
      </c>
      <c r="KK73" s="4">
        <v>7.4379999999999997</v>
      </c>
      <c r="KL73" s="4">
        <v>6.73</v>
      </c>
      <c r="KM73" s="4">
        <v>-0.14199999999999999</v>
      </c>
      <c r="KN73" s="4">
        <v>6.7889999999999997</v>
      </c>
      <c r="KO73" s="4">
        <v>0.67800000000000005</v>
      </c>
      <c r="KP73" s="4">
        <v>6.1710000000000003</v>
      </c>
      <c r="KQ73" s="4">
        <v>8.74</v>
      </c>
      <c r="KR73" s="4">
        <v>6.4589999999999996</v>
      </c>
      <c r="KS73" s="4">
        <v>9.8019999999999996</v>
      </c>
    </row>
    <row r="74" spans="1:305" x14ac:dyDescent="0.25">
      <c r="A74" s="4">
        <v>2019</v>
      </c>
      <c r="B74" s="4">
        <v>11</v>
      </c>
      <c r="C74" s="4">
        <v>-6.9379999999999997</v>
      </c>
      <c r="D74" s="4">
        <v>3.7890000000000001</v>
      </c>
      <c r="E74" s="4">
        <v>4.0549999999999997</v>
      </c>
      <c r="F74" s="4">
        <v>3.66</v>
      </c>
      <c r="G74" s="4">
        <v>4.1100000000000003</v>
      </c>
      <c r="H74" s="4">
        <v>-1.998</v>
      </c>
      <c r="I74" s="4">
        <v>3.9609999999999999</v>
      </c>
      <c r="J74" s="4">
        <v>-7.2210000000000001</v>
      </c>
      <c r="K74" s="4">
        <v>2.7120000000000002</v>
      </c>
      <c r="L74" s="4">
        <v>5.6689999999999996</v>
      </c>
      <c r="M74" s="4">
        <v>-3.1629999999999998</v>
      </c>
      <c r="N74" s="4">
        <v>2.2480000000000002</v>
      </c>
      <c r="O74" s="4">
        <v>-5.0759999999999996</v>
      </c>
      <c r="P74" s="4">
        <v>1.131</v>
      </c>
      <c r="Q74" s="4">
        <v>-8.5399999999999991</v>
      </c>
      <c r="R74" s="4">
        <v>-8.0050000000000008</v>
      </c>
      <c r="S74" s="4">
        <v>1.1299999999999999</v>
      </c>
      <c r="T74" s="4">
        <v>3.2440000000000002</v>
      </c>
      <c r="U74" s="4">
        <v>2.1190000000000002</v>
      </c>
      <c r="V74" s="4">
        <v>3.1179999999999999</v>
      </c>
      <c r="W74" s="4">
        <v>0.96399999999999997</v>
      </c>
      <c r="X74" s="4">
        <v>5.4660000000000002</v>
      </c>
      <c r="Y74" s="4">
        <v>1.8540000000000001</v>
      </c>
      <c r="Z74" s="4">
        <v>-4.2480000000000002</v>
      </c>
      <c r="AA74" s="4">
        <v>5.7370000000000001</v>
      </c>
      <c r="AB74" s="4">
        <v>-6.8570000000000002</v>
      </c>
      <c r="AC74" s="4">
        <v>3.6619999999999999</v>
      </c>
      <c r="AD74" s="4">
        <v>-0.67800000000000005</v>
      </c>
      <c r="AE74" s="4">
        <v>3.2130000000000001</v>
      </c>
      <c r="AF74" s="4">
        <v>5.8449999999999998</v>
      </c>
      <c r="AG74" s="4">
        <v>-8.3000000000000004E-2</v>
      </c>
      <c r="AH74" s="4">
        <v>3.6040000000000001</v>
      </c>
      <c r="AI74" s="4">
        <v>-3.68</v>
      </c>
      <c r="AJ74" s="4">
        <v>5.0830000000000002</v>
      </c>
      <c r="AK74" s="4">
        <v>6.077</v>
      </c>
      <c r="AL74" s="4">
        <v>6.4370000000000003</v>
      </c>
      <c r="AM74" s="4">
        <v>9.2999999999999999E-2</v>
      </c>
      <c r="AN74" s="4">
        <v>3.7229999999999999</v>
      </c>
      <c r="AO74" s="4">
        <v>1.486</v>
      </c>
      <c r="AP74" s="4">
        <v>-0.79</v>
      </c>
      <c r="AQ74" s="4">
        <v>-5.2489999999999997</v>
      </c>
      <c r="AR74" s="4">
        <v>-1.266</v>
      </c>
      <c r="AS74" s="4">
        <v>1.835</v>
      </c>
      <c r="AT74" s="4">
        <v>2.6520000000000001</v>
      </c>
      <c r="AU74" s="4">
        <v>4.2670000000000003</v>
      </c>
      <c r="AV74" s="4">
        <v>2.5249999999999999</v>
      </c>
      <c r="AW74" s="4">
        <v>2.5750000000000002</v>
      </c>
      <c r="AX74" s="4">
        <v>5.8090000000000002</v>
      </c>
      <c r="AY74" s="4">
        <v>3.0259999999999998</v>
      </c>
      <c r="AZ74" s="4">
        <v>0.95499999999999996</v>
      </c>
      <c r="BA74" s="4">
        <v>5.4569999999999999</v>
      </c>
      <c r="BB74" s="4">
        <v>2.6379999999999999</v>
      </c>
      <c r="BC74" s="4">
        <v>7.431</v>
      </c>
      <c r="BD74" s="4">
        <v>0.11</v>
      </c>
      <c r="BE74" s="4">
        <v>2.5489999999999999</v>
      </c>
      <c r="BF74" s="4">
        <v>0.85399999999999998</v>
      </c>
      <c r="BG74" s="4">
        <v>2.0329999999999999</v>
      </c>
      <c r="BH74" s="4">
        <v>2.6589999999999998</v>
      </c>
      <c r="BI74" s="4">
        <v>2.8410000000000002</v>
      </c>
      <c r="BJ74" s="4">
        <v>-4.4770000000000003</v>
      </c>
      <c r="BK74" s="4">
        <v>1.3560000000000001</v>
      </c>
      <c r="BL74" s="4">
        <v>-5.1870000000000003</v>
      </c>
      <c r="BM74" s="4">
        <v>-6.3209999999999997</v>
      </c>
      <c r="BN74" s="4">
        <v>-0.63</v>
      </c>
      <c r="BO74" s="4">
        <v>-9.5670000000000002</v>
      </c>
      <c r="BP74" s="4">
        <v>1.4219999999999999</v>
      </c>
      <c r="BQ74" s="4">
        <v>3.4830000000000001</v>
      </c>
      <c r="BR74" s="4">
        <v>3.391</v>
      </c>
      <c r="BS74" s="4">
        <v>4.7489999999999997</v>
      </c>
      <c r="BT74" s="4">
        <v>3.085</v>
      </c>
      <c r="BU74" s="4">
        <v>3.1480000000000001</v>
      </c>
      <c r="BV74" s="4">
        <v>3.2909999999999999</v>
      </c>
      <c r="BW74" s="4">
        <v>9.2999999999999999E-2</v>
      </c>
      <c r="BX74" s="4">
        <v>0.57699999999999996</v>
      </c>
      <c r="BY74" s="4">
        <v>2.0049999999999999</v>
      </c>
      <c r="BZ74" s="4">
        <v>1.778</v>
      </c>
      <c r="CA74" s="4">
        <v>5.4809999999999999</v>
      </c>
      <c r="CB74" s="4">
        <v>2.7749999999999999</v>
      </c>
      <c r="CC74" s="4">
        <v>-3.5550000000000002</v>
      </c>
      <c r="CD74" s="4">
        <v>3.839</v>
      </c>
      <c r="CE74" s="4">
        <v>-4.7949999999999999</v>
      </c>
      <c r="CF74" s="4">
        <v>-0.45300000000000001</v>
      </c>
      <c r="CG74" s="4">
        <v>4.2649999999999997</v>
      </c>
      <c r="CH74" s="4">
        <v>4.8120000000000003</v>
      </c>
      <c r="CI74" s="4">
        <v>0.60699999999999998</v>
      </c>
      <c r="CJ74" s="4">
        <v>-4.9969999999999999</v>
      </c>
      <c r="CK74" s="4">
        <v>6.0759999999999996</v>
      </c>
      <c r="CL74" s="4">
        <v>-7.6180000000000003</v>
      </c>
      <c r="CM74" s="4">
        <v>5.6459999999999999</v>
      </c>
      <c r="CN74" s="4">
        <v>2.984</v>
      </c>
      <c r="CO74" s="4">
        <v>3.919</v>
      </c>
      <c r="CP74" s="4">
        <v>0.16300000000000001</v>
      </c>
      <c r="CQ74" s="4">
        <v>6.2190000000000003</v>
      </c>
      <c r="CR74" s="4">
        <v>4.1829999999999998</v>
      </c>
      <c r="CS74" s="4">
        <v>5.2759999999999998</v>
      </c>
      <c r="CT74" s="4">
        <v>5.3159999999999998</v>
      </c>
      <c r="CU74" s="4">
        <v>2.6560000000000001</v>
      </c>
      <c r="CV74" s="4">
        <v>3.7480000000000002</v>
      </c>
      <c r="CW74" s="4">
        <v>0.129</v>
      </c>
      <c r="CX74" s="4">
        <v>3.573</v>
      </c>
      <c r="CY74" s="4">
        <v>3.9860000000000002</v>
      </c>
      <c r="CZ74" s="4">
        <v>3.6880000000000002</v>
      </c>
      <c r="DA74" s="4">
        <v>-10.458</v>
      </c>
      <c r="DB74" s="4">
        <v>3.2970000000000002</v>
      </c>
      <c r="DC74" s="4">
        <v>-4.0460000000000003</v>
      </c>
      <c r="DD74" s="4">
        <v>-5.5579999999999998</v>
      </c>
      <c r="DE74" s="4">
        <v>5.6029999999999998</v>
      </c>
      <c r="DF74" s="4">
        <v>-11.736000000000001</v>
      </c>
      <c r="DG74" s="4">
        <v>3.8540000000000001</v>
      </c>
      <c r="DH74" s="4">
        <v>5.7190000000000003</v>
      </c>
      <c r="DI74" s="4">
        <v>1.272</v>
      </c>
      <c r="DJ74" s="4">
        <v>6.149</v>
      </c>
      <c r="DK74" s="4">
        <v>2.218</v>
      </c>
      <c r="DL74" s="4">
        <v>2.7280000000000002</v>
      </c>
      <c r="DM74" s="4">
        <v>6.1669999999999998</v>
      </c>
      <c r="DN74" s="4">
        <v>1.3420000000000001</v>
      </c>
      <c r="DO74" s="4">
        <v>3.9860000000000002</v>
      </c>
      <c r="DP74" s="4">
        <v>-10.651999999999999</v>
      </c>
      <c r="DQ74" s="4">
        <v>2.968</v>
      </c>
      <c r="DR74" s="4">
        <v>5.3920000000000003</v>
      </c>
      <c r="DS74" s="4">
        <v>2.7170000000000001</v>
      </c>
      <c r="DT74" s="4">
        <v>1.972</v>
      </c>
      <c r="DU74" s="4">
        <v>0.33100000000000002</v>
      </c>
      <c r="DV74" s="4">
        <v>-1.853</v>
      </c>
      <c r="DW74" s="4">
        <v>5.8869999999999996</v>
      </c>
      <c r="DX74" s="4">
        <v>1.9490000000000001</v>
      </c>
      <c r="DY74" s="4">
        <v>2.0419999999999998</v>
      </c>
      <c r="DZ74" s="4">
        <v>4.258</v>
      </c>
      <c r="EA74" s="4">
        <v>4.8659999999999997</v>
      </c>
      <c r="EB74" s="4">
        <v>2.27</v>
      </c>
      <c r="EC74" s="4">
        <v>-10.210000000000001</v>
      </c>
      <c r="ED74" s="4">
        <v>5.2439999999999998</v>
      </c>
      <c r="EE74" s="4">
        <v>6.3550000000000004</v>
      </c>
      <c r="EF74" s="4">
        <v>1.825</v>
      </c>
      <c r="EG74" s="4">
        <v>1.788</v>
      </c>
      <c r="EH74" s="4">
        <v>-0.629</v>
      </c>
      <c r="EI74" s="4">
        <v>3.9689999999999999</v>
      </c>
      <c r="EJ74" s="4">
        <v>4.0129999999999999</v>
      </c>
      <c r="EK74" s="4">
        <v>3.8370000000000002</v>
      </c>
      <c r="EL74" s="4">
        <v>3.4049999999999998</v>
      </c>
      <c r="EM74" s="4">
        <v>3.2829999999999999</v>
      </c>
      <c r="EN74" s="4">
        <v>1.0620000000000001</v>
      </c>
      <c r="EO74" s="4">
        <v>3.129</v>
      </c>
      <c r="EP74" s="4">
        <v>3.988</v>
      </c>
      <c r="EQ74" s="4">
        <v>-1.409</v>
      </c>
      <c r="ER74" s="4">
        <v>6.4420000000000002</v>
      </c>
      <c r="ES74" s="4">
        <v>0.21299999999999999</v>
      </c>
      <c r="ET74" s="4">
        <v>-5.1859999999999999</v>
      </c>
      <c r="EU74" s="4">
        <v>6.17</v>
      </c>
      <c r="EV74" s="4">
        <v>-6.5019999999999998</v>
      </c>
      <c r="EW74" s="4">
        <v>3.9609999999999999</v>
      </c>
      <c r="EX74" s="4">
        <v>-7.32</v>
      </c>
      <c r="EY74" s="4">
        <v>2.746</v>
      </c>
      <c r="EZ74" s="4">
        <v>6.5789999999999997</v>
      </c>
      <c r="FA74" s="4">
        <v>-1.542</v>
      </c>
      <c r="FB74" s="4">
        <v>3.4119999999999999</v>
      </c>
      <c r="FC74" s="4">
        <v>4.4630000000000001</v>
      </c>
      <c r="FD74" s="4">
        <v>2.44</v>
      </c>
      <c r="FE74" s="4">
        <v>3.3319999999999999</v>
      </c>
      <c r="FF74" s="4">
        <v>2.819</v>
      </c>
      <c r="FG74" s="4">
        <v>4.51</v>
      </c>
      <c r="FH74" s="4">
        <v>5.2850000000000001</v>
      </c>
      <c r="FI74" s="4">
        <v>-0.68700000000000006</v>
      </c>
      <c r="FJ74" s="4">
        <v>5.8150000000000004</v>
      </c>
      <c r="FK74" s="4">
        <v>2.8170000000000002</v>
      </c>
      <c r="FL74" s="4">
        <v>2.9420000000000002</v>
      </c>
      <c r="FM74" s="4">
        <v>0.69199999999999995</v>
      </c>
      <c r="FN74" s="4">
        <v>3.9350000000000001</v>
      </c>
      <c r="FO74" s="4">
        <v>2.3980000000000001</v>
      </c>
      <c r="FP74" s="4">
        <v>0.99099999999999999</v>
      </c>
      <c r="FQ74" s="4">
        <v>0.94799999999999995</v>
      </c>
      <c r="FR74" s="4">
        <v>-0.752</v>
      </c>
      <c r="FS74" s="4">
        <v>-2.1539999999999999</v>
      </c>
      <c r="FT74" s="4">
        <v>3.2240000000000002</v>
      </c>
      <c r="FU74" s="4">
        <v>3.4390000000000001</v>
      </c>
      <c r="FV74" s="4">
        <v>-6.4130000000000003</v>
      </c>
      <c r="FW74" s="4">
        <v>4.5229999999999997</v>
      </c>
      <c r="FX74" s="4">
        <v>3.7229999999999999</v>
      </c>
      <c r="FY74" s="4">
        <v>3.41</v>
      </c>
      <c r="FZ74" s="4">
        <v>4.5069999999999997</v>
      </c>
      <c r="GA74" s="4">
        <v>-6.6000000000000003E-2</v>
      </c>
      <c r="GB74" s="4">
        <v>5.4320000000000004</v>
      </c>
      <c r="GC74" s="4">
        <v>3.302</v>
      </c>
      <c r="GD74" s="4">
        <v>5.0579999999999998</v>
      </c>
      <c r="GE74" s="4">
        <v>1.9930000000000001</v>
      </c>
      <c r="GF74" s="4">
        <v>4.8570000000000002</v>
      </c>
      <c r="GG74" s="4">
        <v>-1.7929999999999999</v>
      </c>
      <c r="GH74" s="4">
        <v>-1.0640000000000001</v>
      </c>
      <c r="GI74" s="4">
        <v>3.617</v>
      </c>
      <c r="GJ74" s="4">
        <v>4.6070000000000002</v>
      </c>
      <c r="GK74" s="4">
        <v>4.6310000000000002</v>
      </c>
      <c r="GL74" s="4">
        <v>3.5640000000000001</v>
      </c>
      <c r="GM74" s="3"/>
      <c r="GN74" s="4">
        <v>-3.6019999999999999</v>
      </c>
      <c r="GO74" s="4">
        <v>2.879</v>
      </c>
      <c r="GP74" s="4">
        <v>-0.97699999999999998</v>
      </c>
      <c r="GQ74" s="4">
        <v>-7.6289999999999996</v>
      </c>
      <c r="GR74" s="4">
        <v>-6.952</v>
      </c>
      <c r="GS74" s="4">
        <v>4.327</v>
      </c>
      <c r="GT74" s="4">
        <v>-9.3659999999999997</v>
      </c>
      <c r="GU74" s="4">
        <v>4.2430000000000003</v>
      </c>
      <c r="GV74" s="4">
        <v>-5.07</v>
      </c>
      <c r="GW74" s="4">
        <v>-0.77800000000000002</v>
      </c>
      <c r="GX74" s="4">
        <v>-6.2809999999999997</v>
      </c>
      <c r="GY74" s="4">
        <v>-3.0459999999999998</v>
      </c>
      <c r="GZ74" s="4">
        <v>5.8040000000000003</v>
      </c>
      <c r="HA74" s="4">
        <v>2.4649999999999999</v>
      </c>
      <c r="HB74" s="4">
        <v>1.3049999999999999</v>
      </c>
      <c r="HC74" s="4">
        <v>3.6459999999999999</v>
      </c>
      <c r="HD74" s="4">
        <v>-3.1459999999999999</v>
      </c>
      <c r="HE74" s="4">
        <v>0.70399999999999996</v>
      </c>
      <c r="HF74" s="4">
        <v>-4.165</v>
      </c>
      <c r="HG74" s="4">
        <v>3.464</v>
      </c>
      <c r="HH74" s="4">
        <v>0.224</v>
      </c>
      <c r="HI74" s="4">
        <v>2.948</v>
      </c>
      <c r="HJ74" s="4">
        <v>3.0550000000000002</v>
      </c>
      <c r="HK74" s="4">
        <v>6.9950000000000001</v>
      </c>
      <c r="HL74" s="4">
        <v>5.681</v>
      </c>
      <c r="HM74" s="4">
        <v>2.9990000000000001</v>
      </c>
      <c r="HN74" s="4">
        <v>-4.234</v>
      </c>
      <c r="HO74" s="4">
        <v>0.84599999999999997</v>
      </c>
      <c r="HP74" s="4">
        <v>2.6520000000000001</v>
      </c>
      <c r="HQ74" s="4">
        <v>6.1619999999999999</v>
      </c>
      <c r="HR74" s="4">
        <v>2.1309999999999998</v>
      </c>
      <c r="HS74" s="4">
        <v>0.441</v>
      </c>
      <c r="HT74" s="4">
        <v>0.9</v>
      </c>
      <c r="HU74" s="4">
        <v>3.41</v>
      </c>
      <c r="HV74" s="4">
        <v>3.5449999999999999</v>
      </c>
      <c r="HW74" s="4">
        <v>-3.4550000000000001</v>
      </c>
      <c r="HX74" s="4">
        <v>3.552</v>
      </c>
      <c r="HY74" s="4">
        <v>3.8130000000000002</v>
      </c>
      <c r="HZ74" s="4">
        <v>6.2779999999999996</v>
      </c>
      <c r="IA74" s="4">
        <v>-8.6950000000000003</v>
      </c>
      <c r="IB74" s="4">
        <v>4.2869999999999999</v>
      </c>
      <c r="IC74" s="4">
        <v>6.15</v>
      </c>
      <c r="ID74" s="4">
        <v>3.7490000000000001</v>
      </c>
      <c r="IE74" s="4">
        <v>3.8079999999999998</v>
      </c>
      <c r="IF74" s="4">
        <v>3.84</v>
      </c>
      <c r="IG74" s="4">
        <v>1.117</v>
      </c>
      <c r="IH74" s="4">
        <v>-5.35</v>
      </c>
      <c r="II74" s="4">
        <v>-6.8780000000000001</v>
      </c>
      <c r="IJ74" s="4">
        <v>2.9039999999999999</v>
      </c>
      <c r="IK74" s="4">
        <v>2.8969999999999998</v>
      </c>
      <c r="IL74" s="4">
        <v>-4.4219999999999997</v>
      </c>
      <c r="IM74" s="4">
        <v>3.7610000000000001</v>
      </c>
      <c r="IN74" s="4">
        <v>-0.73299999999999998</v>
      </c>
      <c r="IO74" s="4">
        <v>0.81200000000000006</v>
      </c>
      <c r="IP74" s="4">
        <v>1.486</v>
      </c>
      <c r="IQ74" s="4">
        <v>5.7949999999999999</v>
      </c>
      <c r="IR74" s="4">
        <v>6.1589999999999998</v>
      </c>
      <c r="IS74" s="4">
        <v>-3.8730000000000002</v>
      </c>
      <c r="IT74" s="4">
        <v>3.3540000000000001</v>
      </c>
      <c r="IU74" s="4">
        <v>-4.1559999999999997</v>
      </c>
      <c r="IV74" s="4">
        <v>3.5670000000000002</v>
      </c>
      <c r="IW74" s="4">
        <v>-5.39</v>
      </c>
      <c r="IX74" s="4">
        <v>2.8119999999999998</v>
      </c>
      <c r="IY74" s="4">
        <v>1.3009999999999999</v>
      </c>
      <c r="IZ74" s="4">
        <v>3.1760000000000002</v>
      </c>
      <c r="JA74" s="4">
        <v>2.7570000000000001</v>
      </c>
      <c r="JB74" s="4">
        <v>1.6060000000000001</v>
      </c>
      <c r="JC74" s="4">
        <v>-1.1359999999999999</v>
      </c>
      <c r="JD74" s="4">
        <v>4.4409999999999998</v>
      </c>
      <c r="JE74" s="4">
        <v>4.6619999999999999</v>
      </c>
      <c r="JF74" s="4">
        <v>5.9009999999999998</v>
      </c>
      <c r="JG74" s="4">
        <v>3.0489999999999999</v>
      </c>
      <c r="JH74" s="4">
        <v>5.4589999999999996</v>
      </c>
      <c r="JI74" s="4">
        <v>-5.2999999999999999E-2</v>
      </c>
      <c r="JJ74" s="4">
        <v>2.6320000000000001</v>
      </c>
      <c r="JK74" s="4">
        <v>3.2789999999999999</v>
      </c>
      <c r="JL74" s="4">
        <v>6.9829999999999997</v>
      </c>
      <c r="JM74" s="4">
        <v>3.0939999999999999</v>
      </c>
      <c r="JN74" s="4">
        <v>4.0389999999999997</v>
      </c>
      <c r="JO74" s="4">
        <v>4.0579999999999998</v>
      </c>
      <c r="JP74" s="4">
        <v>3.3039999999999998</v>
      </c>
      <c r="JQ74" s="4">
        <v>4.2409999999999997</v>
      </c>
      <c r="JR74" s="4">
        <v>2.8439999999999999</v>
      </c>
      <c r="JS74" s="4">
        <v>-2.3639999999999999</v>
      </c>
      <c r="JT74" s="4">
        <v>3.4340000000000002</v>
      </c>
      <c r="JU74" s="4">
        <v>3.2949999999999999</v>
      </c>
      <c r="JV74" s="4">
        <v>2.464</v>
      </c>
      <c r="JW74" s="4">
        <v>3.2709999999999999</v>
      </c>
      <c r="JX74" s="4">
        <v>3.218</v>
      </c>
      <c r="JY74" s="4">
        <v>3.956</v>
      </c>
      <c r="JZ74" s="4">
        <v>2.992</v>
      </c>
      <c r="KA74" s="4">
        <v>3.1579999999999999</v>
      </c>
      <c r="KB74" s="4">
        <v>-3.4809999999999999</v>
      </c>
      <c r="KC74" s="4">
        <v>-1.0129999999999999</v>
      </c>
      <c r="KD74" s="4">
        <v>3.0939999999999999</v>
      </c>
      <c r="KE74" s="4">
        <v>5.3739999999999997</v>
      </c>
      <c r="KF74" s="4">
        <v>3.09</v>
      </c>
      <c r="KG74" s="4">
        <v>4.1020000000000003</v>
      </c>
      <c r="KH74" s="4">
        <v>3.6760000000000002</v>
      </c>
      <c r="KI74" s="4">
        <v>2.15</v>
      </c>
      <c r="KJ74" s="4">
        <v>5.05</v>
      </c>
      <c r="KK74" s="4">
        <v>3.9380000000000002</v>
      </c>
      <c r="KL74" s="4">
        <v>3.0030000000000001</v>
      </c>
      <c r="KM74" s="4">
        <v>-6.3630000000000004</v>
      </c>
      <c r="KN74" s="4">
        <v>3.4340000000000002</v>
      </c>
      <c r="KO74" s="4">
        <v>-4.67</v>
      </c>
      <c r="KP74" s="4">
        <v>2.5659999999999998</v>
      </c>
      <c r="KQ74" s="4">
        <v>5.45</v>
      </c>
      <c r="KR74" s="4">
        <v>2.738</v>
      </c>
      <c r="KS74" s="4">
        <v>6.7220000000000004</v>
      </c>
    </row>
    <row r="75" spans="1:305" x14ac:dyDescent="0.25">
      <c r="A75" s="4">
        <v>2019</v>
      </c>
      <c r="B75" s="4">
        <v>12</v>
      </c>
      <c r="C75" s="4">
        <v>-5.0510000000000002</v>
      </c>
      <c r="D75" s="4">
        <v>2.625</v>
      </c>
      <c r="E75" s="4">
        <v>3.5880000000000001</v>
      </c>
      <c r="F75" s="4">
        <v>3.044</v>
      </c>
      <c r="G75" s="4">
        <v>2.7189999999999999</v>
      </c>
      <c r="H75" s="4">
        <v>-2.831</v>
      </c>
      <c r="I75" s="4">
        <v>2.5569999999999999</v>
      </c>
      <c r="J75" s="4">
        <v>-5.0140000000000002</v>
      </c>
      <c r="K75" s="4">
        <v>2.544</v>
      </c>
      <c r="L75" s="4">
        <v>4.2640000000000002</v>
      </c>
      <c r="M75" s="4">
        <v>-3.847</v>
      </c>
      <c r="N75" s="4">
        <v>1.839</v>
      </c>
      <c r="O75" s="4">
        <v>-2.9169999999999998</v>
      </c>
      <c r="P75" s="4">
        <v>1.113</v>
      </c>
      <c r="Q75" s="4">
        <v>-5.7309999999999999</v>
      </c>
      <c r="R75" s="4">
        <v>-5.2169999999999996</v>
      </c>
      <c r="S75" s="4">
        <v>0.60099999999999998</v>
      </c>
      <c r="T75" s="4">
        <v>2.0539999999999998</v>
      </c>
      <c r="U75" s="4">
        <v>2.1539999999999999</v>
      </c>
      <c r="V75" s="4">
        <v>2.524</v>
      </c>
      <c r="W75" s="4">
        <v>0.41099999999999998</v>
      </c>
      <c r="X75" s="4">
        <v>4.3540000000000001</v>
      </c>
      <c r="Y75" s="4">
        <v>1.899</v>
      </c>
      <c r="Z75" s="4">
        <v>-3.2509999999999999</v>
      </c>
      <c r="AA75" s="4">
        <v>4.2539999999999996</v>
      </c>
      <c r="AB75" s="4">
        <v>-4.8159999999999998</v>
      </c>
      <c r="AC75" s="4">
        <v>2.823</v>
      </c>
      <c r="AD75" s="4">
        <v>-1.1919999999999999</v>
      </c>
      <c r="AE75" s="4">
        <v>2.379</v>
      </c>
      <c r="AF75" s="4">
        <v>3.972</v>
      </c>
      <c r="AG75" s="4">
        <v>-0.35399999999999998</v>
      </c>
      <c r="AH75" s="4">
        <v>2.3220000000000001</v>
      </c>
      <c r="AI75" s="4">
        <v>-3.75</v>
      </c>
      <c r="AJ75" s="4">
        <v>3.3759999999999999</v>
      </c>
      <c r="AK75" s="4">
        <v>4.0170000000000003</v>
      </c>
      <c r="AL75" s="4">
        <v>4.8550000000000004</v>
      </c>
      <c r="AM75" s="4">
        <v>-0.71399999999999997</v>
      </c>
      <c r="AN75" s="4">
        <v>2.633</v>
      </c>
      <c r="AO75" s="4">
        <v>1.288</v>
      </c>
      <c r="AP75" s="4">
        <v>-1.4690000000000001</v>
      </c>
      <c r="AQ75" s="4">
        <v>-3.972</v>
      </c>
      <c r="AR75" s="4">
        <v>-1.8919999999999999</v>
      </c>
      <c r="AS75" s="4">
        <v>1.921</v>
      </c>
      <c r="AT75" s="4">
        <v>1.91</v>
      </c>
      <c r="AU75" s="4">
        <v>2.6829999999999998</v>
      </c>
      <c r="AV75" s="4">
        <v>1.7849999999999999</v>
      </c>
      <c r="AW75" s="4">
        <v>1.9350000000000001</v>
      </c>
      <c r="AX75" s="4">
        <v>4.149</v>
      </c>
      <c r="AY75" s="4">
        <v>2.6560000000000001</v>
      </c>
      <c r="AZ75" s="4">
        <v>0.47499999999999998</v>
      </c>
      <c r="BA75" s="4">
        <v>4.569</v>
      </c>
      <c r="BB75" s="4">
        <v>2.1739999999999999</v>
      </c>
      <c r="BC75" s="4">
        <v>5.5330000000000004</v>
      </c>
      <c r="BD75" s="4">
        <v>-0.38700000000000001</v>
      </c>
      <c r="BE75" s="4">
        <v>2.44</v>
      </c>
      <c r="BF75" s="4">
        <v>0.34100000000000003</v>
      </c>
      <c r="BG75" s="4">
        <v>1.0329999999999999</v>
      </c>
      <c r="BH75" s="4">
        <v>2.16</v>
      </c>
      <c r="BI75" s="4">
        <v>1.9910000000000001</v>
      </c>
      <c r="BJ75" s="4">
        <v>-3.024</v>
      </c>
      <c r="BK75" s="4">
        <v>1.1220000000000001</v>
      </c>
      <c r="BL75" s="4">
        <v>-3.8650000000000002</v>
      </c>
      <c r="BM75" s="4">
        <v>-4.7569999999999997</v>
      </c>
      <c r="BN75" s="4">
        <v>-0.92400000000000004</v>
      </c>
      <c r="BO75" s="4">
        <v>-6.4829999999999997</v>
      </c>
      <c r="BP75" s="4">
        <v>0.82599999999999996</v>
      </c>
      <c r="BQ75" s="4">
        <v>2.5190000000000001</v>
      </c>
      <c r="BR75" s="4">
        <v>2.2200000000000002</v>
      </c>
      <c r="BS75" s="4">
        <v>4.2140000000000004</v>
      </c>
      <c r="BT75" s="4">
        <v>2.702</v>
      </c>
      <c r="BU75" s="4">
        <v>2.843</v>
      </c>
      <c r="BV75" s="4">
        <v>2.2559999999999998</v>
      </c>
      <c r="BW75" s="4">
        <v>-0.627</v>
      </c>
      <c r="BX75" s="4">
        <v>0.26100000000000001</v>
      </c>
      <c r="BY75" s="4">
        <v>2.0099999999999998</v>
      </c>
      <c r="BZ75" s="4">
        <v>1.24</v>
      </c>
      <c r="CA75" s="4">
        <v>4.3769999999999998</v>
      </c>
      <c r="CB75" s="4">
        <v>2.6480000000000001</v>
      </c>
      <c r="CC75" s="4">
        <v>-3.202</v>
      </c>
      <c r="CD75" s="4">
        <v>2.4260000000000002</v>
      </c>
      <c r="CE75" s="4">
        <v>-2.661</v>
      </c>
      <c r="CF75" s="4">
        <v>-0.27200000000000002</v>
      </c>
      <c r="CG75" s="4">
        <v>3.6579999999999999</v>
      </c>
      <c r="CH75" s="4">
        <v>3.3620000000000001</v>
      </c>
      <c r="CI75" s="4">
        <v>6.9000000000000006E-2</v>
      </c>
      <c r="CJ75" s="4">
        <v>-4.5540000000000003</v>
      </c>
      <c r="CK75" s="4">
        <v>4.617</v>
      </c>
      <c r="CL75" s="4">
        <v>-3.9</v>
      </c>
      <c r="CM75" s="4">
        <v>4.1260000000000003</v>
      </c>
      <c r="CN75" s="4">
        <v>2.4470000000000001</v>
      </c>
      <c r="CO75" s="4">
        <v>3.4289999999999998</v>
      </c>
      <c r="CP75" s="4">
        <v>-0.23899999999999999</v>
      </c>
      <c r="CQ75" s="4">
        <v>4.8769999999999998</v>
      </c>
      <c r="CR75" s="4">
        <v>2.78</v>
      </c>
      <c r="CS75" s="4">
        <v>3.6850000000000001</v>
      </c>
      <c r="CT75" s="4">
        <v>3.6419999999999999</v>
      </c>
      <c r="CU75" s="4">
        <v>2.339</v>
      </c>
      <c r="CV75" s="4">
        <v>2.4500000000000002</v>
      </c>
      <c r="CW75" s="4">
        <v>-0.11899999999999999</v>
      </c>
      <c r="CX75" s="4">
        <v>2.44</v>
      </c>
      <c r="CY75" s="4">
        <v>2.9889999999999999</v>
      </c>
      <c r="CZ75" s="4">
        <v>2.641</v>
      </c>
      <c r="DA75" s="4">
        <v>-6.6950000000000003</v>
      </c>
      <c r="DB75" s="4">
        <v>2.5099999999999998</v>
      </c>
      <c r="DC75" s="4">
        <v>-3.7269999999999999</v>
      </c>
      <c r="DD75" s="4">
        <v>-3.8380000000000001</v>
      </c>
      <c r="DE75" s="4">
        <v>3.7109999999999999</v>
      </c>
      <c r="DF75" s="4">
        <v>-7.6609999999999996</v>
      </c>
      <c r="DG75" s="4">
        <v>3.2909999999999999</v>
      </c>
      <c r="DH75" s="4">
        <v>3.7610000000000001</v>
      </c>
      <c r="DI75" s="4">
        <v>1.0369999999999999</v>
      </c>
      <c r="DJ75" s="4">
        <v>4.2409999999999997</v>
      </c>
      <c r="DK75" s="4">
        <v>2.1280000000000001</v>
      </c>
      <c r="DL75" s="4">
        <v>2.0670000000000002</v>
      </c>
      <c r="DM75" s="4">
        <v>4.601</v>
      </c>
      <c r="DN75" s="4">
        <v>1.161</v>
      </c>
      <c r="DO75" s="4">
        <v>3.1</v>
      </c>
      <c r="DP75" s="4">
        <v>-6.3849999999999998</v>
      </c>
      <c r="DQ75" s="4">
        <v>2.3149999999999999</v>
      </c>
      <c r="DR75" s="4">
        <v>3.8959999999999999</v>
      </c>
      <c r="DS75" s="4">
        <v>1.7649999999999999</v>
      </c>
      <c r="DT75" s="4">
        <v>1.5209999999999999</v>
      </c>
      <c r="DU75" s="4">
        <v>-0.1</v>
      </c>
      <c r="DV75" s="4">
        <v>-1.716</v>
      </c>
      <c r="DW75" s="4">
        <v>4.056</v>
      </c>
      <c r="DX75" s="4">
        <v>1.728</v>
      </c>
      <c r="DY75" s="4">
        <v>2.0049999999999999</v>
      </c>
      <c r="DZ75" s="4">
        <v>3.8</v>
      </c>
      <c r="EA75" s="4">
        <v>4.1950000000000003</v>
      </c>
      <c r="EB75" s="4">
        <v>1.8520000000000001</v>
      </c>
      <c r="EC75" s="4">
        <v>-6.8390000000000004</v>
      </c>
      <c r="ED75" s="4">
        <v>4.0730000000000004</v>
      </c>
      <c r="EE75" s="4">
        <v>4.883</v>
      </c>
      <c r="EF75" s="4">
        <v>1.9690000000000001</v>
      </c>
      <c r="EG75" s="4">
        <v>1.8009999999999999</v>
      </c>
      <c r="EH75" s="4">
        <v>-0.98499999999999999</v>
      </c>
      <c r="EI75" s="4">
        <v>3.339</v>
      </c>
      <c r="EJ75" s="4">
        <v>2.48</v>
      </c>
      <c r="EK75" s="4">
        <v>2.6469999999999998</v>
      </c>
      <c r="EL75" s="4">
        <v>2.9369999999999998</v>
      </c>
      <c r="EM75" s="4">
        <v>3.0379999999999998</v>
      </c>
      <c r="EN75" s="4">
        <v>0.78900000000000003</v>
      </c>
      <c r="EO75" s="4">
        <v>2.86</v>
      </c>
      <c r="EP75" s="4">
        <v>2.782</v>
      </c>
      <c r="EQ75" s="4">
        <v>-2.4689999999999999</v>
      </c>
      <c r="ER75" s="4">
        <v>4.8719999999999999</v>
      </c>
      <c r="ES75" s="4">
        <v>-5.3999999999999999E-2</v>
      </c>
      <c r="ET75" s="4">
        <v>-3.1589999999999998</v>
      </c>
      <c r="EU75" s="4">
        <v>4.5339999999999998</v>
      </c>
      <c r="EV75" s="4">
        <v>-4.452</v>
      </c>
      <c r="EW75" s="4">
        <v>4.0049999999999999</v>
      </c>
      <c r="EX75" s="4">
        <v>-5.133</v>
      </c>
      <c r="EY75" s="4">
        <v>2.4620000000000002</v>
      </c>
      <c r="EZ75" s="4">
        <v>4.9619999999999997</v>
      </c>
      <c r="FA75" s="4">
        <v>-2.258</v>
      </c>
      <c r="FB75" s="4">
        <v>3.113</v>
      </c>
      <c r="FC75" s="4">
        <v>3.113</v>
      </c>
      <c r="FD75" s="4">
        <v>1.5549999999999999</v>
      </c>
      <c r="FE75" s="4">
        <v>3.077</v>
      </c>
      <c r="FF75" s="4">
        <v>2.7730000000000001</v>
      </c>
      <c r="FG75" s="4">
        <v>3.931</v>
      </c>
      <c r="FH75" s="4">
        <v>3.5129999999999999</v>
      </c>
      <c r="FI75" s="4">
        <v>-1.2969999999999999</v>
      </c>
      <c r="FJ75" s="4">
        <v>3.9449999999999998</v>
      </c>
      <c r="FK75" s="4">
        <v>2.839</v>
      </c>
      <c r="FL75" s="4">
        <v>2.855</v>
      </c>
      <c r="FM75" s="4">
        <v>8.6999999999999994E-2</v>
      </c>
      <c r="FN75" s="4">
        <v>2.6760000000000002</v>
      </c>
      <c r="FO75" s="4">
        <v>1.7190000000000001</v>
      </c>
      <c r="FP75" s="4">
        <v>0.89300000000000002</v>
      </c>
      <c r="FQ75" s="4">
        <v>0.41199999999999998</v>
      </c>
      <c r="FR75" s="4">
        <v>-0.91700000000000004</v>
      </c>
      <c r="FS75" s="4">
        <v>-1.7090000000000001</v>
      </c>
      <c r="FT75" s="4">
        <v>2.5609999999999999</v>
      </c>
      <c r="FU75" s="4">
        <v>1.9550000000000001</v>
      </c>
      <c r="FV75" s="4">
        <v>-4.7220000000000004</v>
      </c>
      <c r="FW75" s="4">
        <v>2.972</v>
      </c>
      <c r="FX75" s="4">
        <v>2.528</v>
      </c>
      <c r="FY75" s="4">
        <v>2.2330000000000001</v>
      </c>
      <c r="FZ75" s="4">
        <v>3.12</v>
      </c>
      <c r="GA75" s="4">
        <v>-0.188</v>
      </c>
      <c r="GB75" s="4">
        <v>5.0410000000000004</v>
      </c>
      <c r="GC75" s="4">
        <v>3.3170000000000002</v>
      </c>
      <c r="GD75" s="4">
        <v>3.2360000000000002</v>
      </c>
      <c r="GE75" s="4">
        <v>1.82</v>
      </c>
      <c r="GF75" s="4">
        <v>3.4529999999999998</v>
      </c>
      <c r="GG75" s="4">
        <v>-1.385</v>
      </c>
      <c r="GH75" s="4">
        <v>-1.7729999999999999</v>
      </c>
      <c r="GI75" s="4">
        <v>3.5230000000000001</v>
      </c>
      <c r="GJ75" s="4">
        <v>3.06</v>
      </c>
      <c r="GK75" s="4">
        <v>2.903</v>
      </c>
      <c r="GL75" s="4">
        <v>2.3559999999999999</v>
      </c>
      <c r="GM75" s="3"/>
      <c r="GN75" s="4">
        <v>-2.5030000000000001</v>
      </c>
      <c r="GO75" s="4">
        <v>1.36</v>
      </c>
      <c r="GP75" s="4">
        <v>-1.722</v>
      </c>
      <c r="GQ75" s="4">
        <v>-5.5259999999999998</v>
      </c>
      <c r="GR75" s="4">
        <v>-4.6580000000000004</v>
      </c>
      <c r="GS75" s="4">
        <v>3.0230000000000001</v>
      </c>
      <c r="GT75" s="4">
        <v>-6.0880000000000001</v>
      </c>
      <c r="GU75" s="4">
        <v>3.669</v>
      </c>
      <c r="GV75" s="4">
        <v>-3.2909999999999999</v>
      </c>
      <c r="GW75" s="4">
        <v>-1.196</v>
      </c>
      <c r="GX75" s="4">
        <v>-5.05</v>
      </c>
      <c r="GY75" s="4">
        <v>-2.1459999999999999</v>
      </c>
      <c r="GZ75" s="4">
        <v>3.9369999999999998</v>
      </c>
      <c r="HA75" s="4">
        <v>2.2389999999999999</v>
      </c>
      <c r="HB75" s="4">
        <v>0.78200000000000003</v>
      </c>
      <c r="HC75" s="4">
        <v>2.4340000000000002</v>
      </c>
      <c r="HD75" s="4">
        <v>-3.2989999999999999</v>
      </c>
      <c r="HE75" s="4">
        <v>0.31</v>
      </c>
      <c r="HF75" s="4">
        <v>-5.3129999999999997</v>
      </c>
      <c r="HG75" s="4">
        <v>3.165</v>
      </c>
      <c r="HH75" s="4">
        <v>-0.152</v>
      </c>
      <c r="HI75" s="4">
        <v>1.95</v>
      </c>
      <c r="HJ75" s="4">
        <v>2.0640000000000001</v>
      </c>
      <c r="HK75" s="4">
        <v>5.0350000000000001</v>
      </c>
      <c r="HL75" s="4">
        <v>3.891</v>
      </c>
      <c r="HM75" s="4">
        <v>2.5329999999999999</v>
      </c>
      <c r="HN75" s="4">
        <v>-2.7360000000000002</v>
      </c>
      <c r="HO75" s="4">
        <v>0.48799999999999999</v>
      </c>
      <c r="HP75" s="4">
        <v>2.33</v>
      </c>
      <c r="HQ75" s="4">
        <v>4.3140000000000001</v>
      </c>
      <c r="HR75" s="4">
        <v>1.1850000000000001</v>
      </c>
      <c r="HS75" s="4">
        <v>0.11</v>
      </c>
      <c r="HT75" s="4">
        <v>0.45100000000000001</v>
      </c>
      <c r="HU75" s="4">
        <v>2.6829999999999998</v>
      </c>
      <c r="HV75" s="4">
        <v>2.3079999999999998</v>
      </c>
      <c r="HW75" s="4">
        <v>-3.1890000000000001</v>
      </c>
      <c r="HX75" s="4">
        <v>2.5430000000000001</v>
      </c>
      <c r="HY75" s="4">
        <v>2.7040000000000002</v>
      </c>
      <c r="HZ75" s="4">
        <v>4.2380000000000004</v>
      </c>
      <c r="IA75" s="4">
        <v>-5.7160000000000002</v>
      </c>
      <c r="IB75" s="4">
        <v>4.508</v>
      </c>
      <c r="IC75" s="4">
        <v>4.4800000000000004</v>
      </c>
      <c r="ID75" s="4">
        <v>3.5619999999999998</v>
      </c>
      <c r="IE75" s="4">
        <v>2.71</v>
      </c>
      <c r="IF75" s="4">
        <v>2.6379999999999999</v>
      </c>
      <c r="IG75" s="4">
        <v>0.71499999999999997</v>
      </c>
      <c r="IH75" s="4">
        <v>-3.0270000000000001</v>
      </c>
      <c r="II75" s="4">
        <v>-4.8029999999999999</v>
      </c>
      <c r="IJ75" s="4">
        <v>2.0430000000000001</v>
      </c>
      <c r="IK75" s="4">
        <v>3.1920000000000002</v>
      </c>
      <c r="IL75" s="4">
        <v>-3.0339999999999998</v>
      </c>
      <c r="IM75" s="4">
        <v>2.6840000000000002</v>
      </c>
      <c r="IN75" s="4">
        <v>-1.03</v>
      </c>
      <c r="IO75" s="4">
        <v>0.223</v>
      </c>
      <c r="IP75" s="4">
        <v>0.99</v>
      </c>
      <c r="IQ75" s="4">
        <v>4.266</v>
      </c>
      <c r="IR75" s="4">
        <v>4.391</v>
      </c>
      <c r="IS75" s="4">
        <v>-3.8740000000000001</v>
      </c>
      <c r="IT75" s="4">
        <v>2.5299999999999998</v>
      </c>
      <c r="IU75" s="4">
        <v>-3.823</v>
      </c>
      <c r="IV75" s="4">
        <v>2.5139999999999998</v>
      </c>
      <c r="IW75" s="4">
        <v>-4.4530000000000003</v>
      </c>
      <c r="IX75" s="4">
        <v>3.0329999999999999</v>
      </c>
      <c r="IY75" s="4">
        <v>0.69299999999999995</v>
      </c>
      <c r="IZ75" s="4">
        <v>2.6840000000000002</v>
      </c>
      <c r="JA75" s="4">
        <v>2.2770000000000001</v>
      </c>
      <c r="JB75" s="4">
        <v>0.81399999999999995</v>
      </c>
      <c r="JC75" s="4">
        <v>-1.6359999999999999</v>
      </c>
      <c r="JD75" s="4">
        <v>2.8410000000000002</v>
      </c>
      <c r="JE75" s="4">
        <v>4.5529999999999999</v>
      </c>
      <c r="JF75" s="4">
        <v>4.0789999999999997</v>
      </c>
      <c r="JG75" s="4">
        <v>2.5470000000000002</v>
      </c>
      <c r="JH75" s="4">
        <v>3.601</v>
      </c>
      <c r="JI75" s="4">
        <v>-0.77500000000000002</v>
      </c>
      <c r="JJ75" s="4">
        <v>2.3740000000000001</v>
      </c>
      <c r="JK75" s="4">
        <v>2.3780000000000001</v>
      </c>
      <c r="JL75" s="4">
        <v>5.1189999999999998</v>
      </c>
      <c r="JM75" s="4">
        <v>2.8109999999999999</v>
      </c>
      <c r="JN75" s="4">
        <v>2.7210000000000001</v>
      </c>
      <c r="JO75" s="4">
        <v>2.6360000000000001</v>
      </c>
      <c r="JP75" s="4">
        <v>3.141</v>
      </c>
      <c r="JQ75" s="4">
        <v>3.319</v>
      </c>
      <c r="JR75" s="4">
        <v>2.1190000000000002</v>
      </c>
      <c r="JS75" s="4">
        <v>-1.8879999999999999</v>
      </c>
      <c r="JT75" s="4">
        <v>2.3839999999999999</v>
      </c>
      <c r="JU75" s="4">
        <v>2.3090000000000002</v>
      </c>
      <c r="JV75" s="4">
        <v>1.5940000000000001</v>
      </c>
      <c r="JW75" s="4">
        <v>3.27</v>
      </c>
      <c r="JX75" s="4">
        <v>2.2120000000000002</v>
      </c>
      <c r="JY75" s="4">
        <v>2.8050000000000002</v>
      </c>
      <c r="JZ75" s="4">
        <v>1.9339999999999999</v>
      </c>
      <c r="KA75" s="4">
        <v>2.827</v>
      </c>
      <c r="KB75" s="4">
        <v>-2.8719999999999999</v>
      </c>
      <c r="KC75" s="4">
        <v>-1.4</v>
      </c>
      <c r="KD75" s="4">
        <v>2.71</v>
      </c>
      <c r="KE75" s="4">
        <v>4.6189999999999998</v>
      </c>
      <c r="KF75" s="4">
        <v>2.5630000000000002</v>
      </c>
      <c r="KG75" s="4">
        <v>2.6579999999999999</v>
      </c>
      <c r="KH75" s="4">
        <v>2.6230000000000002</v>
      </c>
      <c r="KI75" s="4">
        <v>1.607</v>
      </c>
      <c r="KJ75" s="4">
        <v>3.4710000000000001</v>
      </c>
      <c r="KK75" s="4">
        <v>2.4750000000000001</v>
      </c>
      <c r="KL75" s="4">
        <v>2.056</v>
      </c>
      <c r="KM75" s="4">
        <v>-4.532</v>
      </c>
      <c r="KN75" s="4">
        <v>2.3730000000000002</v>
      </c>
      <c r="KO75" s="4">
        <v>-4.0750000000000002</v>
      </c>
      <c r="KP75" s="4">
        <v>2.0790000000000002</v>
      </c>
      <c r="KQ75" s="4">
        <v>4.1269999999999998</v>
      </c>
      <c r="KR75" s="4">
        <v>2.1579999999999999</v>
      </c>
      <c r="KS75" s="4">
        <v>4.9009999999999998</v>
      </c>
    </row>
    <row r="76" spans="1:305" x14ac:dyDescent="0.25">
      <c r="A76" s="4">
        <v>2020</v>
      </c>
      <c r="B76" s="4">
        <v>1</v>
      </c>
      <c r="C76" s="4">
        <v>-5.8460000000000001</v>
      </c>
      <c r="D76" s="4">
        <v>3.9529999999999998</v>
      </c>
      <c r="E76" s="4">
        <v>4.8319999999999999</v>
      </c>
      <c r="F76" s="4">
        <v>4.2069999999999999</v>
      </c>
      <c r="G76" s="4">
        <v>3.6459999999999999</v>
      </c>
      <c r="H76" s="4">
        <v>-3.6999999999999998E-2</v>
      </c>
      <c r="I76" s="4">
        <v>3.5630000000000002</v>
      </c>
      <c r="J76" s="4">
        <v>-4.17</v>
      </c>
      <c r="K76" s="4">
        <v>4.1639999999999997</v>
      </c>
      <c r="L76" s="4">
        <v>4.9969999999999999</v>
      </c>
      <c r="M76" s="4">
        <v>-0.55000000000000004</v>
      </c>
      <c r="N76" s="4">
        <v>3.8519999999999999</v>
      </c>
      <c r="O76" s="4">
        <v>-0.66900000000000004</v>
      </c>
      <c r="P76" s="4">
        <v>3.1269999999999998</v>
      </c>
      <c r="Q76" s="4">
        <v>-4.9660000000000002</v>
      </c>
      <c r="R76" s="4">
        <v>-4.5730000000000004</v>
      </c>
      <c r="S76" s="4">
        <v>2.8220000000000001</v>
      </c>
      <c r="T76" s="4">
        <v>2.9969999999999999</v>
      </c>
      <c r="U76" s="4">
        <v>3.718</v>
      </c>
      <c r="V76" s="4">
        <v>3.8820000000000001</v>
      </c>
      <c r="W76" s="4">
        <v>2.786</v>
      </c>
      <c r="X76" s="4">
        <v>5.0220000000000002</v>
      </c>
      <c r="Y76" s="4">
        <v>3.8210000000000002</v>
      </c>
      <c r="Z76" s="4">
        <v>-1.667</v>
      </c>
      <c r="AA76" s="4">
        <v>4.9509999999999996</v>
      </c>
      <c r="AB76" s="4">
        <v>-4.5</v>
      </c>
      <c r="AC76" s="4">
        <v>3.86</v>
      </c>
      <c r="AD76" s="4">
        <v>1.7689999999999999</v>
      </c>
      <c r="AE76" s="4">
        <v>3.37</v>
      </c>
      <c r="AF76" s="4">
        <v>4.5039999999999996</v>
      </c>
      <c r="AG76" s="4">
        <v>2.2309999999999999</v>
      </c>
      <c r="AH76" s="4">
        <v>3.5670000000000002</v>
      </c>
      <c r="AI76" s="4">
        <v>-0.625</v>
      </c>
      <c r="AJ76" s="4">
        <v>4.2919999999999998</v>
      </c>
      <c r="AK76" s="4">
        <v>4.7469999999999999</v>
      </c>
      <c r="AL76" s="4">
        <v>5.2279999999999998</v>
      </c>
      <c r="AM76" s="4">
        <v>2.1080000000000001</v>
      </c>
      <c r="AN76" s="4">
        <v>3.984</v>
      </c>
      <c r="AO76" s="4">
        <v>3.137</v>
      </c>
      <c r="AP76" s="4">
        <v>1.472</v>
      </c>
      <c r="AQ76" s="4">
        <v>-2.379</v>
      </c>
      <c r="AR76" s="4">
        <v>1.472</v>
      </c>
      <c r="AS76" s="4">
        <v>3.7679999999999998</v>
      </c>
      <c r="AT76" s="4">
        <v>2.8610000000000002</v>
      </c>
      <c r="AU76" s="4">
        <v>3.629</v>
      </c>
      <c r="AV76" s="4">
        <v>3.5659999999999998</v>
      </c>
      <c r="AW76" s="4">
        <v>3.8079999999999998</v>
      </c>
      <c r="AX76" s="4">
        <v>4.718</v>
      </c>
      <c r="AY76" s="4">
        <v>4.1130000000000004</v>
      </c>
      <c r="AZ76" s="4">
        <v>2.8490000000000002</v>
      </c>
      <c r="BA76" s="4">
        <v>5.234</v>
      </c>
      <c r="BB76" s="4">
        <v>3.3410000000000002</v>
      </c>
      <c r="BC76" s="4">
        <v>5.3639999999999999</v>
      </c>
      <c r="BD76" s="4">
        <v>2.1070000000000002</v>
      </c>
      <c r="BE76" s="4">
        <v>4.1180000000000003</v>
      </c>
      <c r="BF76" s="4">
        <v>2.258</v>
      </c>
      <c r="BG76" s="4">
        <v>2.89</v>
      </c>
      <c r="BH76" s="4">
        <v>3.7930000000000001</v>
      </c>
      <c r="BI76" s="4">
        <v>3.605</v>
      </c>
      <c r="BJ76" s="4">
        <v>-1.8620000000000001</v>
      </c>
      <c r="BK76" s="4">
        <v>3.105</v>
      </c>
      <c r="BL76" s="4">
        <v>-2.2789999999999999</v>
      </c>
      <c r="BM76" s="4">
        <v>-3.34</v>
      </c>
      <c r="BN76" s="4">
        <v>1.653</v>
      </c>
      <c r="BO76" s="4">
        <v>-7.843</v>
      </c>
      <c r="BP76" s="4">
        <v>3.0569999999999999</v>
      </c>
      <c r="BQ76" s="4">
        <v>3.452</v>
      </c>
      <c r="BR76" s="4">
        <v>3.6789999999999998</v>
      </c>
      <c r="BS76" s="4">
        <v>5.1760000000000002</v>
      </c>
      <c r="BT76" s="4">
        <v>4.0679999999999996</v>
      </c>
      <c r="BU76" s="4">
        <v>4.3410000000000002</v>
      </c>
      <c r="BV76" s="4">
        <v>3.6890000000000001</v>
      </c>
      <c r="BW76" s="4">
        <v>1.81</v>
      </c>
      <c r="BX76" s="4">
        <v>2.2839999999999998</v>
      </c>
      <c r="BY76" s="4">
        <v>3.8319999999999999</v>
      </c>
      <c r="BZ76" s="4">
        <v>3.2519999999999998</v>
      </c>
      <c r="CA76" s="4">
        <v>5.0789999999999997</v>
      </c>
      <c r="CB76" s="4">
        <v>4.0129999999999999</v>
      </c>
      <c r="CC76" s="4">
        <v>-0.55300000000000005</v>
      </c>
      <c r="CD76" s="4">
        <v>3.5329999999999999</v>
      </c>
      <c r="CE76" s="4">
        <v>-4.2240000000000002</v>
      </c>
      <c r="CF76" s="4">
        <v>1.4219999999999999</v>
      </c>
      <c r="CG76" s="4">
        <v>4.6890000000000001</v>
      </c>
      <c r="CH76" s="4">
        <v>4.2560000000000002</v>
      </c>
      <c r="CI76" s="4">
        <v>2.5819999999999999</v>
      </c>
      <c r="CJ76" s="4">
        <v>-1.3939999999999999</v>
      </c>
      <c r="CK76" s="4">
        <v>5.1760000000000002</v>
      </c>
      <c r="CL76" s="4">
        <v>-3.31</v>
      </c>
      <c r="CM76" s="4">
        <v>4.1779999999999999</v>
      </c>
      <c r="CN76" s="4">
        <v>3.7959999999999998</v>
      </c>
      <c r="CO76" s="4">
        <v>4.4379999999999997</v>
      </c>
      <c r="CP76" s="4">
        <v>2.145</v>
      </c>
      <c r="CQ76" s="4">
        <v>5.3239999999999998</v>
      </c>
      <c r="CR76" s="4">
        <v>3.9289999999999998</v>
      </c>
      <c r="CS76" s="4">
        <v>4.3730000000000002</v>
      </c>
      <c r="CT76" s="4">
        <v>4.2699999999999996</v>
      </c>
      <c r="CU76" s="4">
        <v>3.85</v>
      </c>
      <c r="CV76" s="4">
        <v>3.653</v>
      </c>
      <c r="CW76" s="4">
        <v>2.5259999999999998</v>
      </c>
      <c r="CX76" s="4">
        <v>3.68</v>
      </c>
      <c r="CY76" s="4">
        <v>4.0410000000000004</v>
      </c>
      <c r="CZ76" s="4">
        <v>3.9460000000000002</v>
      </c>
      <c r="DA76" s="4">
        <v>-6.1559999999999997</v>
      </c>
      <c r="DB76" s="4">
        <v>3.4929999999999999</v>
      </c>
      <c r="DC76" s="4">
        <v>-1.61</v>
      </c>
      <c r="DD76" s="4">
        <v>-4.8170000000000002</v>
      </c>
      <c r="DE76" s="4">
        <v>4.4960000000000004</v>
      </c>
      <c r="DF76" s="4">
        <v>-10.032999999999999</v>
      </c>
      <c r="DG76" s="4">
        <v>4.4240000000000004</v>
      </c>
      <c r="DH76" s="4">
        <v>4.5389999999999997</v>
      </c>
      <c r="DI76" s="4">
        <v>2.8540000000000001</v>
      </c>
      <c r="DJ76" s="4">
        <v>4.8239999999999998</v>
      </c>
      <c r="DK76" s="4">
        <v>3.7130000000000001</v>
      </c>
      <c r="DL76" s="4">
        <v>3.7519999999999998</v>
      </c>
      <c r="DM76" s="4">
        <v>5.0629999999999997</v>
      </c>
      <c r="DN76" s="4">
        <v>3.2189999999999999</v>
      </c>
      <c r="DO76" s="4">
        <v>4.0620000000000003</v>
      </c>
      <c r="DP76" s="4">
        <v>-7.4720000000000004</v>
      </c>
      <c r="DQ76" s="4">
        <v>3.577</v>
      </c>
      <c r="DR76" s="4">
        <v>4.6900000000000004</v>
      </c>
      <c r="DS76" s="4">
        <v>3.38</v>
      </c>
      <c r="DT76" s="4">
        <v>3.5979999999999999</v>
      </c>
      <c r="DU76" s="4">
        <v>1.9530000000000001</v>
      </c>
      <c r="DV76" s="4">
        <v>0.29399999999999998</v>
      </c>
      <c r="DW76" s="4">
        <v>4.8630000000000004</v>
      </c>
      <c r="DX76" s="4">
        <v>3.31</v>
      </c>
      <c r="DY76" s="4">
        <v>3.8809999999999998</v>
      </c>
      <c r="DZ76" s="4">
        <v>4.9969999999999999</v>
      </c>
      <c r="EA76" s="4">
        <v>5.0389999999999997</v>
      </c>
      <c r="EB76" s="4">
        <v>3.887</v>
      </c>
      <c r="EC76" s="4">
        <v>-6.2229999999999999</v>
      </c>
      <c r="ED76" s="4">
        <v>4.9340000000000002</v>
      </c>
      <c r="EE76" s="4">
        <v>5.2690000000000001</v>
      </c>
      <c r="EF76" s="4">
        <v>3.6840000000000002</v>
      </c>
      <c r="EG76" s="4">
        <v>3.7040000000000002</v>
      </c>
      <c r="EH76" s="4">
        <v>1.7370000000000001</v>
      </c>
      <c r="EI76" s="4">
        <v>4.4080000000000004</v>
      </c>
      <c r="EJ76" s="4">
        <v>3.4</v>
      </c>
      <c r="EK76" s="4">
        <v>3.9660000000000002</v>
      </c>
      <c r="EL76" s="4">
        <v>4.306</v>
      </c>
      <c r="EM76" s="4">
        <v>4.4809999999999999</v>
      </c>
      <c r="EN76" s="4">
        <v>2.9039999999999999</v>
      </c>
      <c r="EO76" s="4">
        <v>4.3029999999999999</v>
      </c>
      <c r="EP76" s="4">
        <v>3.819</v>
      </c>
      <c r="EQ76" s="4">
        <v>0.78300000000000003</v>
      </c>
      <c r="ER76" s="4">
        <v>5.2469999999999999</v>
      </c>
      <c r="ES76" s="4">
        <v>2.262</v>
      </c>
      <c r="ET76" s="4">
        <v>-3.004</v>
      </c>
      <c r="EU76" s="4">
        <v>4.9950000000000001</v>
      </c>
      <c r="EV76" s="4">
        <v>-2.5129999999999999</v>
      </c>
      <c r="EW76" s="4">
        <v>5.3570000000000002</v>
      </c>
      <c r="EX76" s="4">
        <v>-4.0380000000000003</v>
      </c>
      <c r="EY76" s="4">
        <v>3.6120000000000001</v>
      </c>
      <c r="EZ76" s="4">
        <v>5.2770000000000001</v>
      </c>
      <c r="FA76" s="4">
        <v>0.83799999999999997</v>
      </c>
      <c r="FB76" s="4">
        <v>4.5679999999999996</v>
      </c>
      <c r="FC76" s="4">
        <v>4.0940000000000003</v>
      </c>
      <c r="FD76" s="4">
        <v>3.2839999999999998</v>
      </c>
      <c r="FE76" s="4">
        <v>4.4889999999999999</v>
      </c>
      <c r="FF76" s="4">
        <v>4.1890000000000001</v>
      </c>
      <c r="FG76" s="4">
        <v>4.9329999999999998</v>
      </c>
      <c r="FH76" s="4">
        <v>4.4480000000000004</v>
      </c>
      <c r="FI76" s="4">
        <v>1.6220000000000001</v>
      </c>
      <c r="FJ76" s="4">
        <v>4.4729999999999999</v>
      </c>
      <c r="FK76" s="4">
        <v>4.0599999999999996</v>
      </c>
      <c r="FL76" s="4">
        <v>4.5149999999999997</v>
      </c>
      <c r="FM76" s="4">
        <v>2.31</v>
      </c>
      <c r="FN76" s="4">
        <v>3.927</v>
      </c>
      <c r="FO76" s="4">
        <v>2.613</v>
      </c>
      <c r="FP76" s="4">
        <v>2.9380000000000002</v>
      </c>
      <c r="FQ76" s="4">
        <v>2.851</v>
      </c>
      <c r="FR76" s="4">
        <v>1.6910000000000001</v>
      </c>
      <c r="FS76" s="4">
        <v>-0.63300000000000001</v>
      </c>
      <c r="FT76" s="4">
        <v>4.0570000000000004</v>
      </c>
      <c r="FU76" s="4">
        <v>3.3820000000000001</v>
      </c>
      <c r="FV76" s="4">
        <v>-3.4449999999999998</v>
      </c>
      <c r="FW76" s="4">
        <v>3.9910000000000001</v>
      </c>
      <c r="FX76" s="4">
        <v>3.827</v>
      </c>
      <c r="FY76" s="4">
        <v>3.7010000000000001</v>
      </c>
      <c r="FZ76" s="4">
        <v>3.968</v>
      </c>
      <c r="GA76" s="4">
        <v>2.4390000000000001</v>
      </c>
      <c r="GB76" s="4">
        <v>5.6749999999999998</v>
      </c>
      <c r="GC76" s="4">
        <v>4.319</v>
      </c>
      <c r="GD76" s="4">
        <v>4.17</v>
      </c>
      <c r="GE76" s="4">
        <v>3.8559999999999999</v>
      </c>
      <c r="GF76" s="4">
        <v>4.3289999999999997</v>
      </c>
      <c r="GG76" s="4">
        <v>3.5000000000000003E-2</v>
      </c>
      <c r="GH76" s="4">
        <v>0.96299999999999997</v>
      </c>
      <c r="GI76" s="4">
        <v>5</v>
      </c>
      <c r="GJ76" s="4">
        <v>3.99</v>
      </c>
      <c r="GK76" s="4">
        <v>3.9649999999999999</v>
      </c>
      <c r="GL76" s="4">
        <v>3.78</v>
      </c>
      <c r="GM76" s="3"/>
      <c r="GN76" s="4">
        <v>1.2E-2</v>
      </c>
      <c r="GO76" s="4">
        <v>3.0430000000000001</v>
      </c>
      <c r="GP76" s="4">
        <v>1.38</v>
      </c>
      <c r="GQ76" s="4">
        <v>-6.5720000000000001</v>
      </c>
      <c r="GR76" s="4">
        <v>-6.6340000000000003</v>
      </c>
      <c r="GS76" s="4">
        <v>4.1340000000000003</v>
      </c>
      <c r="GT76" s="4">
        <v>-8.3149999999999995</v>
      </c>
      <c r="GU76" s="4">
        <v>4.7469999999999999</v>
      </c>
      <c r="GV76" s="4">
        <v>-2.5259999999999998</v>
      </c>
      <c r="GW76" s="4">
        <v>1.5409999999999999</v>
      </c>
      <c r="GX76" s="4">
        <v>-4.9470000000000001</v>
      </c>
      <c r="GY76" s="4">
        <v>-1.0349999999999999</v>
      </c>
      <c r="GZ76" s="4">
        <v>4.5949999999999998</v>
      </c>
      <c r="HA76" s="4">
        <v>3.94</v>
      </c>
      <c r="HB76" s="4">
        <v>2.8479999999999999</v>
      </c>
      <c r="HC76" s="4">
        <v>3.766</v>
      </c>
      <c r="HD76" s="4">
        <v>-0.56399999999999995</v>
      </c>
      <c r="HE76" s="4">
        <v>2.6629999999999998</v>
      </c>
      <c r="HF76" s="4">
        <v>-1.97</v>
      </c>
      <c r="HG76" s="4">
        <v>4.57</v>
      </c>
      <c r="HH76" s="4">
        <v>2.4489999999999998</v>
      </c>
      <c r="HI76" s="4">
        <v>2.887</v>
      </c>
      <c r="HJ76" s="4">
        <v>3.5590000000000002</v>
      </c>
      <c r="HK76" s="4">
        <v>5.1909999999999998</v>
      </c>
      <c r="HL76" s="4">
        <v>4.391</v>
      </c>
      <c r="HM76" s="4">
        <v>3.839</v>
      </c>
      <c r="HN76" s="4">
        <v>-1.4410000000000001</v>
      </c>
      <c r="HO76" s="4">
        <v>2.6360000000000001</v>
      </c>
      <c r="HP76" s="4">
        <v>3.6840000000000002</v>
      </c>
      <c r="HQ76" s="4">
        <v>4.6399999999999997</v>
      </c>
      <c r="HR76" s="4">
        <v>3.145</v>
      </c>
      <c r="HS76" s="4">
        <v>2.5139999999999998</v>
      </c>
      <c r="HT76" s="4">
        <v>2.8969999999999998</v>
      </c>
      <c r="HU76" s="4">
        <v>4.194</v>
      </c>
      <c r="HV76" s="4">
        <v>3.6880000000000002</v>
      </c>
      <c r="HW76" s="4">
        <v>-0.61599999999999999</v>
      </c>
      <c r="HX76" s="4">
        <v>3.9129999999999998</v>
      </c>
      <c r="HY76" s="4">
        <v>3.9929999999999999</v>
      </c>
      <c r="HZ76" s="4">
        <v>4.8680000000000003</v>
      </c>
      <c r="IA76" s="4">
        <v>-4.3159999999999998</v>
      </c>
      <c r="IB76" s="4">
        <v>5.6669999999999998</v>
      </c>
      <c r="IC76" s="4">
        <v>4.9370000000000003</v>
      </c>
      <c r="ID76" s="4">
        <v>4.8419999999999996</v>
      </c>
      <c r="IE76" s="4">
        <v>3.988</v>
      </c>
      <c r="IF76" s="4">
        <v>3.8879999999999999</v>
      </c>
      <c r="IG76" s="4">
        <v>2.4940000000000002</v>
      </c>
      <c r="IH76" s="4">
        <v>-0.7</v>
      </c>
      <c r="II76" s="4">
        <v>-3.7090000000000001</v>
      </c>
      <c r="IJ76" s="4">
        <v>3.7909999999999999</v>
      </c>
      <c r="IK76" s="4">
        <v>4.9610000000000003</v>
      </c>
      <c r="IL76" s="4">
        <v>-1.889</v>
      </c>
      <c r="IM76" s="4">
        <v>3.9849999999999999</v>
      </c>
      <c r="IN76" s="4">
        <v>1.3080000000000001</v>
      </c>
      <c r="IO76" s="4">
        <v>2.754</v>
      </c>
      <c r="IP76" s="4">
        <v>3.0350000000000001</v>
      </c>
      <c r="IQ76" s="4">
        <v>4.8600000000000003</v>
      </c>
      <c r="IR76" s="4">
        <v>4.8230000000000004</v>
      </c>
      <c r="IS76" s="4">
        <v>-5.2999999999999999E-2</v>
      </c>
      <c r="IT76" s="4">
        <v>3.476</v>
      </c>
      <c r="IU76" s="4">
        <v>-0.42299999999999999</v>
      </c>
      <c r="IV76" s="4">
        <v>3.919</v>
      </c>
      <c r="IW76" s="4">
        <v>-1.8049999999999999</v>
      </c>
      <c r="IX76" s="4">
        <v>4.76</v>
      </c>
      <c r="IY76" s="4">
        <v>2.786</v>
      </c>
      <c r="IZ76" s="4">
        <v>4.0810000000000004</v>
      </c>
      <c r="JA76" s="4">
        <v>3.4790000000000001</v>
      </c>
      <c r="JB76" s="4">
        <v>2.8460000000000001</v>
      </c>
      <c r="JC76" s="4">
        <v>0.47399999999999998</v>
      </c>
      <c r="JD76" s="4">
        <v>3.726</v>
      </c>
      <c r="JE76" s="4">
        <v>5.4569999999999999</v>
      </c>
      <c r="JF76" s="4">
        <v>4.5199999999999996</v>
      </c>
      <c r="JG76" s="4">
        <v>4.1079999999999997</v>
      </c>
      <c r="JH76" s="4">
        <v>4.3559999999999999</v>
      </c>
      <c r="JI76" s="4">
        <v>2.1880000000000002</v>
      </c>
      <c r="JJ76" s="4">
        <v>3.4929999999999999</v>
      </c>
      <c r="JK76" s="4">
        <v>3.3159999999999998</v>
      </c>
      <c r="JL76" s="4">
        <v>5.1740000000000004</v>
      </c>
      <c r="JM76" s="4">
        <v>4.4180000000000001</v>
      </c>
      <c r="JN76" s="4">
        <v>3.8610000000000002</v>
      </c>
      <c r="JO76" s="4">
        <v>3.8</v>
      </c>
      <c r="JP76" s="4">
        <v>4.7060000000000004</v>
      </c>
      <c r="JQ76" s="4">
        <v>4.2610000000000001</v>
      </c>
      <c r="JR76" s="4">
        <v>3.0720000000000001</v>
      </c>
      <c r="JS76" s="4">
        <v>-0.628</v>
      </c>
      <c r="JT76" s="4">
        <v>3.7349999999999999</v>
      </c>
      <c r="JU76" s="4">
        <v>3.734</v>
      </c>
      <c r="JV76" s="4">
        <v>3.327</v>
      </c>
      <c r="JW76" s="4">
        <v>4.3860000000000001</v>
      </c>
      <c r="JX76" s="4">
        <v>3.1850000000000001</v>
      </c>
      <c r="JY76" s="4">
        <v>4.16</v>
      </c>
      <c r="JZ76" s="4">
        <v>3.4860000000000002</v>
      </c>
      <c r="KA76" s="4">
        <v>4.4640000000000004</v>
      </c>
      <c r="KB76" s="4">
        <v>-1.359</v>
      </c>
      <c r="KC76" s="4">
        <v>1.2809999999999999</v>
      </c>
      <c r="KD76" s="4">
        <v>4.1429999999999998</v>
      </c>
      <c r="KE76" s="4">
        <v>5.258</v>
      </c>
      <c r="KF76" s="4">
        <v>3.871</v>
      </c>
      <c r="KG76" s="4">
        <v>3.871</v>
      </c>
      <c r="KH76" s="4">
        <v>3.6469999999999998</v>
      </c>
      <c r="KI76" s="4">
        <v>3.5219999999999998</v>
      </c>
      <c r="KJ76" s="4">
        <v>4.5039999999999996</v>
      </c>
      <c r="KK76" s="4">
        <v>3.4380000000000002</v>
      </c>
      <c r="KL76" s="4">
        <v>3.0209999999999999</v>
      </c>
      <c r="KM76" s="4">
        <v>-2.964</v>
      </c>
      <c r="KN76" s="4">
        <v>3.6110000000000002</v>
      </c>
      <c r="KO76" s="4">
        <v>-2.39</v>
      </c>
      <c r="KP76" s="4">
        <v>3.8290000000000002</v>
      </c>
      <c r="KQ76" s="4">
        <v>4.2830000000000004</v>
      </c>
      <c r="KR76" s="4">
        <v>3.2450000000000001</v>
      </c>
      <c r="KS76" s="4">
        <v>4.95</v>
      </c>
    </row>
    <row r="77" spans="1:305" x14ac:dyDescent="0.25">
      <c r="A77" s="4">
        <v>2020</v>
      </c>
      <c r="B77" s="4">
        <v>2</v>
      </c>
      <c r="C77" s="4">
        <v>-6.7050000000000001</v>
      </c>
      <c r="D77" s="4">
        <v>2.5059999999999998</v>
      </c>
      <c r="E77" s="4">
        <v>3.4159999999999999</v>
      </c>
      <c r="F77" s="4">
        <v>2.7549999999999999</v>
      </c>
      <c r="G77" s="4">
        <v>2.2389999999999999</v>
      </c>
      <c r="H77" s="4">
        <v>-1.7589999999999999</v>
      </c>
      <c r="I77" s="4">
        <v>2.3109999999999999</v>
      </c>
      <c r="J77" s="4">
        <v>-7.8959999999999999</v>
      </c>
      <c r="K77" s="4">
        <v>2.597</v>
      </c>
      <c r="L77" s="4">
        <v>4.3280000000000003</v>
      </c>
      <c r="M77" s="4">
        <v>-3.1970000000000001</v>
      </c>
      <c r="N77" s="4">
        <v>2.4390000000000001</v>
      </c>
      <c r="O77" s="4">
        <v>-3.0489999999999999</v>
      </c>
      <c r="P77" s="4">
        <v>1.359</v>
      </c>
      <c r="Q77" s="4">
        <v>-9.0820000000000007</v>
      </c>
      <c r="R77" s="4">
        <v>-7.11</v>
      </c>
      <c r="S77" s="4">
        <v>1.103</v>
      </c>
      <c r="T77" s="4">
        <v>1.6990000000000001</v>
      </c>
      <c r="U77" s="4">
        <v>2.1659999999999999</v>
      </c>
      <c r="V77" s="4">
        <v>2.468</v>
      </c>
      <c r="W77" s="4">
        <v>1.3160000000000001</v>
      </c>
      <c r="X77" s="4">
        <v>4.2270000000000003</v>
      </c>
      <c r="Y77" s="4">
        <v>2.0329999999999999</v>
      </c>
      <c r="Z77" s="4">
        <v>-4.7610000000000001</v>
      </c>
      <c r="AA77" s="4">
        <v>4.3369999999999997</v>
      </c>
      <c r="AB77" s="4">
        <v>-7.8079999999999998</v>
      </c>
      <c r="AC77" s="4">
        <v>2.4060000000000001</v>
      </c>
      <c r="AD77" s="4">
        <v>-0.159</v>
      </c>
      <c r="AE77" s="4">
        <v>1.8380000000000001</v>
      </c>
      <c r="AF77" s="4">
        <v>3.7069999999999999</v>
      </c>
      <c r="AG77" s="4">
        <v>0.53800000000000003</v>
      </c>
      <c r="AH77" s="4">
        <v>2.13</v>
      </c>
      <c r="AI77" s="4">
        <v>-3.7360000000000002</v>
      </c>
      <c r="AJ77" s="4">
        <v>3.4089999999999998</v>
      </c>
      <c r="AK77" s="4">
        <v>4.141</v>
      </c>
      <c r="AL77" s="4">
        <v>4.9219999999999997</v>
      </c>
      <c r="AM77" s="4">
        <v>0.42399999999999999</v>
      </c>
      <c r="AN77" s="4">
        <v>2.4950000000000001</v>
      </c>
      <c r="AO77" s="4">
        <v>1.5249999999999999</v>
      </c>
      <c r="AP77" s="4">
        <v>-0.90900000000000003</v>
      </c>
      <c r="AQ77" s="4">
        <v>-7.2279999999999998</v>
      </c>
      <c r="AR77" s="4">
        <v>-0.65700000000000003</v>
      </c>
      <c r="AS77" s="4">
        <v>1.9330000000000001</v>
      </c>
      <c r="AT77" s="4">
        <v>1.42</v>
      </c>
      <c r="AU77" s="4">
        <v>2.4750000000000001</v>
      </c>
      <c r="AV77" s="4">
        <v>2.08</v>
      </c>
      <c r="AW77" s="4">
        <v>2.254</v>
      </c>
      <c r="AX77" s="4">
        <v>4.3129999999999997</v>
      </c>
      <c r="AY77" s="4">
        <v>2.544</v>
      </c>
      <c r="AZ77" s="4">
        <v>1.2410000000000001</v>
      </c>
      <c r="BA77" s="4">
        <v>4.1390000000000002</v>
      </c>
      <c r="BB77" s="4">
        <v>1.6859999999999999</v>
      </c>
      <c r="BC77" s="4">
        <v>5.1390000000000002</v>
      </c>
      <c r="BD77" s="4">
        <v>0.56399999999999995</v>
      </c>
      <c r="BE77" s="4">
        <v>2.4580000000000002</v>
      </c>
      <c r="BF77" s="4">
        <v>0.59899999999999998</v>
      </c>
      <c r="BG77" s="4">
        <v>1.3660000000000001</v>
      </c>
      <c r="BH77" s="4">
        <v>2.3639999999999999</v>
      </c>
      <c r="BI77" s="4">
        <v>2.181</v>
      </c>
      <c r="BJ77" s="4">
        <v>-4.242</v>
      </c>
      <c r="BK77" s="4">
        <v>1.63</v>
      </c>
      <c r="BL77" s="4">
        <v>-5.952</v>
      </c>
      <c r="BM77" s="4">
        <v>-7.57</v>
      </c>
      <c r="BN77" s="4">
        <v>-0.11600000000000001</v>
      </c>
      <c r="BO77" s="4">
        <v>-9.6080000000000005</v>
      </c>
      <c r="BP77" s="4">
        <v>1.538</v>
      </c>
      <c r="BQ77" s="4">
        <v>2.028</v>
      </c>
      <c r="BR77" s="4">
        <v>2.1150000000000002</v>
      </c>
      <c r="BS77" s="4">
        <v>3.92</v>
      </c>
      <c r="BT77" s="4">
        <v>2.5630000000000002</v>
      </c>
      <c r="BU77" s="4">
        <v>2.8140000000000001</v>
      </c>
      <c r="BV77" s="4">
        <v>2.153</v>
      </c>
      <c r="BW77" s="4">
        <v>9.7000000000000003E-2</v>
      </c>
      <c r="BX77" s="4">
        <v>0.59299999999999997</v>
      </c>
      <c r="BY77" s="4">
        <v>2.3050000000000002</v>
      </c>
      <c r="BZ77" s="4">
        <v>1.8740000000000001</v>
      </c>
      <c r="CA77" s="4">
        <v>4.1479999999999997</v>
      </c>
      <c r="CB77" s="4">
        <v>2.4609999999999999</v>
      </c>
      <c r="CC77" s="4">
        <v>-3.5310000000000001</v>
      </c>
      <c r="CD77" s="4">
        <v>2.056</v>
      </c>
      <c r="CE77" s="4">
        <v>-5.8879999999999999</v>
      </c>
      <c r="CF77" s="4">
        <v>-0.57799999999999996</v>
      </c>
      <c r="CG77" s="4">
        <v>3.3660000000000001</v>
      </c>
      <c r="CH77" s="4">
        <v>3.419</v>
      </c>
      <c r="CI77" s="4">
        <v>1.0529999999999999</v>
      </c>
      <c r="CJ77" s="4">
        <v>-4.5540000000000003</v>
      </c>
      <c r="CK77" s="4">
        <v>4.617</v>
      </c>
      <c r="CL77" s="4">
        <v>-6.4960000000000004</v>
      </c>
      <c r="CM77" s="4">
        <v>3.3410000000000002</v>
      </c>
      <c r="CN77" s="4">
        <v>2.2010000000000001</v>
      </c>
      <c r="CO77" s="4">
        <v>2.9020000000000001</v>
      </c>
      <c r="CP77" s="4">
        <v>0.63800000000000001</v>
      </c>
      <c r="CQ77" s="4">
        <v>4.7229999999999999</v>
      </c>
      <c r="CR77" s="4">
        <v>2.8610000000000002</v>
      </c>
      <c r="CS77" s="4">
        <v>3.7959999999999998</v>
      </c>
      <c r="CT77" s="4">
        <v>3.7650000000000001</v>
      </c>
      <c r="CU77" s="4">
        <v>2.3610000000000002</v>
      </c>
      <c r="CV77" s="4">
        <v>2.2240000000000002</v>
      </c>
      <c r="CW77" s="4">
        <v>0.434</v>
      </c>
      <c r="CX77" s="4">
        <v>2.4510000000000001</v>
      </c>
      <c r="CY77" s="4">
        <v>2.6280000000000001</v>
      </c>
      <c r="CZ77" s="4">
        <v>2.4860000000000002</v>
      </c>
      <c r="DA77" s="4">
        <v>-10.483000000000001</v>
      </c>
      <c r="DB77" s="4">
        <v>2.0299999999999998</v>
      </c>
      <c r="DC77" s="4">
        <v>-5.9850000000000003</v>
      </c>
      <c r="DD77" s="4">
        <v>-6.4770000000000003</v>
      </c>
      <c r="DE77" s="4">
        <v>3.6110000000000002</v>
      </c>
      <c r="DF77" s="4">
        <v>-10.746</v>
      </c>
      <c r="DG77" s="4">
        <v>2.9540000000000002</v>
      </c>
      <c r="DH77" s="4">
        <v>3.82</v>
      </c>
      <c r="DI77" s="4">
        <v>1.228</v>
      </c>
      <c r="DJ77" s="4">
        <v>4.1120000000000001</v>
      </c>
      <c r="DK77" s="4">
        <v>2.1720000000000002</v>
      </c>
      <c r="DL77" s="4">
        <v>2.3530000000000002</v>
      </c>
      <c r="DM77" s="4">
        <v>4.6859999999999999</v>
      </c>
      <c r="DN77" s="4">
        <v>1.736</v>
      </c>
      <c r="DO77" s="4">
        <v>2.665</v>
      </c>
      <c r="DP77" s="4">
        <v>-8.8979999999999997</v>
      </c>
      <c r="DQ77" s="4">
        <v>2.2069999999999999</v>
      </c>
      <c r="DR77" s="4">
        <v>3.9710000000000001</v>
      </c>
      <c r="DS77" s="4">
        <v>1.8240000000000001</v>
      </c>
      <c r="DT77" s="4">
        <v>2.1920000000000002</v>
      </c>
      <c r="DU77" s="4">
        <v>0.40300000000000002</v>
      </c>
      <c r="DV77" s="4">
        <v>-2.2469999999999999</v>
      </c>
      <c r="DW77" s="4">
        <v>4.22</v>
      </c>
      <c r="DX77" s="4">
        <v>1.7230000000000001</v>
      </c>
      <c r="DY77" s="4">
        <v>2.3639999999999999</v>
      </c>
      <c r="DZ77" s="4">
        <v>3.609</v>
      </c>
      <c r="EA77" s="4">
        <v>3.78</v>
      </c>
      <c r="EB77" s="4">
        <v>2.444</v>
      </c>
      <c r="EC77" s="4">
        <v>-9.7260000000000009</v>
      </c>
      <c r="ED77" s="4">
        <v>4.0510000000000002</v>
      </c>
      <c r="EE77" s="4">
        <v>4.7789999999999999</v>
      </c>
      <c r="EF77" s="4">
        <v>2.0670000000000002</v>
      </c>
      <c r="EG77" s="4">
        <v>2.1190000000000002</v>
      </c>
      <c r="EH77" s="4">
        <v>-0.106</v>
      </c>
      <c r="EI77" s="4">
        <v>3.024</v>
      </c>
      <c r="EJ77" s="4">
        <v>2.218</v>
      </c>
      <c r="EK77" s="4">
        <v>2.4889999999999999</v>
      </c>
      <c r="EL77" s="4">
        <v>2.915</v>
      </c>
      <c r="EM77" s="4">
        <v>2.9550000000000001</v>
      </c>
      <c r="EN77" s="4">
        <v>1.3129999999999999</v>
      </c>
      <c r="EO77" s="4">
        <v>2.8820000000000001</v>
      </c>
      <c r="EP77" s="4">
        <v>2.5310000000000001</v>
      </c>
      <c r="EQ77" s="4">
        <v>-1.526</v>
      </c>
      <c r="ER77" s="4">
        <v>4.9249999999999998</v>
      </c>
      <c r="ES77" s="4">
        <v>0.63900000000000001</v>
      </c>
      <c r="ET77" s="4">
        <v>-5.6879999999999997</v>
      </c>
      <c r="EU77" s="4">
        <v>4.6890000000000001</v>
      </c>
      <c r="EV77" s="4">
        <v>-7.258</v>
      </c>
      <c r="EW77" s="4">
        <v>3.8719999999999999</v>
      </c>
      <c r="EX77" s="4">
        <v>-7.1859999999999999</v>
      </c>
      <c r="EY77" s="4">
        <v>2.214</v>
      </c>
      <c r="EZ77" s="4">
        <v>4.9610000000000003</v>
      </c>
      <c r="FA77" s="4">
        <v>-1.1399999999999999</v>
      </c>
      <c r="FB77" s="4">
        <v>3.0649999999999999</v>
      </c>
      <c r="FC77" s="4">
        <v>3.0609999999999999</v>
      </c>
      <c r="FD77" s="4">
        <v>1.7949999999999999</v>
      </c>
      <c r="FE77" s="4">
        <v>3.0390000000000001</v>
      </c>
      <c r="FF77" s="4">
        <v>2.7229999999999999</v>
      </c>
      <c r="FG77" s="4">
        <v>3.6440000000000001</v>
      </c>
      <c r="FH77" s="4">
        <v>3.5630000000000002</v>
      </c>
      <c r="FI77" s="4">
        <v>-0.11700000000000001</v>
      </c>
      <c r="FJ77" s="4">
        <v>3.6480000000000001</v>
      </c>
      <c r="FK77" s="4">
        <v>2.589</v>
      </c>
      <c r="FL77" s="4">
        <v>2.9220000000000002</v>
      </c>
      <c r="FM77" s="4">
        <v>0.623</v>
      </c>
      <c r="FN77" s="4">
        <v>2.4889999999999999</v>
      </c>
      <c r="FO77" s="4">
        <v>1.125</v>
      </c>
      <c r="FP77" s="4">
        <v>1.258</v>
      </c>
      <c r="FQ77" s="4">
        <v>1.2589999999999999</v>
      </c>
      <c r="FR77" s="4">
        <v>-0.61599999999999999</v>
      </c>
      <c r="FS77" s="4">
        <v>-2.8149999999999999</v>
      </c>
      <c r="FT77" s="4">
        <v>2.6560000000000001</v>
      </c>
      <c r="FU77" s="4">
        <v>1.806</v>
      </c>
      <c r="FV77" s="4">
        <v>-6.7560000000000002</v>
      </c>
      <c r="FW77" s="4">
        <v>2.871</v>
      </c>
      <c r="FX77" s="4">
        <v>2.37</v>
      </c>
      <c r="FY77" s="4">
        <v>2.1459999999999999</v>
      </c>
      <c r="FZ77" s="4">
        <v>2.56</v>
      </c>
      <c r="GA77" s="4">
        <v>0.46200000000000002</v>
      </c>
      <c r="GB77" s="4">
        <v>4.4859999999999998</v>
      </c>
      <c r="GC77" s="4">
        <v>2.8170000000000002</v>
      </c>
      <c r="GD77" s="4">
        <v>3.2829999999999999</v>
      </c>
      <c r="GE77" s="4">
        <v>2.351</v>
      </c>
      <c r="GF77" s="4">
        <v>3.4609999999999999</v>
      </c>
      <c r="GG77" s="4">
        <v>-2.605</v>
      </c>
      <c r="GH77" s="4">
        <v>-0.72099999999999997</v>
      </c>
      <c r="GI77" s="4">
        <v>3.508</v>
      </c>
      <c r="GJ77" s="4">
        <v>2.8730000000000002</v>
      </c>
      <c r="GK77" s="4">
        <v>3.0510000000000002</v>
      </c>
      <c r="GL77" s="4">
        <v>2.2200000000000002</v>
      </c>
      <c r="GM77" s="3"/>
      <c r="GN77" s="4">
        <v>-2.8180000000000001</v>
      </c>
      <c r="GO77" s="4">
        <v>1.5980000000000001</v>
      </c>
      <c r="GP77" s="4">
        <v>-0.57399999999999995</v>
      </c>
      <c r="GQ77" s="4">
        <v>-7.8639999999999999</v>
      </c>
      <c r="GR77" s="4">
        <v>-7.1909999999999998</v>
      </c>
      <c r="GS77" s="4">
        <v>2.698</v>
      </c>
      <c r="GT77" s="4">
        <v>-9.0690000000000008</v>
      </c>
      <c r="GU77" s="4">
        <v>3.403</v>
      </c>
      <c r="GV77" s="4">
        <v>-5.2380000000000004</v>
      </c>
      <c r="GW77" s="4">
        <v>-0.27700000000000002</v>
      </c>
      <c r="GX77" s="4">
        <v>-6.5170000000000003</v>
      </c>
      <c r="GY77" s="4">
        <v>-3.6309999999999998</v>
      </c>
      <c r="GZ77" s="4">
        <v>3.8380000000000001</v>
      </c>
      <c r="HA77" s="4">
        <v>2.423</v>
      </c>
      <c r="HB77" s="4">
        <v>1.4550000000000001</v>
      </c>
      <c r="HC77" s="4">
        <v>2.3210000000000002</v>
      </c>
      <c r="HD77" s="4">
        <v>-2.4500000000000002</v>
      </c>
      <c r="HE77" s="4">
        <v>1.141</v>
      </c>
      <c r="HF77" s="4">
        <v>-4.6749999999999998</v>
      </c>
      <c r="HG77" s="4">
        <v>3.117</v>
      </c>
      <c r="HH77" s="4">
        <v>0.82899999999999996</v>
      </c>
      <c r="HI77" s="4">
        <v>1.4770000000000001</v>
      </c>
      <c r="HJ77" s="4">
        <v>1.9850000000000001</v>
      </c>
      <c r="HK77" s="4">
        <v>4.798</v>
      </c>
      <c r="HL77" s="4">
        <v>4.1050000000000004</v>
      </c>
      <c r="HM77" s="4">
        <v>2.2789999999999999</v>
      </c>
      <c r="HN77" s="4">
        <v>-4.2709999999999999</v>
      </c>
      <c r="HO77" s="4">
        <v>1.091</v>
      </c>
      <c r="HP77" s="4">
        <v>2.0510000000000002</v>
      </c>
      <c r="HQ77" s="4">
        <v>4.4660000000000002</v>
      </c>
      <c r="HR77" s="4">
        <v>1.7749999999999999</v>
      </c>
      <c r="HS77" s="4">
        <v>0.88300000000000001</v>
      </c>
      <c r="HT77" s="4">
        <v>1.105</v>
      </c>
      <c r="HU77" s="4">
        <v>2.77</v>
      </c>
      <c r="HV77" s="4">
        <v>2.2069999999999999</v>
      </c>
      <c r="HW77" s="4">
        <v>-3.8290000000000002</v>
      </c>
      <c r="HX77" s="4">
        <v>2.395</v>
      </c>
      <c r="HY77" s="4">
        <v>2.5569999999999999</v>
      </c>
      <c r="HZ77" s="4">
        <v>4.2789999999999999</v>
      </c>
      <c r="IA77" s="4">
        <v>-8.282</v>
      </c>
      <c r="IB77" s="4">
        <v>4.2069999999999999</v>
      </c>
      <c r="IC77" s="4">
        <v>4.6680000000000001</v>
      </c>
      <c r="ID77" s="4">
        <v>3.383</v>
      </c>
      <c r="IE77" s="4">
        <v>2.5630000000000002</v>
      </c>
      <c r="IF77" s="4">
        <v>2.4729999999999999</v>
      </c>
      <c r="IG77" s="4">
        <v>0.90500000000000003</v>
      </c>
      <c r="IH77" s="4">
        <v>-3.5470000000000002</v>
      </c>
      <c r="II77" s="4">
        <v>-7.6159999999999997</v>
      </c>
      <c r="IJ77" s="4">
        <v>2.153</v>
      </c>
      <c r="IK77" s="4">
        <v>3.468</v>
      </c>
      <c r="IL77" s="4">
        <v>-5.27</v>
      </c>
      <c r="IM77" s="4">
        <v>2.5369999999999999</v>
      </c>
      <c r="IN77" s="4">
        <v>-0.94099999999999995</v>
      </c>
      <c r="IO77" s="4">
        <v>1.032</v>
      </c>
      <c r="IP77" s="4">
        <v>1.62</v>
      </c>
      <c r="IQ77" s="4">
        <v>4.3710000000000004</v>
      </c>
      <c r="IR77" s="4">
        <v>4.617</v>
      </c>
      <c r="IS77" s="4">
        <v>-3.6579999999999999</v>
      </c>
      <c r="IT77" s="4">
        <v>1.9419999999999999</v>
      </c>
      <c r="IU77" s="4">
        <v>-3.7</v>
      </c>
      <c r="IV77" s="4">
        <v>2.3849999999999998</v>
      </c>
      <c r="IW77" s="4">
        <v>-4.6980000000000004</v>
      </c>
      <c r="IX77" s="4">
        <v>3.1859999999999999</v>
      </c>
      <c r="IY77" s="4">
        <v>1.3839999999999999</v>
      </c>
      <c r="IZ77" s="4">
        <v>2.5270000000000001</v>
      </c>
      <c r="JA77" s="4">
        <v>1.833</v>
      </c>
      <c r="JB77" s="4">
        <v>1.3759999999999999</v>
      </c>
      <c r="JC77" s="4">
        <v>-1.736</v>
      </c>
      <c r="JD77" s="4">
        <v>2.6869999999999998</v>
      </c>
      <c r="JE77" s="4">
        <v>4.0880000000000001</v>
      </c>
      <c r="JF77" s="4">
        <v>4.1980000000000004</v>
      </c>
      <c r="JG77" s="4">
        <v>2.6190000000000002</v>
      </c>
      <c r="JH77" s="4">
        <v>3.4809999999999999</v>
      </c>
      <c r="JI77" s="4">
        <v>0.373</v>
      </c>
      <c r="JJ77" s="4">
        <v>2.0510000000000002</v>
      </c>
      <c r="JK77" s="4">
        <v>1.768</v>
      </c>
      <c r="JL77" s="4">
        <v>5.0209999999999999</v>
      </c>
      <c r="JM77" s="4">
        <v>2.8559999999999999</v>
      </c>
      <c r="JN77" s="4">
        <v>2.395</v>
      </c>
      <c r="JO77" s="4">
        <v>2.3519999999999999</v>
      </c>
      <c r="JP77" s="4">
        <v>3.1779999999999999</v>
      </c>
      <c r="JQ77" s="4">
        <v>2.9180000000000001</v>
      </c>
      <c r="JR77" s="4">
        <v>1.492</v>
      </c>
      <c r="JS77" s="4">
        <v>-3.129</v>
      </c>
      <c r="JT77" s="4">
        <v>2.2120000000000002</v>
      </c>
      <c r="JU77" s="4">
        <v>2.1720000000000002</v>
      </c>
      <c r="JV77" s="4">
        <v>1.8440000000000001</v>
      </c>
      <c r="JW77" s="4">
        <v>2.9249999999999998</v>
      </c>
      <c r="JX77" s="4">
        <v>1.673</v>
      </c>
      <c r="JY77" s="4">
        <v>2.8780000000000001</v>
      </c>
      <c r="JZ77" s="4">
        <v>1.855</v>
      </c>
      <c r="KA77" s="4">
        <v>2.9430000000000001</v>
      </c>
      <c r="KB77" s="4">
        <v>-4.3769999999999998</v>
      </c>
      <c r="KC77" s="4">
        <v>-0.46899999999999997</v>
      </c>
      <c r="KD77" s="4">
        <v>2.6419999999999999</v>
      </c>
      <c r="KE77" s="4">
        <v>4.1139999999999999</v>
      </c>
      <c r="KF77" s="4">
        <v>2.306</v>
      </c>
      <c r="KG77" s="4">
        <v>2.4009999999999998</v>
      </c>
      <c r="KH77" s="4">
        <v>2.2749999999999999</v>
      </c>
      <c r="KI77" s="4">
        <v>2.1030000000000002</v>
      </c>
      <c r="KJ77" s="4">
        <v>3.3050000000000002</v>
      </c>
      <c r="KK77" s="4">
        <v>2.2170000000000001</v>
      </c>
      <c r="KL77" s="4">
        <v>1.637</v>
      </c>
      <c r="KM77" s="4">
        <v>-7.8380000000000001</v>
      </c>
      <c r="KN77" s="4">
        <v>2.3410000000000002</v>
      </c>
      <c r="KO77" s="4">
        <v>-6.1059999999999999</v>
      </c>
      <c r="KP77" s="4">
        <v>2.4390000000000001</v>
      </c>
      <c r="KQ77" s="4">
        <v>3.3149999999999999</v>
      </c>
      <c r="KR77" s="4">
        <v>1.82</v>
      </c>
      <c r="KS77" s="4">
        <v>4.7610000000000001</v>
      </c>
    </row>
    <row r="78" spans="1:305" x14ac:dyDescent="0.25">
      <c r="A78" s="4">
        <v>2020</v>
      </c>
      <c r="B78" s="4">
        <v>3</v>
      </c>
      <c r="C78" s="4">
        <v>-4.968</v>
      </c>
      <c r="D78" s="4">
        <v>3.081</v>
      </c>
      <c r="E78" s="4">
        <v>3.4889999999999999</v>
      </c>
      <c r="F78" s="4">
        <v>2.927</v>
      </c>
      <c r="G78" s="4">
        <v>2.3170000000000002</v>
      </c>
      <c r="H78" s="4">
        <v>-0.12</v>
      </c>
      <c r="I78" s="4">
        <v>2.544</v>
      </c>
      <c r="J78" s="4">
        <v>-2.4849999999999999</v>
      </c>
      <c r="K78" s="4">
        <v>2.7970000000000002</v>
      </c>
      <c r="L78" s="4">
        <v>4.0350000000000001</v>
      </c>
      <c r="M78" s="4">
        <v>-0.70499999999999996</v>
      </c>
      <c r="N78" s="4">
        <v>2.9430000000000001</v>
      </c>
      <c r="O78" s="4">
        <v>-2.0680000000000001</v>
      </c>
      <c r="P78" s="4">
        <v>1.915</v>
      </c>
      <c r="Q78" s="4">
        <v>-4.7119999999999997</v>
      </c>
      <c r="R78" s="4">
        <v>-4.101</v>
      </c>
      <c r="S78" s="4">
        <v>2.21</v>
      </c>
      <c r="T78" s="4">
        <v>2.19</v>
      </c>
      <c r="U78" s="4">
        <v>2.4350000000000001</v>
      </c>
      <c r="V78" s="4">
        <v>2.8660000000000001</v>
      </c>
      <c r="W78" s="4">
        <v>1.96</v>
      </c>
      <c r="X78" s="4">
        <v>3.952</v>
      </c>
      <c r="Y78" s="4">
        <v>2.383</v>
      </c>
      <c r="Z78" s="4">
        <v>-1.93</v>
      </c>
      <c r="AA78" s="4">
        <v>4.0830000000000002</v>
      </c>
      <c r="AB78" s="4">
        <v>-2.2690000000000001</v>
      </c>
      <c r="AC78" s="4">
        <v>2.5150000000000001</v>
      </c>
      <c r="AD78" s="4">
        <v>1.3879999999999999</v>
      </c>
      <c r="AE78" s="4">
        <v>1.954</v>
      </c>
      <c r="AF78" s="4">
        <v>3.8839999999999999</v>
      </c>
      <c r="AG78" s="4">
        <v>1.468</v>
      </c>
      <c r="AH78" s="4">
        <v>2.734</v>
      </c>
      <c r="AI78" s="4">
        <v>-1.595</v>
      </c>
      <c r="AJ78" s="4">
        <v>3.3580000000000001</v>
      </c>
      <c r="AK78" s="4">
        <v>4.0449999999999999</v>
      </c>
      <c r="AL78" s="4">
        <v>4.6870000000000003</v>
      </c>
      <c r="AM78" s="4">
        <v>1.948</v>
      </c>
      <c r="AN78" s="4">
        <v>3.1549999999999998</v>
      </c>
      <c r="AO78" s="4">
        <v>2.0680000000000001</v>
      </c>
      <c r="AP78" s="4">
        <v>0.73299999999999998</v>
      </c>
      <c r="AQ78" s="4">
        <v>-2.8260000000000001</v>
      </c>
      <c r="AR78" s="4">
        <v>0.74299999999999999</v>
      </c>
      <c r="AS78" s="4">
        <v>2.323</v>
      </c>
      <c r="AT78" s="4">
        <v>1.897</v>
      </c>
      <c r="AU78" s="4">
        <v>2.6240000000000001</v>
      </c>
      <c r="AV78" s="4">
        <v>2.766</v>
      </c>
      <c r="AW78" s="4">
        <v>2.8180000000000001</v>
      </c>
      <c r="AX78" s="4">
        <v>4.1390000000000002</v>
      </c>
      <c r="AY78" s="4">
        <v>2.859</v>
      </c>
      <c r="AZ78" s="4">
        <v>1.9630000000000001</v>
      </c>
      <c r="BA78" s="4">
        <v>3.8809999999999998</v>
      </c>
      <c r="BB78" s="4">
        <v>2.2599999999999998</v>
      </c>
      <c r="BC78" s="4">
        <v>5.0030000000000001</v>
      </c>
      <c r="BD78" s="4">
        <v>1.5009999999999999</v>
      </c>
      <c r="BE78" s="4">
        <v>2.5819999999999999</v>
      </c>
      <c r="BF78" s="4">
        <v>1.635</v>
      </c>
      <c r="BG78" s="4">
        <v>2.1560000000000001</v>
      </c>
      <c r="BH78" s="4">
        <v>2.7919999999999998</v>
      </c>
      <c r="BI78" s="4">
        <v>2.7130000000000001</v>
      </c>
      <c r="BJ78" s="4">
        <v>-2.4300000000000002</v>
      </c>
      <c r="BK78" s="4">
        <v>2.468</v>
      </c>
      <c r="BL78" s="4">
        <v>-2.7490000000000001</v>
      </c>
      <c r="BM78" s="4">
        <v>-3.589</v>
      </c>
      <c r="BN78" s="4">
        <v>0.94</v>
      </c>
      <c r="BO78" s="4">
        <v>-5.1449999999999996</v>
      </c>
      <c r="BP78" s="4">
        <v>2.4359999999999999</v>
      </c>
      <c r="BQ78" s="4">
        <v>2.2269999999999999</v>
      </c>
      <c r="BR78" s="4">
        <v>2.6280000000000001</v>
      </c>
      <c r="BS78" s="4">
        <v>4.04</v>
      </c>
      <c r="BT78" s="4">
        <v>3.024</v>
      </c>
      <c r="BU78" s="4">
        <v>3.0539999999999998</v>
      </c>
      <c r="BV78" s="4">
        <v>2.8119999999999998</v>
      </c>
      <c r="BW78" s="4">
        <v>1.5609999999999999</v>
      </c>
      <c r="BX78" s="4">
        <v>1.512</v>
      </c>
      <c r="BY78" s="4">
        <v>2.64</v>
      </c>
      <c r="BZ78" s="4">
        <v>2.5110000000000001</v>
      </c>
      <c r="CA78" s="4">
        <v>3.9510000000000001</v>
      </c>
      <c r="CB78" s="4">
        <v>2.8439999999999999</v>
      </c>
      <c r="CC78" s="4">
        <v>-1.2749999999999999</v>
      </c>
      <c r="CD78" s="4">
        <v>2.6190000000000002</v>
      </c>
      <c r="CE78" s="4">
        <v>-2.9910000000000001</v>
      </c>
      <c r="CF78" s="4">
        <v>0.47499999999999998</v>
      </c>
      <c r="CG78" s="4">
        <v>3.4510000000000001</v>
      </c>
      <c r="CH78" s="4">
        <v>3.2639999999999998</v>
      </c>
      <c r="CI78" s="4">
        <v>1.8149999999999999</v>
      </c>
      <c r="CJ78" s="4">
        <v>-2.665</v>
      </c>
      <c r="CK78" s="4">
        <v>4.3719999999999999</v>
      </c>
      <c r="CL78" s="4">
        <v>-4.2839999999999998</v>
      </c>
      <c r="CM78" s="4">
        <v>3.3490000000000002</v>
      </c>
      <c r="CN78" s="4">
        <v>2.613</v>
      </c>
      <c r="CO78" s="4">
        <v>3.16</v>
      </c>
      <c r="CP78" s="4">
        <v>1.454</v>
      </c>
      <c r="CQ78" s="4">
        <v>4.4889999999999999</v>
      </c>
      <c r="CR78" s="4">
        <v>3.109</v>
      </c>
      <c r="CS78" s="4">
        <v>3.581</v>
      </c>
      <c r="CT78" s="4">
        <v>3.5790000000000002</v>
      </c>
      <c r="CU78" s="4">
        <v>2.7490000000000001</v>
      </c>
      <c r="CV78" s="4">
        <v>2.8220000000000001</v>
      </c>
      <c r="CW78" s="4">
        <v>1.472</v>
      </c>
      <c r="CX78" s="4">
        <v>2.6890000000000001</v>
      </c>
      <c r="CY78" s="4">
        <v>2.6</v>
      </c>
      <c r="CZ78" s="4">
        <v>3.141</v>
      </c>
      <c r="DA78" s="4">
        <v>-4.3609999999999998</v>
      </c>
      <c r="DB78" s="4">
        <v>2.4350000000000001</v>
      </c>
      <c r="DC78" s="4">
        <v>-1.9930000000000001</v>
      </c>
      <c r="DD78" s="4">
        <v>-2.8079999999999998</v>
      </c>
      <c r="DE78" s="4">
        <v>3.6230000000000002</v>
      </c>
      <c r="DF78" s="4">
        <v>-6.508</v>
      </c>
      <c r="DG78" s="4">
        <v>3.1739999999999999</v>
      </c>
      <c r="DH78" s="4">
        <v>3.5550000000000002</v>
      </c>
      <c r="DI78" s="4">
        <v>1.8420000000000001</v>
      </c>
      <c r="DJ78" s="4">
        <v>3.988</v>
      </c>
      <c r="DK78" s="4">
        <v>2.73</v>
      </c>
      <c r="DL78" s="4">
        <v>2.8260000000000001</v>
      </c>
      <c r="DM78" s="4">
        <v>4.4729999999999999</v>
      </c>
      <c r="DN78" s="4">
        <v>2.5270000000000001</v>
      </c>
      <c r="DO78" s="4">
        <v>2.7149999999999999</v>
      </c>
      <c r="DP78" s="4">
        <v>-5.5759999999999996</v>
      </c>
      <c r="DQ78" s="4">
        <v>2.4409999999999998</v>
      </c>
      <c r="DR78" s="4">
        <v>3.714</v>
      </c>
      <c r="DS78" s="4">
        <v>2.5750000000000002</v>
      </c>
      <c r="DT78" s="4">
        <v>2.79</v>
      </c>
      <c r="DU78" s="4">
        <v>1.2250000000000001</v>
      </c>
      <c r="DV78" s="4">
        <v>-0.498</v>
      </c>
      <c r="DW78" s="4">
        <v>3.9790000000000001</v>
      </c>
      <c r="DX78" s="4">
        <v>2.27</v>
      </c>
      <c r="DY78" s="4">
        <v>2.7330000000000001</v>
      </c>
      <c r="DZ78" s="4">
        <v>3.6829999999999998</v>
      </c>
      <c r="EA78" s="4">
        <v>3.726</v>
      </c>
      <c r="EB78" s="4">
        <v>2.988</v>
      </c>
      <c r="EC78" s="4">
        <v>-4.6870000000000003</v>
      </c>
      <c r="ED78" s="4">
        <v>3.8069999999999999</v>
      </c>
      <c r="EE78" s="4">
        <v>4.5389999999999997</v>
      </c>
      <c r="EF78" s="4">
        <v>2.5089999999999999</v>
      </c>
      <c r="EG78" s="4">
        <v>2.5880000000000001</v>
      </c>
      <c r="EH78" s="4">
        <v>0.95899999999999996</v>
      </c>
      <c r="EI78" s="4">
        <v>3.11</v>
      </c>
      <c r="EJ78" s="4">
        <v>2.4740000000000002</v>
      </c>
      <c r="EK78" s="4">
        <v>3.117</v>
      </c>
      <c r="EL78" s="4">
        <v>3.27</v>
      </c>
      <c r="EM78" s="4">
        <v>3.085</v>
      </c>
      <c r="EN78" s="4">
        <v>1.913</v>
      </c>
      <c r="EO78" s="4">
        <v>3.2989999999999999</v>
      </c>
      <c r="EP78" s="4">
        <v>2.577</v>
      </c>
      <c r="EQ78" s="4">
        <v>0.46</v>
      </c>
      <c r="ER78" s="4">
        <v>4.7</v>
      </c>
      <c r="ES78" s="4">
        <v>1.5009999999999999</v>
      </c>
      <c r="ET78" s="4">
        <v>-1.917</v>
      </c>
      <c r="EU78" s="4">
        <v>4.4870000000000001</v>
      </c>
      <c r="EV78" s="4">
        <v>-2.5990000000000002</v>
      </c>
      <c r="EW78" s="4">
        <v>3.762</v>
      </c>
      <c r="EX78" s="4">
        <v>-3.593</v>
      </c>
      <c r="EY78" s="4">
        <v>2.613</v>
      </c>
      <c r="EZ78" s="4">
        <v>4.7380000000000004</v>
      </c>
      <c r="FA78" s="4">
        <v>0.25800000000000001</v>
      </c>
      <c r="FB78" s="4">
        <v>3.2389999999999999</v>
      </c>
      <c r="FC78" s="4">
        <v>2.9430000000000001</v>
      </c>
      <c r="FD78" s="4">
        <v>2.536</v>
      </c>
      <c r="FE78" s="4">
        <v>3.13</v>
      </c>
      <c r="FF78" s="4">
        <v>3.0680000000000001</v>
      </c>
      <c r="FG78" s="4">
        <v>3.74</v>
      </c>
      <c r="FH78" s="4">
        <v>3.6669999999999998</v>
      </c>
      <c r="FI78" s="4">
        <v>1.1299999999999999</v>
      </c>
      <c r="FJ78" s="4">
        <v>3.665</v>
      </c>
      <c r="FK78" s="4">
        <v>2.8969999999999998</v>
      </c>
      <c r="FL78" s="4">
        <v>2.9580000000000002</v>
      </c>
      <c r="FM78" s="4">
        <v>1.792</v>
      </c>
      <c r="FN78" s="4">
        <v>3.0950000000000002</v>
      </c>
      <c r="FO78" s="4">
        <v>1.61</v>
      </c>
      <c r="FP78" s="4">
        <v>1.8720000000000001</v>
      </c>
      <c r="FQ78" s="4">
        <v>1.952</v>
      </c>
      <c r="FR78" s="4">
        <v>0.69799999999999995</v>
      </c>
      <c r="FS78" s="4">
        <v>-0.97699999999999998</v>
      </c>
      <c r="FT78" s="4">
        <v>3.173</v>
      </c>
      <c r="FU78" s="4">
        <v>2.641</v>
      </c>
      <c r="FV78" s="4">
        <v>-3.1960000000000002</v>
      </c>
      <c r="FW78" s="4">
        <v>3.004</v>
      </c>
      <c r="FX78" s="4">
        <v>2.88</v>
      </c>
      <c r="FY78" s="4">
        <v>2.7280000000000002</v>
      </c>
      <c r="FZ78" s="4">
        <v>2.9529999999999998</v>
      </c>
      <c r="GA78" s="4">
        <v>1.552</v>
      </c>
      <c r="GB78" s="4">
        <v>4.4550000000000001</v>
      </c>
      <c r="GC78" s="4">
        <v>3.1419999999999999</v>
      </c>
      <c r="GD78" s="4">
        <v>3.09</v>
      </c>
      <c r="GE78" s="4">
        <v>2.778</v>
      </c>
      <c r="GF78" s="4">
        <v>3.2669999999999999</v>
      </c>
      <c r="GG78" s="4">
        <v>-0.91</v>
      </c>
      <c r="GH78" s="4">
        <v>0.69199999999999995</v>
      </c>
      <c r="GI78" s="4">
        <v>3.4940000000000002</v>
      </c>
      <c r="GJ78" s="4">
        <v>2.847</v>
      </c>
      <c r="GK78" s="4">
        <v>3.258</v>
      </c>
      <c r="GL78" s="4">
        <v>2.8980000000000001</v>
      </c>
      <c r="GM78" s="3"/>
      <c r="GN78" s="4">
        <v>-1.6379999999999999</v>
      </c>
      <c r="GO78" s="4">
        <v>2.3159999999999998</v>
      </c>
      <c r="GP78" s="4">
        <v>1.0549999999999999</v>
      </c>
      <c r="GQ78" s="4">
        <v>-3.4580000000000002</v>
      </c>
      <c r="GR78" s="4">
        <v>-3.4350000000000001</v>
      </c>
      <c r="GS78" s="4">
        <v>3.125</v>
      </c>
      <c r="GT78" s="4">
        <v>-4.3380000000000001</v>
      </c>
      <c r="GU78" s="4">
        <v>3.5129999999999999</v>
      </c>
      <c r="GV78" s="4">
        <v>-1.4470000000000001</v>
      </c>
      <c r="GW78" s="4">
        <v>0.84399999999999997</v>
      </c>
      <c r="GX78" s="4">
        <v>-5.27</v>
      </c>
      <c r="GY78" s="4">
        <v>-0.91900000000000004</v>
      </c>
      <c r="GZ78" s="4">
        <v>3.6960000000000002</v>
      </c>
      <c r="HA78" s="4">
        <v>2.6930000000000001</v>
      </c>
      <c r="HB78" s="4">
        <v>2.024</v>
      </c>
      <c r="HC78" s="4">
        <v>2.9260000000000002</v>
      </c>
      <c r="HD78" s="4">
        <v>-1.2290000000000001</v>
      </c>
      <c r="HE78" s="4">
        <v>2.1280000000000001</v>
      </c>
      <c r="HF78" s="4">
        <v>-2.351</v>
      </c>
      <c r="HG78" s="4">
        <v>3.2120000000000002</v>
      </c>
      <c r="HH78" s="4">
        <v>1.6839999999999999</v>
      </c>
      <c r="HI78" s="4">
        <v>1.9139999999999999</v>
      </c>
      <c r="HJ78" s="4">
        <v>2.69</v>
      </c>
      <c r="HK78" s="4">
        <v>4.6559999999999997</v>
      </c>
      <c r="HL78" s="4">
        <v>3.895</v>
      </c>
      <c r="HM78" s="4">
        <v>2.8420000000000001</v>
      </c>
      <c r="HN78" s="4">
        <v>-0.89500000000000002</v>
      </c>
      <c r="HO78" s="4">
        <v>1.76</v>
      </c>
      <c r="HP78" s="4">
        <v>2.536</v>
      </c>
      <c r="HQ78" s="4">
        <v>4.26</v>
      </c>
      <c r="HR78" s="4">
        <v>2.5510000000000002</v>
      </c>
      <c r="HS78" s="4">
        <v>1.712</v>
      </c>
      <c r="HT78" s="4">
        <v>1.9930000000000001</v>
      </c>
      <c r="HU78" s="4">
        <v>3.2309999999999999</v>
      </c>
      <c r="HV78" s="4">
        <v>2.8039999999999998</v>
      </c>
      <c r="HW78" s="4">
        <v>-1.246</v>
      </c>
      <c r="HX78" s="4">
        <v>3.0710000000000002</v>
      </c>
      <c r="HY78" s="4">
        <v>3.206</v>
      </c>
      <c r="HZ78" s="4">
        <v>4.1589999999999998</v>
      </c>
      <c r="IA78" s="4">
        <v>-3.7949999999999999</v>
      </c>
      <c r="IB78" s="4">
        <v>4.0110000000000001</v>
      </c>
      <c r="IC78" s="4">
        <v>4.4340000000000002</v>
      </c>
      <c r="ID78" s="4">
        <v>3.4049999999999998</v>
      </c>
      <c r="IE78" s="4">
        <v>3.2109999999999999</v>
      </c>
      <c r="IF78" s="4">
        <v>3.1030000000000002</v>
      </c>
      <c r="IG78" s="4">
        <v>1.744</v>
      </c>
      <c r="IH78" s="4">
        <v>-2.8069999999999999</v>
      </c>
      <c r="II78" s="4">
        <v>-3.6389999999999998</v>
      </c>
      <c r="IJ78" s="4">
        <v>2.8149999999999999</v>
      </c>
      <c r="IK78" s="4">
        <v>3.56</v>
      </c>
      <c r="IL78" s="4">
        <v>-2.3279999999999998</v>
      </c>
      <c r="IM78" s="4">
        <v>3.1949999999999998</v>
      </c>
      <c r="IN78" s="4">
        <v>0.52300000000000002</v>
      </c>
      <c r="IO78" s="4">
        <v>2.093</v>
      </c>
      <c r="IP78" s="4">
        <v>2.246</v>
      </c>
      <c r="IQ78" s="4">
        <v>4.1219999999999999</v>
      </c>
      <c r="IR78" s="4">
        <v>4.3319999999999999</v>
      </c>
      <c r="IS78" s="4">
        <v>-1.2529999999999999</v>
      </c>
      <c r="IT78" s="4">
        <v>2.0190000000000001</v>
      </c>
      <c r="IU78" s="4">
        <v>-1.6990000000000001</v>
      </c>
      <c r="IV78" s="4">
        <v>3.06</v>
      </c>
      <c r="IW78" s="4">
        <v>-3.51</v>
      </c>
      <c r="IX78" s="4">
        <v>3.262</v>
      </c>
      <c r="IY78" s="4">
        <v>2.1339999999999999</v>
      </c>
      <c r="IZ78" s="4">
        <v>2.895</v>
      </c>
      <c r="JA78" s="4">
        <v>2.4079999999999999</v>
      </c>
      <c r="JB78" s="4">
        <v>2.2490000000000001</v>
      </c>
      <c r="JC78" s="4">
        <v>-2.8000000000000001E-2</v>
      </c>
      <c r="JD78" s="4">
        <v>2.6640000000000001</v>
      </c>
      <c r="JE78" s="4">
        <v>3.98</v>
      </c>
      <c r="JF78" s="4">
        <v>4.0010000000000003</v>
      </c>
      <c r="JG78" s="4">
        <v>3.0059999999999998</v>
      </c>
      <c r="JH78" s="4">
        <v>3.3580000000000001</v>
      </c>
      <c r="JI78" s="4">
        <v>1.8720000000000001</v>
      </c>
      <c r="JJ78" s="4">
        <v>2.5270000000000001</v>
      </c>
      <c r="JK78" s="4">
        <v>1.899</v>
      </c>
      <c r="JL78" s="4">
        <v>4.7569999999999997</v>
      </c>
      <c r="JM78" s="4">
        <v>3.012</v>
      </c>
      <c r="JN78" s="4">
        <v>2.8210000000000002</v>
      </c>
      <c r="JO78" s="4">
        <v>2.8969999999999998</v>
      </c>
      <c r="JP78" s="4">
        <v>3.2109999999999999</v>
      </c>
      <c r="JQ78" s="4">
        <v>2.8029999999999999</v>
      </c>
      <c r="JR78" s="4">
        <v>1.7969999999999999</v>
      </c>
      <c r="JS78" s="4">
        <v>-0.86799999999999999</v>
      </c>
      <c r="JT78" s="4">
        <v>2.863</v>
      </c>
      <c r="JU78" s="4">
        <v>2.867</v>
      </c>
      <c r="JV78" s="4">
        <v>2.5790000000000002</v>
      </c>
      <c r="JW78" s="4">
        <v>3.1779999999999999</v>
      </c>
      <c r="JX78" s="4">
        <v>1.94</v>
      </c>
      <c r="JY78" s="4">
        <v>3.2650000000000001</v>
      </c>
      <c r="JZ78" s="4">
        <v>2.6230000000000002</v>
      </c>
      <c r="KA78" s="4">
        <v>3.0409999999999999</v>
      </c>
      <c r="KB78" s="4">
        <v>-1.51</v>
      </c>
      <c r="KC78" s="4">
        <v>0.745</v>
      </c>
      <c r="KD78" s="4">
        <v>3.0259999999999998</v>
      </c>
      <c r="KE78" s="4">
        <v>3.887</v>
      </c>
      <c r="KF78" s="4">
        <v>2.6150000000000002</v>
      </c>
      <c r="KG78" s="4">
        <v>2.9489999999999998</v>
      </c>
      <c r="KH78" s="4">
        <v>2.4630000000000001</v>
      </c>
      <c r="KI78" s="4">
        <v>2.7509999999999999</v>
      </c>
      <c r="KJ78" s="4">
        <v>3.726</v>
      </c>
      <c r="KK78" s="4">
        <v>2.5499999999999998</v>
      </c>
      <c r="KL78" s="4">
        <v>2.121</v>
      </c>
      <c r="KM78" s="4">
        <v>-3.331</v>
      </c>
      <c r="KN78" s="4">
        <v>2.581</v>
      </c>
      <c r="KO78" s="4">
        <v>-2.1520000000000001</v>
      </c>
      <c r="KP78" s="4">
        <v>2.81</v>
      </c>
      <c r="KQ78" s="4">
        <v>3.3639999999999999</v>
      </c>
      <c r="KR78" s="4">
        <v>2.1960000000000002</v>
      </c>
      <c r="KS78" s="4">
        <v>4.5830000000000002</v>
      </c>
    </row>
    <row r="79" spans="1:305" x14ac:dyDescent="0.25">
      <c r="A79" s="4">
        <v>2020</v>
      </c>
      <c r="B79" s="4">
        <v>4</v>
      </c>
      <c r="C79" s="4">
        <v>-2.8439999999999999</v>
      </c>
      <c r="D79" s="4">
        <v>6.6539999999999999</v>
      </c>
      <c r="E79" s="4">
        <v>7.101</v>
      </c>
      <c r="F79" s="4">
        <v>6.5679999999999996</v>
      </c>
      <c r="G79" s="4">
        <v>6.4320000000000004</v>
      </c>
      <c r="H79" s="4">
        <v>3.5369999999999999</v>
      </c>
      <c r="I79" s="4">
        <v>6.7329999999999997</v>
      </c>
      <c r="J79" s="4">
        <v>1.19</v>
      </c>
      <c r="K79" s="4">
        <v>6.4320000000000004</v>
      </c>
      <c r="L79" s="4">
        <v>7.6130000000000004</v>
      </c>
      <c r="M79" s="4">
        <v>3.09</v>
      </c>
      <c r="N79" s="4">
        <v>6.6870000000000003</v>
      </c>
      <c r="O79" s="4">
        <v>0.90100000000000002</v>
      </c>
      <c r="P79" s="4">
        <v>5.6479999999999997</v>
      </c>
      <c r="Q79" s="4">
        <v>-0.876</v>
      </c>
      <c r="R79" s="4">
        <v>-0.64500000000000002</v>
      </c>
      <c r="S79" s="4">
        <v>5.6029999999999998</v>
      </c>
      <c r="T79" s="4">
        <v>6.4279999999999999</v>
      </c>
      <c r="U79" s="4">
        <v>6.407</v>
      </c>
      <c r="V79" s="4">
        <v>6.7629999999999999</v>
      </c>
      <c r="W79" s="4">
        <v>5.6680000000000001</v>
      </c>
      <c r="X79" s="4">
        <v>7.3609999999999998</v>
      </c>
      <c r="Y79" s="4">
        <v>6.2939999999999996</v>
      </c>
      <c r="Z79" s="4">
        <v>2.069</v>
      </c>
      <c r="AA79" s="4">
        <v>7.8109999999999999</v>
      </c>
      <c r="AB79" s="4">
        <v>1.355</v>
      </c>
      <c r="AC79" s="4">
        <v>6.3929999999999998</v>
      </c>
      <c r="AD79" s="4">
        <v>4.9930000000000003</v>
      </c>
      <c r="AE79" s="4">
        <v>6.0670000000000002</v>
      </c>
      <c r="AF79" s="4">
        <v>7.5529999999999999</v>
      </c>
      <c r="AG79" s="4">
        <v>5.2160000000000002</v>
      </c>
      <c r="AH79" s="4">
        <v>6.22</v>
      </c>
      <c r="AI79" s="4">
        <v>2.1739999999999999</v>
      </c>
      <c r="AJ79" s="4">
        <v>7.2770000000000001</v>
      </c>
      <c r="AK79" s="4">
        <v>7.7039999999999997</v>
      </c>
      <c r="AL79" s="4">
        <v>8.4749999999999996</v>
      </c>
      <c r="AM79" s="4">
        <v>5.32</v>
      </c>
      <c r="AN79" s="4">
        <v>6.53</v>
      </c>
      <c r="AO79" s="4">
        <v>5.8460000000000001</v>
      </c>
      <c r="AP79" s="4">
        <v>4.524</v>
      </c>
      <c r="AQ79" s="4">
        <v>1.516</v>
      </c>
      <c r="AR79" s="4">
        <v>4.3920000000000003</v>
      </c>
      <c r="AS79" s="4">
        <v>6.0490000000000004</v>
      </c>
      <c r="AT79" s="4">
        <v>6.3319999999999999</v>
      </c>
      <c r="AU79" s="4">
        <v>6.5540000000000003</v>
      </c>
      <c r="AV79" s="4">
        <v>6.39</v>
      </c>
      <c r="AW79" s="4">
        <v>6.6760000000000002</v>
      </c>
      <c r="AX79" s="4">
        <v>7.859</v>
      </c>
      <c r="AY79" s="4">
        <v>6.6120000000000001</v>
      </c>
      <c r="AZ79" s="4">
        <v>5.6829999999999998</v>
      </c>
      <c r="BA79" s="4">
        <v>7.2160000000000002</v>
      </c>
      <c r="BB79" s="4">
        <v>6.1520000000000001</v>
      </c>
      <c r="BC79" s="4">
        <v>8.0419999999999998</v>
      </c>
      <c r="BD79" s="4">
        <v>5.3150000000000004</v>
      </c>
      <c r="BE79" s="4">
        <v>6.4130000000000003</v>
      </c>
      <c r="BF79" s="4">
        <v>5.1020000000000003</v>
      </c>
      <c r="BG79" s="4">
        <v>5.4269999999999996</v>
      </c>
      <c r="BH79" s="4">
        <v>6.6509999999999998</v>
      </c>
      <c r="BI79" s="4">
        <v>6.4050000000000002</v>
      </c>
      <c r="BJ79" s="4">
        <v>1.456</v>
      </c>
      <c r="BK79" s="4">
        <v>6.242</v>
      </c>
      <c r="BL79" s="4">
        <v>1.391</v>
      </c>
      <c r="BM79" s="4">
        <v>0.747</v>
      </c>
      <c r="BN79" s="4">
        <v>4.6059999999999999</v>
      </c>
      <c r="BO79" s="4">
        <v>-1.6990000000000001</v>
      </c>
      <c r="BP79" s="4">
        <v>5.7030000000000003</v>
      </c>
      <c r="BQ79" s="4">
        <v>6.4880000000000004</v>
      </c>
      <c r="BR79" s="4">
        <v>6.16</v>
      </c>
      <c r="BS79" s="4">
        <v>7.4720000000000004</v>
      </c>
      <c r="BT79" s="4">
        <v>6.8390000000000004</v>
      </c>
      <c r="BU79" s="4">
        <v>6.83</v>
      </c>
      <c r="BV79" s="4">
        <v>6.4669999999999996</v>
      </c>
      <c r="BW79" s="4">
        <v>4.9139999999999997</v>
      </c>
      <c r="BX79" s="4">
        <v>5.0129999999999999</v>
      </c>
      <c r="BY79" s="4">
        <v>6.5579999999999998</v>
      </c>
      <c r="BZ79" s="4">
        <v>6.2430000000000003</v>
      </c>
      <c r="CA79" s="4">
        <v>7.4050000000000002</v>
      </c>
      <c r="CB79" s="4">
        <v>5.8609999999999998</v>
      </c>
      <c r="CC79" s="4">
        <v>2.76</v>
      </c>
      <c r="CD79" s="4">
        <v>5.8689999999999998</v>
      </c>
      <c r="CE79" s="4">
        <v>0.254</v>
      </c>
      <c r="CF79" s="4">
        <v>4.22</v>
      </c>
      <c r="CG79" s="4">
        <v>7.1310000000000002</v>
      </c>
      <c r="CH79" s="4">
        <v>7.0510000000000002</v>
      </c>
      <c r="CI79" s="4">
        <v>5.4630000000000001</v>
      </c>
      <c r="CJ79" s="4">
        <v>1.298</v>
      </c>
      <c r="CK79" s="4">
        <v>8.0169999999999995</v>
      </c>
      <c r="CL79" s="4">
        <v>-1.3919999999999999</v>
      </c>
      <c r="CM79" s="4">
        <v>6.5170000000000003</v>
      </c>
      <c r="CN79" s="4">
        <v>6.4089999999999998</v>
      </c>
      <c r="CO79" s="4">
        <v>6.5860000000000003</v>
      </c>
      <c r="CP79" s="4">
        <v>5.1239999999999997</v>
      </c>
      <c r="CQ79" s="4">
        <v>7.806</v>
      </c>
      <c r="CR79" s="4">
        <v>7.3929999999999998</v>
      </c>
      <c r="CS79" s="4">
        <v>7.3239999999999998</v>
      </c>
      <c r="CT79" s="4">
        <v>7.3890000000000002</v>
      </c>
      <c r="CU79" s="4">
        <v>6.4020000000000001</v>
      </c>
      <c r="CV79" s="4">
        <v>6.2889999999999997</v>
      </c>
      <c r="CW79" s="4">
        <v>5.0579999999999998</v>
      </c>
      <c r="CX79" s="4">
        <v>6.8559999999999999</v>
      </c>
      <c r="CY79" s="4">
        <v>6.577</v>
      </c>
      <c r="CZ79" s="4">
        <v>6.6959999999999997</v>
      </c>
      <c r="DA79" s="4">
        <v>-0.59799999999999998</v>
      </c>
      <c r="DB79" s="4">
        <v>6.6</v>
      </c>
      <c r="DC79" s="4">
        <v>2.2690000000000001</v>
      </c>
      <c r="DD79" s="4">
        <v>0.66900000000000004</v>
      </c>
      <c r="DE79" s="4">
        <v>7.4329999999999998</v>
      </c>
      <c r="DF79" s="4">
        <v>-3.0710000000000002</v>
      </c>
      <c r="DG79" s="4">
        <v>6.7859999999999996</v>
      </c>
      <c r="DH79" s="4">
        <v>7.125</v>
      </c>
      <c r="DI79" s="4">
        <v>5.5369999999999999</v>
      </c>
      <c r="DJ79" s="4">
        <v>7.52</v>
      </c>
      <c r="DK79" s="4">
        <v>6.1449999999999996</v>
      </c>
      <c r="DL79" s="4">
        <v>6.5190000000000001</v>
      </c>
      <c r="DM79" s="4">
        <v>8.1859999999999999</v>
      </c>
      <c r="DN79" s="4">
        <v>6.2439999999999998</v>
      </c>
      <c r="DO79" s="4">
        <v>6.7149999999999999</v>
      </c>
      <c r="DP79" s="4">
        <v>-2.456</v>
      </c>
      <c r="DQ79" s="4">
        <v>6.4130000000000003</v>
      </c>
      <c r="DR79" s="4">
        <v>7.3330000000000002</v>
      </c>
      <c r="DS79" s="4">
        <v>6.0039999999999996</v>
      </c>
      <c r="DT79" s="4">
        <v>6.5350000000000001</v>
      </c>
      <c r="DU79" s="4">
        <v>4.6870000000000003</v>
      </c>
      <c r="DV79" s="4">
        <v>3.6110000000000002</v>
      </c>
      <c r="DW79" s="4">
        <v>7.8929999999999998</v>
      </c>
      <c r="DX79" s="4">
        <v>5.6820000000000004</v>
      </c>
      <c r="DY79" s="4">
        <v>6.6769999999999996</v>
      </c>
      <c r="DZ79" s="4">
        <v>7.2629999999999999</v>
      </c>
      <c r="EA79" s="4">
        <v>7.2930000000000001</v>
      </c>
      <c r="EB79" s="4">
        <v>6.7430000000000003</v>
      </c>
      <c r="EC79" s="4">
        <v>-0.77300000000000002</v>
      </c>
      <c r="ED79" s="4">
        <v>7.25</v>
      </c>
      <c r="EE79" s="4">
        <v>8.077</v>
      </c>
      <c r="EF79" s="4">
        <v>6.3949999999999996</v>
      </c>
      <c r="EG79" s="4">
        <v>6.4450000000000003</v>
      </c>
      <c r="EH79" s="4">
        <v>4.6959999999999997</v>
      </c>
      <c r="EI79" s="4">
        <v>6.7670000000000003</v>
      </c>
      <c r="EJ79" s="4">
        <v>6.4269999999999996</v>
      </c>
      <c r="EK79" s="4">
        <v>6.45</v>
      </c>
      <c r="EL79" s="4">
        <v>7.1239999999999997</v>
      </c>
      <c r="EM79" s="4">
        <v>6.766</v>
      </c>
      <c r="EN79" s="4">
        <v>5.8170000000000002</v>
      </c>
      <c r="EO79" s="4">
        <v>7.2809999999999997</v>
      </c>
      <c r="EP79" s="4">
        <v>6.5780000000000003</v>
      </c>
      <c r="EQ79" s="4">
        <v>4.2480000000000002</v>
      </c>
      <c r="ER79" s="4">
        <v>8.4719999999999995</v>
      </c>
      <c r="ES79" s="4">
        <v>5.0720000000000001</v>
      </c>
      <c r="ET79" s="4">
        <v>1.43</v>
      </c>
      <c r="EU79" s="4">
        <v>8.2799999999999994</v>
      </c>
      <c r="EV79" s="4">
        <v>1.4650000000000001</v>
      </c>
      <c r="EW79" s="4">
        <v>7.0350000000000001</v>
      </c>
      <c r="EX79" s="4">
        <v>3.3000000000000002E-2</v>
      </c>
      <c r="EY79" s="4">
        <v>6.6820000000000004</v>
      </c>
      <c r="EZ79" s="4">
        <v>8.4700000000000006</v>
      </c>
      <c r="FA79" s="4">
        <v>3.7389999999999999</v>
      </c>
      <c r="FB79" s="4">
        <v>6.6760000000000002</v>
      </c>
      <c r="FC79" s="4">
        <v>6.7359999999999998</v>
      </c>
      <c r="FD79" s="4">
        <v>5.9850000000000003</v>
      </c>
      <c r="FE79" s="4">
        <v>6.85</v>
      </c>
      <c r="FF79" s="4">
        <v>7.19</v>
      </c>
      <c r="FG79" s="4">
        <v>7.319</v>
      </c>
      <c r="FH79" s="4">
        <v>7.5140000000000002</v>
      </c>
      <c r="FI79" s="4">
        <v>4.9470000000000001</v>
      </c>
      <c r="FJ79" s="4">
        <v>7.3470000000000004</v>
      </c>
      <c r="FK79" s="4">
        <v>6.806</v>
      </c>
      <c r="FL79" s="4">
        <v>6.6619999999999999</v>
      </c>
      <c r="FM79" s="4">
        <v>5.2859999999999996</v>
      </c>
      <c r="FN79" s="4">
        <v>6.5010000000000003</v>
      </c>
      <c r="FO79" s="4">
        <v>5.9880000000000004</v>
      </c>
      <c r="FP79" s="4">
        <v>5.7110000000000003</v>
      </c>
      <c r="FQ79" s="4">
        <v>5.6379999999999999</v>
      </c>
      <c r="FR79" s="4">
        <v>4.4119999999999999</v>
      </c>
      <c r="FS79" s="4">
        <v>3.1</v>
      </c>
      <c r="FT79" s="4">
        <v>7.0119999999999996</v>
      </c>
      <c r="FU79" s="4">
        <v>5.391</v>
      </c>
      <c r="FV79" s="4">
        <v>0.59299999999999997</v>
      </c>
      <c r="FW79" s="4">
        <v>7.0960000000000001</v>
      </c>
      <c r="FX79" s="4">
        <v>6.6079999999999997</v>
      </c>
      <c r="FY79" s="4">
        <v>6.2759999999999998</v>
      </c>
      <c r="FZ79" s="4">
        <v>5.9029999999999996</v>
      </c>
      <c r="GA79" s="4">
        <v>5.1210000000000004</v>
      </c>
      <c r="GB79" s="4">
        <v>7.3620000000000001</v>
      </c>
      <c r="GC79" s="4">
        <v>6.7359999999999998</v>
      </c>
      <c r="GD79" s="4">
        <v>7.0279999999999996</v>
      </c>
      <c r="GE79" s="4">
        <v>6.8280000000000003</v>
      </c>
      <c r="GF79" s="4">
        <v>6.8689999999999998</v>
      </c>
      <c r="GG79" s="4">
        <v>3.3730000000000002</v>
      </c>
      <c r="GH79" s="4">
        <v>4.5439999999999996</v>
      </c>
      <c r="GI79" s="4">
        <v>7.0659999999999998</v>
      </c>
      <c r="GJ79" s="4">
        <v>6.827</v>
      </c>
      <c r="GK79" s="4">
        <v>7.1689999999999996</v>
      </c>
      <c r="GL79" s="4">
        <v>6.0060000000000002</v>
      </c>
      <c r="GM79" s="3"/>
      <c r="GN79" s="4">
        <v>2.077</v>
      </c>
      <c r="GO79" s="4">
        <v>5.16</v>
      </c>
      <c r="GP79" s="4">
        <v>4.4720000000000004</v>
      </c>
      <c r="GQ79" s="4">
        <v>0.123</v>
      </c>
      <c r="GR79" s="4">
        <v>4.0000000000000001E-3</v>
      </c>
      <c r="GS79" s="4">
        <v>6.548</v>
      </c>
      <c r="GT79" s="4">
        <v>-0.95899999999999996</v>
      </c>
      <c r="GU79" s="4">
        <v>7.1550000000000002</v>
      </c>
      <c r="GV79" s="4">
        <v>1.7490000000000001</v>
      </c>
      <c r="GW79" s="4">
        <v>4.5620000000000003</v>
      </c>
      <c r="GX79" s="4">
        <v>-2.9790000000000001</v>
      </c>
      <c r="GY79" s="4">
        <v>2.343</v>
      </c>
      <c r="GZ79" s="4">
        <v>7.17</v>
      </c>
      <c r="HA79" s="4">
        <v>6.4080000000000004</v>
      </c>
      <c r="HB79" s="4">
        <v>5.77</v>
      </c>
      <c r="HC79" s="4">
        <v>6.5179999999999998</v>
      </c>
      <c r="HD79" s="4">
        <v>2.27</v>
      </c>
      <c r="HE79" s="4">
        <v>5.75</v>
      </c>
      <c r="HF79" s="4">
        <v>1.591</v>
      </c>
      <c r="HG79" s="4">
        <v>6.86</v>
      </c>
      <c r="HH79" s="4">
        <v>5.36</v>
      </c>
      <c r="HI79" s="4">
        <v>6.2009999999999996</v>
      </c>
      <c r="HJ79" s="4">
        <v>6.234</v>
      </c>
      <c r="HK79" s="4">
        <v>7.5730000000000004</v>
      </c>
      <c r="HL79" s="4">
        <v>7.7229999999999999</v>
      </c>
      <c r="HM79" s="4">
        <v>6.7290000000000001</v>
      </c>
      <c r="HN79" s="4">
        <v>2.1419999999999999</v>
      </c>
      <c r="HO79" s="4">
        <v>5.548</v>
      </c>
      <c r="HP79" s="4">
        <v>6.4710000000000001</v>
      </c>
      <c r="HQ79" s="4">
        <v>7.6550000000000002</v>
      </c>
      <c r="HR79" s="4">
        <v>5.51</v>
      </c>
      <c r="HS79" s="4">
        <v>5.3579999999999997</v>
      </c>
      <c r="HT79" s="4">
        <v>5.3280000000000003</v>
      </c>
      <c r="HU79" s="4">
        <v>7.0750000000000002</v>
      </c>
      <c r="HV79" s="4">
        <v>6.3639999999999999</v>
      </c>
      <c r="HW79" s="4">
        <v>2.9740000000000002</v>
      </c>
      <c r="HX79" s="4">
        <v>6.5250000000000004</v>
      </c>
      <c r="HY79" s="4">
        <v>6.7089999999999996</v>
      </c>
      <c r="HZ79" s="4">
        <v>7.5810000000000004</v>
      </c>
      <c r="IA79" s="4">
        <v>9.0999999999999998E-2</v>
      </c>
      <c r="IB79" s="4">
        <v>6.9480000000000004</v>
      </c>
      <c r="IC79" s="4">
        <v>8.2460000000000004</v>
      </c>
      <c r="ID79" s="4">
        <v>7</v>
      </c>
      <c r="IE79" s="4">
        <v>6.7690000000000001</v>
      </c>
      <c r="IF79" s="4">
        <v>6.6070000000000002</v>
      </c>
      <c r="IG79" s="4">
        <v>5.3550000000000004</v>
      </c>
      <c r="IH79" s="4">
        <v>-0.255</v>
      </c>
      <c r="II79" s="4">
        <v>0.45</v>
      </c>
      <c r="IJ79" s="4">
        <v>6.5540000000000003</v>
      </c>
      <c r="IK79" s="4">
        <v>6.9690000000000003</v>
      </c>
      <c r="IL79" s="4">
        <v>1.5569999999999999</v>
      </c>
      <c r="IM79" s="4">
        <v>6.718</v>
      </c>
      <c r="IN79" s="4">
        <v>4.431</v>
      </c>
      <c r="IO79" s="4">
        <v>5.6109999999999998</v>
      </c>
      <c r="IP79" s="4">
        <v>5.9829999999999997</v>
      </c>
      <c r="IQ79" s="4">
        <v>7.8310000000000004</v>
      </c>
      <c r="IR79" s="4">
        <v>8.0229999999999997</v>
      </c>
      <c r="IS79" s="4">
        <v>2.6560000000000001</v>
      </c>
      <c r="IT79" s="4">
        <v>6.1420000000000003</v>
      </c>
      <c r="IU79" s="4">
        <v>2.2549999999999999</v>
      </c>
      <c r="IV79" s="4">
        <v>6.3760000000000003</v>
      </c>
      <c r="IW79" s="4">
        <v>0.21</v>
      </c>
      <c r="IX79" s="4">
        <v>6.7080000000000002</v>
      </c>
      <c r="IY79" s="4">
        <v>5.7389999999999999</v>
      </c>
      <c r="IZ79" s="4">
        <v>6.8369999999999997</v>
      </c>
      <c r="JA79" s="4">
        <v>6.4850000000000003</v>
      </c>
      <c r="JB79" s="4">
        <v>5.6440000000000001</v>
      </c>
      <c r="JC79" s="4">
        <v>4.0810000000000004</v>
      </c>
      <c r="JD79" s="4">
        <v>6.6749999999999998</v>
      </c>
      <c r="JE79" s="4">
        <v>7.101</v>
      </c>
      <c r="JF79" s="4">
        <v>7.6379999999999999</v>
      </c>
      <c r="JG79" s="4">
        <v>6.77</v>
      </c>
      <c r="JH79" s="4">
        <v>7.2809999999999997</v>
      </c>
      <c r="JI79" s="4">
        <v>5.2549999999999999</v>
      </c>
      <c r="JJ79" s="4">
        <v>6.7460000000000004</v>
      </c>
      <c r="JK79" s="4">
        <v>6.0490000000000004</v>
      </c>
      <c r="JL79" s="4">
        <v>7.8579999999999997</v>
      </c>
      <c r="JM79" s="4">
        <v>6.7759999999999998</v>
      </c>
      <c r="JN79" s="4">
        <v>6.1959999999999997</v>
      </c>
      <c r="JO79" s="4">
        <v>6.19</v>
      </c>
      <c r="JP79" s="4">
        <v>6.9059999999999997</v>
      </c>
      <c r="JQ79" s="4">
        <v>6.665</v>
      </c>
      <c r="JR79" s="4">
        <v>5.8330000000000002</v>
      </c>
      <c r="JS79" s="4">
        <v>2.8450000000000002</v>
      </c>
      <c r="JT79" s="4">
        <v>6.4710000000000001</v>
      </c>
      <c r="JU79" s="4">
        <v>6.274</v>
      </c>
      <c r="JV79" s="4">
        <v>6.0949999999999998</v>
      </c>
      <c r="JW79" s="4">
        <v>6.8810000000000002</v>
      </c>
      <c r="JX79" s="4">
        <v>6.181</v>
      </c>
      <c r="JY79" s="4">
        <v>6.9669999999999996</v>
      </c>
      <c r="JZ79" s="4">
        <v>5.6929999999999996</v>
      </c>
      <c r="KA79" s="4">
        <v>6.8010000000000002</v>
      </c>
      <c r="KB79" s="4">
        <v>2.3690000000000002</v>
      </c>
      <c r="KC79" s="4">
        <v>4.2530000000000001</v>
      </c>
      <c r="KD79" s="4">
        <v>6.8540000000000001</v>
      </c>
      <c r="KE79" s="4">
        <v>7.1859999999999999</v>
      </c>
      <c r="KF79" s="4">
        <v>6.3959999999999999</v>
      </c>
      <c r="KG79" s="4">
        <v>6.141</v>
      </c>
      <c r="KH79" s="4">
        <v>6.65</v>
      </c>
      <c r="KI79" s="4">
        <v>6.4859999999999998</v>
      </c>
      <c r="KJ79" s="4">
        <v>7.1310000000000002</v>
      </c>
      <c r="KK79" s="4">
        <v>6.843</v>
      </c>
      <c r="KL79" s="4">
        <v>6.4870000000000001</v>
      </c>
      <c r="KM79" s="4">
        <v>1.0609999999999999</v>
      </c>
      <c r="KN79" s="4">
        <v>6.673</v>
      </c>
      <c r="KO79" s="4">
        <v>1.7529999999999999</v>
      </c>
      <c r="KP79" s="4">
        <v>6.6660000000000004</v>
      </c>
      <c r="KQ79" s="4">
        <v>6.2</v>
      </c>
      <c r="KR79" s="4">
        <v>6.2939999999999996</v>
      </c>
      <c r="KS79" s="4">
        <v>7.508</v>
      </c>
    </row>
    <row r="80" spans="1:305" x14ac:dyDescent="0.25">
      <c r="A80" s="4">
        <v>2020</v>
      </c>
      <c r="B80" s="4">
        <v>5</v>
      </c>
      <c r="C80" s="4">
        <v>1.395</v>
      </c>
      <c r="D80" s="4">
        <v>9.5749999999999993</v>
      </c>
      <c r="E80" s="4">
        <v>9.8919999999999995</v>
      </c>
      <c r="F80" s="4">
        <v>9.5419999999999998</v>
      </c>
      <c r="G80" s="4">
        <v>9.16</v>
      </c>
      <c r="H80" s="4">
        <v>6.3949999999999996</v>
      </c>
      <c r="I80" s="4">
        <v>9.2669999999999995</v>
      </c>
      <c r="J80" s="4">
        <v>6.2480000000000002</v>
      </c>
      <c r="K80" s="4">
        <v>9.4049999999999994</v>
      </c>
      <c r="L80" s="4">
        <v>10.446999999999999</v>
      </c>
      <c r="M80" s="4">
        <v>6.2539999999999996</v>
      </c>
      <c r="N80" s="4">
        <v>9.3510000000000009</v>
      </c>
      <c r="O80" s="4">
        <v>3.5790000000000002</v>
      </c>
      <c r="P80" s="4">
        <v>8.7690000000000001</v>
      </c>
      <c r="Q80" s="4">
        <v>2.895</v>
      </c>
      <c r="R80" s="4">
        <v>3.6680000000000001</v>
      </c>
      <c r="S80" s="4">
        <v>8.9250000000000007</v>
      </c>
      <c r="T80" s="4">
        <v>8.9990000000000006</v>
      </c>
      <c r="U80" s="4">
        <v>9.16</v>
      </c>
      <c r="V80" s="4">
        <v>9.3719999999999999</v>
      </c>
      <c r="W80" s="4">
        <v>8.3249999999999993</v>
      </c>
      <c r="X80" s="4">
        <v>10.186</v>
      </c>
      <c r="Y80" s="4">
        <v>9.4469999999999992</v>
      </c>
      <c r="Z80" s="4">
        <v>6.0419999999999998</v>
      </c>
      <c r="AA80" s="4">
        <v>10.571999999999999</v>
      </c>
      <c r="AB80" s="4">
        <v>6.6260000000000003</v>
      </c>
      <c r="AC80" s="4">
        <v>9.1950000000000003</v>
      </c>
      <c r="AD80" s="4">
        <v>7.6970000000000001</v>
      </c>
      <c r="AE80" s="4">
        <v>8.8490000000000002</v>
      </c>
      <c r="AF80" s="4">
        <v>10.257999999999999</v>
      </c>
      <c r="AG80" s="4">
        <v>8.0030000000000001</v>
      </c>
      <c r="AH80" s="4">
        <v>8.984</v>
      </c>
      <c r="AI80" s="4">
        <v>5.4139999999999997</v>
      </c>
      <c r="AJ80" s="4">
        <v>9.9009999999999998</v>
      </c>
      <c r="AK80" s="4">
        <v>10.521000000000001</v>
      </c>
      <c r="AL80" s="4">
        <v>11.250999999999999</v>
      </c>
      <c r="AM80" s="4">
        <v>8.7010000000000005</v>
      </c>
      <c r="AN80" s="4">
        <v>9.4060000000000006</v>
      </c>
      <c r="AO80" s="4">
        <v>8.9489999999999998</v>
      </c>
      <c r="AP80" s="4">
        <v>7.2839999999999998</v>
      </c>
      <c r="AQ80" s="4">
        <v>5.1040000000000001</v>
      </c>
      <c r="AR80" s="4">
        <v>6.992</v>
      </c>
      <c r="AS80" s="4">
        <v>9.2620000000000005</v>
      </c>
      <c r="AT80" s="4">
        <v>8.9629999999999992</v>
      </c>
      <c r="AU80" s="4">
        <v>9.4410000000000007</v>
      </c>
      <c r="AV80" s="4">
        <v>9.0429999999999993</v>
      </c>
      <c r="AW80" s="4">
        <v>9.2780000000000005</v>
      </c>
      <c r="AX80" s="4">
        <v>10.632999999999999</v>
      </c>
      <c r="AY80" s="4">
        <v>9.6509999999999998</v>
      </c>
      <c r="AZ80" s="4">
        <v>8.4139999999999997</v>
      </c>
      <c r="BA80" s="4">
        <v>10.06</v>
      </c>
      <c r="BB80" s="4">
        <v>8.859</v>
      </c>
      <c r="BC80" s="4">
        <v>10.84</v>
      </c>
      <c r="BD80" s="4">
        <v>8.2010000000000005</v>
      </c>
      <c r="BE80" s="4">
        <v>9.5489999999999995</v>
      </c>
      <c r="BF80" s="4">
        <v>8.2309999999999999</v>
      </c>
      <c r="BG80" s="4">
        <v>7.968</v>
      </c>
      <c r="BH80" s="4">
        <v>9.4329999999999998</v>
      </c>
      <c r="BI80" s="4">
        <v>9.2669999999999995</v>
      </c>
      <c r="BJ80" s="4">
        <v>4.62</v>
      </c>
      <c r="BK80" s="4">
        <v>9.39</v>
      </c>
      <c r="BL80" s="4">
        <v>5.1609999999999996</v>
      </c>
      <c r="BM80" s="4">
        <v>4.3310000000000004</v>
      </c>
      <c r="BN80" s="4">
        <v>7.6050000000000004</v>
      </c>
      <c r="BO80" s="4">
        <v>3.766</v>
      </c>
      <c r="BP80" s="4">
        <v>8.0220000000000002</v>
      </c>
      <c r="BQ80" s="4">
        <v>9.1839999999999993</v>
      </c>
      <c r="BR80" s="4">
        <v>8.9879999999999995</v>
      </c>
      <c r="BS80" s="4">
        <v>10.275</v>
      </c>
      <c r="BT80" s="4">
        <v>9.6829999999999998</v>
      </c>
      <c r="BU80" s="4">
        <v>9.8040000000000003</v>
      </c>
      <c r="BV80" s="4">
        <v>9.3010000000000002</v>
      </c>
      <c r="BW80" s="4">
        <v>8.0850000000000009</v>
      </c>
      <c r="BX80" s="4">
        <v>8.15</v>
      </c>
      <c r="BY80" s="4">
        <v>9.2460000000000004</v>
      </c>
      <c r="BZ80" s="4">
        <v>8.9130000000000003</v>
      </c>
      <c r="CA80" s="4">
        <v>10.237</v>
      </c>
      <c r="CB80" s="4">
        <v>8.625</v>
      </c>
      <c r="CC80" s="4">
        <v>5.9610000000000003</v>
      </c>
      <c r="CD80" s="4">
        <v>8.6080000000000005</v>
      </c>
      <c r="CE80" s="4">
        <v>5.8330000000000002</v>
      </c>
      <c r="CF80" s="4">
        <v>7.0069999999999997</v>
      </c>
      <c r="CG80" s="4">
        <v>9.9540000000000006</v>
      </c>
      <c r="CH80" s="4">
        <v>9.7420000000000009</v>
      </c>
      <c r="CI80" s="4">
        <v>8.2089999999999996</v>
      </c>
      <c r="CJ80" s="4">
        <v>4.7119999999999997</v>
      </c>
      <c r="CK80" s="4">
        <v>10.808999999999999</v>
      </c>
      <c r="CL80" s="4">
        <v>1.474</v>
      </c>
      <c r="CM80" s="4">
        <v>9.359</v>
      </c>
      <c r="CN80" s="4">
        <v>9.3230000000000004</v>
      </c>
      <c r="CO80" s="4">
        <v>8.9</v>
      </c>
      <c r="CP80" s="4">
        <v>7.9219999999999997</v>
      </c>
      <c r="CQ80" s="4">
        <v>10.670999999999999</v>
      </c>
      <c r="CR80" s="4">
        <v>10.01</v>
      </c>
      <c r="CS80" s="4">
        <v>10.163</v>
      </c>
      <c r="CT80" s="4">
        <v>10.164</v>
      </c>
      <c r="CU80" s="4">
        <v>9.2609999999999992</v>
      </c>
      <c r="CV80" s="4">
        <v>9.0640000000000001</v>
      </c>
      <c r="CW80" s="4">
        <v>7.5990000000000002</v>
      </c>
      <c r="CX80" s="4">
        <v>9.4450000000000003</v>
      </c>
      <c r="CY80" s="4">
        <v>9.24</v>
      </c>
      <c r="CZ80" s="4">
        <v>9.5530000000000008</v>
      </c>
      <c r="DA80" s="4">
        <v>4.5869999999999997</v>
      </c>
      <c r="DB80" s="4">
        <v>9.2720000000000002</v>
      </c>
      <c r="DC80" s="4">
        <v>5.915</v>
      </c>
      <c r="DD80" s="4">
        <v>6.0439999999999996</v>
      </c>
      <c r="DE80" s="4">
        <v>10.109</v>
      </c>
      <c r="DF80" s="4">
        <v>2.7309999999999999</v>
      </c>
      <c r="DG80" s="4">
        <v>9.14</v>
      </c>
      <c r="DH80" s="4">
        <v>10.002000000000001</v>
      </c>
      <c r="DI80" s="4">
        <v>8.65</v>
      </c>
      <c r="DJ80" s="4">
        <v>10.226000000000001</v>
      </c>
      <c r="DK80" s="4">
        <v>9.0169999999999995</v>
      </c>
      <c r="DL80" s="4">
        <v>9.2880000000000003</v>
      </c>
      <c r="DM80" s="4">
        <v>10.984</v>
      </c>
      <c r="DN80" s="4">
        <v>9.3469999999999995</v>
      </c>
      <c r="DO80" s="4">
        <v>9.4619999999999997</v>
      </c>
      <c r="DP80" s="4">
        <v>2.8959999999999999</v>
      </c>
      <c r="DQ80" s="4">
        <v>9.1289999999999996</v>
      </c>
      <c r="DR80" s="4">
        <v>10.119999999999999</v>
      </c>
      <c r="DS80" s="4">
        <v>8.7520000000000007</v>
      </c>
      <c r="DT80" s="4">
        <v>9.1690000000000005</v>
      </c>
      <c r="DU80" s="4">
        <v>7.7919999999999998</v>
      </c>
      <c r="DV80" s="4">
        <v>6.819</v>
      </c>
      <c r="DW80" s="4">
        <v>10.648</v>
      </c>
      <c r="DX80" s="4">
        <v>8.875</v>
      </c>
      <c r="DY80" s="4">
        <v>9.3320000000000007</v>
      </c>
      <c r="DZ80" s="4">
        <v>9.9640000000000004</v>
      </c>
      <c r="EA80" s="4">
        <v>10.119</v>
      </c>
      <c r="EB80" s="4">
        <v>9.32</v>
      </c>
      <c r="EC80" s="4">
        <v>2.9510000000000001</v>
      </c>
      <c r="ED80" s="4">
        <v>10.183</v>
      </c>
      <c r="EE80" s="4">
        <v>10.88</v>
      </c>
      <c r="EF80" s="4">
        <v>9.2319999999999993</v>
      </c>
      <c r="EG80" s="4">
        <v>9.1769999999999996</v>
      </c>
      <c r="EH80" s="4">
        <v>7.6820000000000004</v>
      </c>
      <c r="EI80" s="4">
        <v>9.6189999999999998</v>
      </c>
      <c r="EJ80" s="4">
        <v>9.1859999999999999</v>
      </c>
      <c r="EK80" s="4">
        <v>9.3030000000000008</v>
      </c>
      <c r="EL80" s="4">
        <v>9.99</v>
      </c>
      <c r="EM80" s="4">
        <v>9.8369999999999997</v>
      </c>
      <c r="EN80" s="4">
        <v>8.7110000000000003</v>
      </c>
      <c r="EO80" s="4">
        <v>9.8390000000000004</v>
      </c>
      <c r="EP80" s="4">
        <v>9.3989999999999991</v>
      </c>
      <c r="EQ80" s="4">
        <v>7.0910000000000002</v>
      </c>
      <c r="ER80" s="4">
        <v>11.244999999999999</v>
      </c>
      <c r="ES80" s="4">
        <v>8.0470000000000006</v>
      </c>
      <c r="ET80" s="4">
        <v>6.5190000000000001</v>
      </c>
      <c r="EU80" s="4">
        <v>11.034000000000001</v>
      </c>
      <c r="EV80" s="4">
        <v>5.5010000000000003</v>
      </c>
      <c r="EW80" s="4">
        <v>10.041</v>
      </c>
      <c r="EX80" s="4">
        <v>4.069</v>
      </c>
      <c r="EY80" s="4">
        <v>9.234</v>
      </c>
      <c r="EZ80" s="4">
        <v>11.263999999999999</v>
      </c>
      <c r="FA80" s="4">
        <v>6.7229999999999999</v>
      </c>
      <c r="FB80" s="4">
        <v>9.4589999999999996</v>
      </c>
      <c r="FC80" s="4">
        <v>9.5129999999999999</v>
      </c>
      <c r="FD80" s="4">
        <v>8.69</v>
      </c>
      <c r="FE80" s="4">
        <v>9.6210000000000004</v>
      </c>
      <c r="FF80" s="4">
        <v>9.5990000000000002</v>
      </c>
      <c r="FG80" s="4">
        <v>10.141</v>
      </c>
      <c r="FH80" s="4">
        <v>10.19</v>
      </c>
      <c r="FI80" s="4">
        <v>7.7039999999999997</v>
      </c>
      <c r="FJ80" s="4">
        <v>10.138999999999999</v>
      </c>
      <c r="FK80" s="4">
        <v>9.4610000000000003</v>
      </c>
      <c r="FL80" s="4">
        <v>9.8510000000000009</v>
      </c>
      <c r="FM80" s="4">
        <v>8.3840000000000003</v>
      </c>
      <c r="FN80" s="4">
        <v>9.3360000000000003</v>
      </c>
      <c r="FO80" s="4">
        <v>8.7100000000000009</v>
      </c>
      <c r="FP80" s="4">
        <v>8.6120000000000001</v>
      </c>
      <c r="FQ80" s="4">
        <v>8.3450000000000006</v>
      </c>
      <c r="FR80" s="4">
        <v>7.0890000000000004</v>
      </c>
      <c r="FS80" s="4">
        <v>6.8070000000000004</v>
      </c>
      <c r="FT80" s="4">
        <v>9.6989999999999998</v>
      </c>
      <c r="FU80" s="4">
        <v>8.18</v>
      </c>
      <c r="FV80" s="4">
        <v>4.8890000000000002</v>
      </c>
      <c r="FW80" s="4">
        <v>9.8810000000000002</v>
      </c>
      <c r="FX80" s="4">
        <v>9.4280000000000008</v>
      </c>
      <c r="FY80" s="4">
        <v>9.0609999999999999</v>
      </c>
      <c r="FZ80" s="4">
        <v>8.5310000000000006</v>
      </c>
      <c r="GA80" s="4">
        <v>7.6929999999999996</v>
      </c>
      <c r="GB80" s="4">
        <v>10.061999999999999</v>
      </c>
      <c r="GC80" s="4">
        <v>9.2309999999999999</v>
      </c>
      <c r="GD80" s="4">
        <v>9.8190000000000008</v>
      </c>
      <c r="GE80" s="4">
        <v>9.4550000000000001</v>
      </c>
      <c r="GF80" s="4">
        <v>9.7170000000000005</v>
      </c>
      <c r="GG80" s="4">
        <v>6.8449999999999998</v>
      </c>
      <c r="GH80" s="4">
        <v>7.2859999999999996</v>
      </c>
      <c r="GI80" s="4">
        <v>10.103999999999999</v>
      </c>
      <c r="GJ80" s="4">
        <v>9.4640000000000004</v>
      </c>
      <c r="GK80" s="4">
        <v>9.8320000000000007</v>
      </c>
      <c r="GL80" s="4">
        <v>8.8539999999999992</v>
      </c>
      <c r="GM80" s="3"/>
      <c r="GN80" s="4">
        <v>5.3239999999999998</v>
      </c>
      <c r="GO80" s="4">
        <v>7.718</v>
      </c>
      <c r="GP80" s="4">
        <v>7.7649999999999997</v>
      </c>
      <c r="GQ80" s="4">
        <v>6.2229999999999999</v>
      </c>
      <c r="GR80" s="4">
        <v>6.2439999999999998</v>
      </c>
      <c r="GS80" s="4">
        <v>9.23</v>
      </c>
      <c r="GT80" s="4">
        <v>5.5049999999999999</v>
      </c>
      <c r="GU80" s="4">
        <v>9.9469999999999992</v>
      </c>
      <c r="GV80" s="4">
        <v>6.6539999999999999</v>
      </c>
      <c r="GW80" s="4">
        <v>7.3639999999999999</v>
      </c>
      <c r="GX80" s="4">
        <v>0.69899999999999995</v>
      </c>
      <c r="GY80" s="4">
        <v>6.5519999999999996</v>
      </c>
      <c r="GZ80" s="4">
        <v>9.9489999999999998</v>
      </c>
      <c r="HA80" s="4">
        <v>9.4339999999999993</v>
      </c>
      <c r="HB80" s="4">
        <v>8.3520000000000003</v>
      </c>
      <c r="HC80" s="4">
        <v>9.35</v>
      </c>
      <c r="HD80" s="4">
        <v>5.2530000000000001</v>
      </c>
      <c r="HE80" s="4">
        <v>8.3989999999999991</v>
      </c>
      <c r="HF80" s="4">
        <v>4.9109999999999996</v>
      </c>
      <c r="HG80" s="4">
        <v>9.7799999999999994</v>
      </c>
      <c r="HH80" s="4">
        <v>8.0920000000000005</v>
      </c>
      <c r="HI80" s="4">
        <v>8.9039999999999999</v>
      </c>
      <c r="HJ80" s="4">
        <v>9.0449999999999999</v>
      </c>
      <c r="HK80" s="4">
        <v>10.337999999999999</v>
      </c>
      <c r="HL80" s="4">
        <v>10.446999999999999</v>
      </c>
      <c r="HM80" s="4">
        <v>9.5670000000000002</v>
      </c>
      <c r="HN80" s="4">
        <v>6.7560000000000002</v>
      </c>
      <c r="HO80" s="4">
        <v>8.327</v>
      </c>
      <c r="HP80" s="4">
        <v>9.2590000000000003</v>
      </c>
      <c r="HQ80" s="4">
        <v>10.430999999999999</v>
      </c>
      <c r="HR80" s="4">
        <v>7.8040000000000003</v>
      </c>
      <c r="HS80" s="4">
        <v>8.1820000000000004</v>
      </c>
      <c r="HT80" s="4">
        <v>7.5819999999999999</v>
      </c>
      <c r="HU80" s="4">
        <v>9.6980000000000004</v>
      </c>
      <c r="HV80" s="4">
        <v>9.19</v>
      </c>
      <c r="HW80" s="4">
        <v>6.3109999999999999</v>
      </c>
      <c r="HX80" s="4">
        <v>9.3879999999999999</v>
      </c>
      <c r="HY80" s="4">
        <v>9.5660000000000007</v>
      </c>
      <c r="HZ80" s="4">
        <v>10.406000000000001</v>
      </c>
      <c r="IA80" s="4">
        <v>4.0030000000000001</v>
      </c>
      <c r="IB80" s="4">
        <v>9.8640000000000008</v>
      </c>
      <c r="IC80" s="4">
        <v>10.978999999999999</v>
      </c>
      <c r="ID80" s="4">
        <v>9.9290000000000003</v>
      </c>
      <c r="IE80" s="4">
        <v>9.6120000000000001</v>
      </c>
      <c r="IF80" s="4">
        <v>9.4329999999999998</v>
      </c>
      <c r="IG80" s="4">
        <v>8.6140000000000008</v>
      </c>
      <c r="IH80" s="4">
        <v>2.1960000000000002</v>
      </c>
      <c r="II80" s="4">
        <v>4.0670000000000002</v>
      </c>
      <c r="IJ80" s="4">
        <v>9.27</v>
      </c>
      <c r="IK80" s="4">
        <v>10.06</v>
      </c>
      <c r="IL80" s="4">
        <v>5</v>
      </c>
      <c r="IM80" s="4">
        <v>9.5679999999999996</v>
      </c>
      <c r="IN80" s="4">
        <v>7.2709999999999999</v>
      </c>
      <c r="IO80" s="4">
        <v>8.5500000000000007</v>
      </c>
      <c r="IP80" s="4">
        <v>8.6289999999999996</v>
      </c>
      <c r="IQ80" s="4">
        <v>10.602</v>
      </c>
      <c r="IR80" s="4">
        <v>10.85</v>
      </c>
      <c r="IS80" s="4">
        <v>5.6449999999999996</v>
      </c>
      <c r="IT80" s="4">
        <v>8.968</v>
      </c>
      <c r="IU80" s="4">
        <v>5.5250000000000004</v>
      </c>
      <c r="IV80" s="4">
        <v>9.2509999999999994</v>
      </c>
      <c r="IW80" s="4">
        <v>3.3180000000000001</v>
      </c>
      <c r="IX80" s="4">
        <v>9.8629999999999995</v>
      </c>
      <c r="IY80" s="4">
        <v>8.3770000000000007</v>
      </c>
      <c r="IZ80" s="4">
        <v>9.4440000000000008</v>
      </c>
      <c r="JA80" s="4">
        <v>9.125</v>
      </c>
      <c r="JB80" s="4">
        <v>8.1349999999999998</v>
      </c>
      <c r="JC80" s="4">
        <v>7.0540000000000003</v>
      </c>
      <c r="JD80" s="4">
        <v>9.41</v>
      </c>
      <c r="JE80" s="4">
        <v>9.8650000000000002</v>
      </c>
      <c r="JF80" s="4">
        <v>10.394</v>
      </c>
      <c r="JG80" s="4">
        <v>9.5380000000000003</v>
      </c>
      <c r="JH80" s="4">
        <v>10.222</v>
      </c>
      <c r="JI80" s="4">
        <v>8.5350000000000001</v>
      </c>
      <c r="JJ80" s="4">
        <v>9.3070000000000004</v>
      </c>
      <c r="JK80" s="4">
        <v>8.9030000000000005</v>
      </c>
      <c r="JL80" s="4">
        <v>10.706</v>
      </c>
      <c r="JM80" s="4">
        <v>9.8810000000000002</v>
      </c>
      <c r="JN80" s="4">
        <v>8.9339999999999993</v>
      </c>
      <c r="JO80" s="4">
        <v>8.9740000000000002</v>
      </c>
      <c r="JP80" s="4">
        <v>9.9870000000000001</v>
      </c>
      <c r="JQ80" s="4">
        <v>9.4030000000000005</v>
      </c>
      <c r="JR80" s="4">
        <v>8.6219999999999999</v>
      </c>
      <c r="JS80" s="4">
        <v>6.8330000000000002</v>
      </c>
      <c r="JT80" s="4">
        <v>9.3780000000000001</v>
      </c>
      <c r="JU80" s="4">
        <v>9.1120000000000001</v>
      </c>
      <c r="JV80" s="4">
        <v>8.8170000000000002</v>
      </c>
      <c r="JW80" s="4">
        <v>9.3279999999999994</v>
      </c>
      <c r="JX80" s="4">
        <v>9.0489999999999995</v>
      </c>
      <c r="JY80" s="4">
        <v>9.577</v>
      </c>
      <c r="JZ80" s="4">
        <v>8.5259999999999998</v>
      </c>
      <c r="KA80" s="4">
        <v>9.8469999999999995</v>
      </c>
      <c r="KB80" s="4">
        <v>6.3170000000000002</v>
      </c>
      <c r="KC80" s="4">
        <v>7.42</v>
      </c>
      <c r="KD80" s="4">
        <v>9.7249999999999996</v>
      </c>
      <c r="KE80" s="4">
        <v>10.034000000000001</v>
      </c>
      <c r="KF80" s="4">
        <v>9.375</v>
      </c>
      <c r="KG80" s="4">
        <v>8.9160000000000004</v>
      </c>
      <c r="KH80" s="4">
        <v>9.3849999999999998</v>
      </c>
      <c r="KI80" s="4">
        <v>9.1059999999999999</v>
      </c>
      <c r="KJ80" s="4">
        <v>9.766</v>
      </c>
      <c r="KK80" s="4">
        <v>9.3309999999999995</v>
      </c>
      <c r="KL80" s="4">
        <v>9.1170000000000009</v>
      </c>
      <c r="KM80" s="4">
        <v>4.5960000000000001</v>
      </c>
      <c r="KN80" s="4">
        <v>9.3510000000000009</v>
      </c>
      <c r="KO80" s="4">
        <v>5.8339999999999996</v>
      </c>
      <c r="KP80" s="4">
        <v>9.2910000000000004</v>
      </c>
      <c r="KQ80" s="4">
        <v>8.9789999999999992</v>
      </c>
      <c r="KR80" s="4">
        <v>8.8650000000000002</v>
      </c>
      <c r="KS80" s="4">
        <v>10.262</v>
      </c>
    </row>
    <row r="81" spans="1:305" x14ac:dyDescent="0.25">
      <c r="A81" s="4">
        <v>2020</v>
      </c>
      <c r="B81" s="4">
        <v>6</v>
      </c>
      <c r="C81" s="4">
        <v>10.215</v>
      </c>
      <c r="D81" s="4">
        <v>18.369</v>
      </c>
      <c r="E81" s="4">
        <v>17.800999999999998</v>
      </c>
      <c r="F81" s="4">
        <v>17.282</v>
      </c>
      <c r="G81" s="4">
        <v>16.448</v>
      </c>
      <c r="H81" s="4">
        <v>16.853000000000002</v>
      </c>
      <c r="I81" s="4">
        <v>16.489000000000001</v>
      </c>
      <c r="J81" s="4">
        <v>16.661000000000001</v>
      </c>
      <c r="K81" s="4">
        <v>17.318000000000001</v>
      </c>
      <c r="L81" s="4">
        <v>17.437999999999999</v>
      </c>
      <c r="M81" s="4">
        <v>16.960999999999999</v>
      </c>
      <c r="N81" s="4">
        <v>18.256</v>
      </c>
      <c r="O81" s="4">
        <v>15.468999999999999</v>
      </c>
      <c r="P81" s="4">
        <v>17.111000000000001</v>
      </c>
      <c r="Q81" s="4">
        <v>14.45</v>
      </c>
      <c r="R81" s="4">
        <v>15.398999999999999</v>
      </c>
      <c r="S81" s="4">
        <v>17.545999999999999</v>
      </c>
      <c r="T81" s="4">
        <v>15.954000000000001</v>
      </c>
      <c r="U81" s="4">
        <v>17.602</v>
      </c>
      <c r="V81" s="4">
        <v>16.917999999999999</v>
      </c>
      <c r="W81" s="4">
        <v>17.940999999999999</v>
      </c>
      <c r="X81" s="4">
        <v>17.23</v>
      </c>
      <c r="Y81" s="4">
        <v>17.614000000000001</v>
      </c>
      <c r="Z81" s="4">
        <v>16.829999999999998</v>
      </c>
      <c r="AA81" s="4">
        <v>17.524000000000001</v>
      </c>
      <c r="AB81" s="4">
        <v>16.882999999999999</v>
      </c>
      <c r="AC81" s="4">
        <v>16.972000000000001</v>
      </c>
      <c r="AD81" s="4">
        <v>17.725000000000001</v>
      </c>
      <c r="AE81" s="4">
        <v>16.757000000000001</v>
      </c>
      <c r="AF81" s="4">
        <v>16.097999999999999</v>
      </c>
      <c r="AG81" s="4">
        <v>17.600000000000001</v>
      </c>
      <c r="AH81" s="4">
        <v>17.643999999999998</v>
      </c>
      <c r="AI81" s="4">
        <v>16.466000000000001</v>
      </c>
      <c r="AJ81" s="4">
        <v>16.893000000000001</v>
      </c>
      <c r="AK81" s="4">
        <v>17.013999999999999</v>
      </c>
      <c r="AL81" s="4">
        <v>17.626999999999999</v>
      </c>
      <c r="AM81" s="4">
        <v>17.478000000000002</v>
      </c>
      <c r="AN81" s="4">
        <v>18.146999999999998</v>
      </c>
      <c r="AO81" s="4">
        <v>17.719000000000001</v>
      </c>
      <c r="AP81" s="4">
        <v>17.254999999999999</v>
      </c>
      <c r="AQ81" s="4">
        <v>16.945</v>
      </c>
      <c r="AR81" s="4">
        <v>17.114999999999998</v>
      </c>
      <c r="AS81" s="4">
        <v>17.402000000000001</v>
      </c>
      <c r="AT81" s="4">
        <v>16.227</v>
      </c>
      <c r="AU81" s="4">
        <v>16.335999999999999</v>
      </c>
      <c r="AV81" s="4">
        <v>17.975000000000001</v>
      </c>
      <c r="AW81" s="4">
        <v>18.004999999999999</v>
      </c>
      <c r="AX81" s="4">
        <v>17.254000000000001</v>
      </c>
      <c r="AY81" s="4">
        <v>17.318999999999999</v>
      </c>
      <c r="AZ81" s="4">
        <v>17.962</v>
      </c>
      <c r="BA81" s="4">
        <v>17.3</v>
      </c>
      <c r="BB81" s="4">
        <v>16.821999999999999</v>
      </c>
      <c r="BC81" s="4">
        <v>16.771000000000001</v>
      </c>
      <c r="BD81" s="4">
        <v>17.983000000000001</v>
      </c>
      <c r="BE81" s="4">
        <v>17.516999999999999</v>
      </c>
      <c r="BF81" s="4">
        <v>17.486000000000001</v>
      </c>
      <c r="BG81" s="4">
        <v>17.489999999999998</v>
      </c>
      <c r="BH81" s="4">
        <v>17.417000000000002</v>
      </c>
      <c r="BI81" s="4">
        <v>17.742000000000001</v>
      </c>
      <c r="BJ81" s="4">
        <v>16.443999999999999</v>
      </c>
      <c r="BK81" s="4">
        <v>18.187000000000001</v>
      </c>
      <c r="BL81" s="4">
        <v>16.302</v>
      </c>
      <c r="BM81" s="4">
        <v>16.027999999999999</v>
      </c>
      <c r="BN81" s="4">
        <v>17.318999999999999</v>
      </c>
      <c r="BO81" s="4">
        <v>14.53</v>
      </c>
      <c r="BP81" s="4">
        <v>17.190999999999999</v>
      </c>
      <c r="BQ81" s="4">
        <v>16.824999999999999</v>
      </c>
      <c r="BR81" s="4">
        <v>17.57</v>
      </c>
      <c r="BS81" s="4">
        <v>18.082999999999998</v>
      </c>
      <c r="BT81" s="4">
        <v>17.667999999999999</v>
      </c>
      <c r="BU81" s="4">
        <v>17.311</v>
      </c>
      <c r="BV81" s="4">
        <v>18.248999999999999</v>
      </c>
      <c r="BW81" s="4">
        <v>17.465</v>
      </c>
      <c r="BX81" s="4">
        <v>17.466999999999999</v>
      </c>
      <c r="BY81" s="4">
        <v>17.783999999999999</v>
      </c>
      <c r="BZ81" s="4">
        <v>18.074999999999999</v>
      </c>
      <c r="CA81" s="4">
        <v>17.63</v>
      </c>
      <c r="CB81" s="4">
        <v>16.847999999999999</v>
      </c>
      <c r="CC81" s="4">
        <v>16.821000000000002</v>
      </c>
      <c r="CD81" s="4">
        <v>16.957999999999998</v>
      </c>
      <c r="CE81" s="4">
        <v>16.021000000000001</v>
      </c>
      <c r="CF81" s="4">
        <v>15.99</v>
      </c>
      <c r="CG81" s="4">
        <v>17.837</v>
      </c>
      <c r="CH81" s="4">
        <v>16.501999999999999</v>
      </c>
      <c r="CI81" s="4">
        <v>17.852</v>
      </c>
      <c r="CJ81" s="4">
        <v>16.260999999999999</v>
      </c>
      <c r="CK81" s="4">
        <v>17.588000000000001</v>
      </c>
      <c r="CL81" s="4">
        <v>11.807</v>
      </c>
      <c r="CM81" s="4">
        <v>16.524999999999999</v>
      </c>
      <c r="CN81" s="4">
        <v>16.981000000000002</v>
      </c>
      <c r="CO81" s="4">
        <v>16.186</v>
      </c>
      <c r="CP81" s="4">
        <v>17.562999999999999</v>
      </c>
      <c r="CQ81" s="4">
        <v>17.298999999999999</v>
      </c>
      <c r="CR81" s="4">
        <v>16.556000000000001</v>
      </c>
      <c r="CS81" s="4">
        <v>16.905999999999999</v>
      </c>
      <c r="CT81" s="4">
        <v>16.841999999999999</v>
      </c>
      <c r="CU81" s="4">
        <v>17.812000000000001</v>
      </c>
      <c r="CV81" s="4">
        <v>17.699000000000002</v>
      </c>
      <c r="CW81" s="4">
        <v>16.93</v>
      </c>
      <c r="CX81" s="4">
        <v>16.338000000000001</v>
      </c>
      <c r="CY81" s="4">
        <v>16.835999999999999</v>
      </c>
      <c r="CZ81" s="4">
        <v>18.335999999999999</v>
      </c>
      <c r="DA81" s="4">
        <v>16.097000000000001</v>
      </c>
      <c r="DB81" s="4">
        <v>16.689</v>
      </c>
      <c r="DC81" s="4">
        <v>17.564</v>
      </c>
      <c r="DD81" s="4">
        <v>16.238</v>
      </c>
      <c r="DE81" s="4">
        <v>16.228000000000002</v>
      </c>
      <c r="DF81" s="4">
        <v>13.112</v>
      </c>
      <c r="DG81" s="4">
        <v>16.725000000000001</v>
      </c>
      <c r="DH81" s="4">
        <v>16.582000000000001</v>
      </c>
      <c r="DI81" s="4">
        <v>17.452000000000002</v>
      </c>
      <c r="DJ81" s="4">
        <v>16.922999999999998</v>
      </c>
      <c r="DK81" s="4">
        <v>17.536000000000001</v>
      </c>
      <c r="DL81" s="4">
        <v>17.72</v>
      </c>
      <c r="DM81" s="4">
        <v>17.571000000000002</v>
      </c>
      <c r="DN81" s="4">
        <v>18.018000000000001</v>
      </c>
      <c r="DO81" s="4">
        <v>17.329999999999998</v>
      </c>
      <c r="DP81" s="4">
        <v>13.622999999999999</v>
      </c>
      <c r="DQ81" s="4">
        <v>16.626000000000001</v>
      </c>
      <c r="DR81" s="4">
        <v>17.122</v>
      </c>
      <c r="DS81" s="4">
        <v>17.698</v>
      </c>
      <c r="DT81" s="4">
        <v>18.143999999999998</v>
      </c>
      <c r="DU81" s="4">
        <v>17.23</v>
      </c>
      <c r="DV81" s="4">
        <v>16.963999999999999</v>
      </c>
      <c r="DW81" s="4">
        <v>17.021999999999998</v>
      </c>
      <c r="DX81" s="4">
        <v>17.649999999999999</v>
      </c>
      <c r="DY81" s="4">
        <v>17.858000000000001</v>
      </c>
      <c r="DZ81" s="4">
        <v>17.899999999999999</v>
      </c>
      <c r="EA81" s="4">
        <v>17.856000000000002</v>
      </c>
      <c r="EB81" s="4">
        <v>18.170000000000002</v>
      </c>
      <c r="EC81" s="4">
        <v>13.327</v>
      </c>
      <c r="ED81" s="4">
        <v>17.346</v>
      </c>
      <c r="EE81" s="4">
        <v>17.524000000000001</v>
      </c>
      <c r="EF81" s="4">
        <v>17.844999999999999</v>
      </c>
      <c r="EG81" s="4">
        <v>17.777000000000001</v>
      </c>
      <c r="EH81" s="4">
        <v>17.611999999999998</v>
      </c>
      <c r="EI81" s="4">
        <v>17.407</v>
      </c>
      <c r="EJ81" s="4">
        <v>16.245000000000001</v>
      </c>
      <c r="EK81" s="4">
        <v>18.007999999999999</v>
      </c>
      <c r="EL81" s="4">
        <v>17.643000000000001</v>
      </c>
      <c r="EM81" s="4">
        <v>17.672999999999998</v>
      </c>
      <c r="EN81" s="4">
        <v>17.808</v>
      </c>
      <c r="EO81" s="4">
        <v>17.542000000000002</v>
      </c>
      <c r="EP81" s="4">
        <v>16.756</v>
      </c>
      <c r="EQ81" s="4">
        <v>17.323</v>
      </c>
      <c r="ER81" s="4">
        <v>17.635000000000002</v>
      </c>
      <c r="ES81" s="4">
        <v>17.596</v>
      </c>
      <c r="ET81" s="4">
        <v>16.399999999999999</v>
      </c>
      <c r="EU81" s="4">
        <v>17.498000000000001</v>
      </c>
      <c r="EV81" s="4">
        <v>16.885999999999999</v>
      </c>
      <c r="EW81" s="4">
        <v>17.707000000000001</v>
      </c>
      <c r="EX81" s="4">
        <v>15.786</v>
      </c>
      <c r="EY81" s="4">
        <v>16.895</v>
      </c>
      <c r="EZ81" s="4">
        <v>17.629000000000001</v>
      </c>
      <c r="FA81" s="4">
        <v>16.312999999999999</v>
      </c>
      <c r="FB81" s="4">
        <v>17.565000000000001</v>
      </c>
      <c r="FC81" s="4">
        <v>16.701000000000001</v>
      </c>
      <c r="FD81" s="4">
        <v>17.864000000000001</v>
      </c>
      <c r="FE81" s="4">
        <v>17.085000000000001</v>
      </c>
      <c r="FF81" s="4">
        <v>17.338000000000001</v>
      </c>
      <c r="FG81" s="4">
        <v>17.995999999999999</v>
      </c>
      <c r="FH81" s="4">
        <v>16.123000000000001</v>
      </c>
      <c r="FI81" s="4">
        <v>18.132999999999999</v>
      </c>
      <c r="FJ81" s="4">
        <v>16.285</v>
      </c>
      <c r="FK81" s="4">
        <v>17.437000000000001</v>
      </c>
      <c r="FL81" s="4">
        <v>17.920999999999999</v>
      </c>
      <c r="FM81" s="4">
        <v>17.545000000000002</v>
      </c>
      <c r="FN81" s="4">
        <v>18.013999999999999</v>
      </c>
      <c r="FO81" s="4">
        <v>16.123999999999999</v>
      </c>
      <c r="FP81" s="4">
        <v>17.588000000000001</v>
      </c>
      <c r="FQ81" s="4">
        <v>17.95</v>
      </c>
      <c r="FR81" s="4">
        <v>16.931999999999999</v>
      </c>
      <c r="FS81" s="4">
        <v>16.337</v>
      </c>
      <c r="FT81" s="4">
        <v>17.513000000000002</v>
      </c>
      <c r="FU81" s="4">
        <v>17.042000000000002</v>
      </c>
      <c r="FV81" s="4">
        <v>16.239999999999998</v>
      </c>
      <c r="FW81" s="4">
        <v>16.436</v>
      </c>
      <c r="FX81" s="4">
        <v>17.364000000000001</v>
      </c>
      <c r="FY81" s="4">
        <v>17.79</v>
      </c>
      <c r="FZ81" s="4">
        <v>16.13</v>
      </c>
      <c r="GA81" s="4">
        <v>17.439</v>
      </c>
      <c r="GB81" s="4">
        <v>17.463000000000001</v>
      </c>
      <c r="GC81" s="4">
        <v>16.899999999999999</v>
      </c>
      <c r="GD81" s="4">
        <v>16.872</v>
      </c>
      <c r="GE81" s="4">
        <v>18.058</v>
      </c>
      <c r="GF81" s="4">
        <v>16.827999999999999</v>
      </c>
      <c r="GG81" s="4">
        <v>16.399000000000001</v>
      </c>
      <c r="GH81" s="4">
        <v>17.927</v>
      </c>
      <c r="GI81" s="4">
        <v>18.018999999999998</v>
      </c>
      <c r="GJ81" s="4">
        <v>16.574999999999999</v>
      </c>
      <c r="GK81" s="4">
        <v>15.916</v>
      </c>
      <c r="GL81" s="4">
        <v>17.591000000000001</v>
      </c>
      <c r="GM81" s="3"/>
      <c r="GN81" s="4">
        <v>16.882999999999999</v>
      </c>
      <c r="GO81" s="4">
        <v>17.289000000000001</v>
      </c>
      <c r="GP81" s="4">
        <v>16.817</v>
      </c>
      <c r="GQ81" s="4">
        <v>16.402999999999999</v>
      </c>
      <c r="GR81" s="4">
        <v>16.45</v>
      </c>
      <c r="GS81" s="4">
        <v>16.646000000000001</v>
      </c>
      <c r="GT81" s="4">
        <v>15.504</v>
      </c>
      <c r="GU81" s="4">
        <v>17.826000000000001</v>
      </c>
      <c r="GV81" s="4">
        <v>16.577000000000002</v>
      </c>
      <c r="GW81" s="4">
        <v>17.64</v>
      </c>
      <c r="GX81" s="4">
        <v>9.5820000000000007</v>
      </c>
      <c r="GY81" s="4">
        <v>16.672999999999998</v>
      </c>
      <c r="GZ81" s="4">
        <v>16.684000000000001</v>
      </c>
      <c r="HA81" s="4">
        <v>17.355</v>
      </c>
      <c r="HB81" s="4">
        <v>17.611000000000001</v>
      </c>
      <c r="HC81" s="4">
        <v>18.079999999999998</v>
      </c>
      <c r="HD81" s="4">
        <v>15.654999999999999</v>
      </c>
      <c r="HE81" s="4">
        <v>17.797000000000001</v>
      </c>
      <c r="HF81" s="4">
        <v>16.280999999999999</v>
      </c>
      <c r="HG81" s="4">
        <v>17.143999999999998</v>
      </c>
      <c r="HH81" s="4">
        <v>17.689</v>
      </c>
      <c r="HI81" s="4">
        <v>16.079000000000001</v>
      </c>
      <c r="HJ81" s="4">
        <v>17.95</v>
      </c>
      <c r="HK81" s="4">
        <v>15.851000000000001</v>
      </c>
      <c r="HL81" s="4">
        <v>16.853000000000002</v>
      </c>
      <c r="HM81" s="4">
        <v>17.550999999999998</v>
      </c>
      <c r="HN81" s="4">
        <v>16.870999999999999</v>
      </c>
      <c r="HO81" s="4">
        <v>17.808</v>
      </c>
      <c r="HP81" s="4">
        <v>17.329999999999998</v>
      </c>
      <c r="HQ81" s="4">
        <v>16.734999999999999</v>
      </c>
      <c r="HR81" s="4">
        <v>16.838000000000001</v>
      </c>
      <c r="HS81" s="4">
        <v>17.763999999999999</v>
      </c>
      <c r="HT81" s="4">
        <v>16.722999999999999</v>
      </c>
      <c r="HU81" s="4">
        <v>17.363</v>
      </c>
      <c r="HV81" s="4">
        <v>17.914999999999999</v>
      </c>
      <c r="HW81" s="4">
        <v>17.001999999999999</v>
      </c>
      <c r="HX81" s="4">
        <v>18.167000000000002</v>
      </c>
      <c r="HY81" s="4">
        <v>18.315000000000001</v>
      </c>
      <c r="HZ81" s="4">
        <v>16.66</v>
      </c>
      <c r="IA81" s="4">
        <v>16.216000000000001</v>
      </c>
      <c r="IB81" s="4">
        <v>17.300999999999998</v>
      </c>
      <c r="IC81" s="4">
        <v>17.372</v>
      </c>
      <c r="ID81" s="4">
        <v>17.88</v>
      </c>
      <c r="IE81" s="4">
        <v>18.373000000000001</v>
      </c>
      <c r="IF81" s="4">
        <v>18.148</v>
      </c>
      <c r="IG81" s="4">
        <v>17.692</v>
      </c>
      <c r="IH81" s="4">
        <v>14.013</v>
      </c>
      <c r="II81" s="4">
        <v>15.776</v>
      </c>
      <c r="IJ81" s="4">
        <v>18.184999999999999</v>
      </c>
      <c r="IK81" s="4">
        <v>18.087</v>
      </c>
      <c r="IL81" s="4">
        <v>16.516999999999999</v>
      </c>
      <c r="IM81" s="4">
        <v>18.329000000000001</v>
      </c>
      <c r="IN81" s="4">
        <v>16.876999999999999</v>
      </c>
      <c r="IO81" s="4">
        <v>17.324000000000002</v>
      </c>
      <c r="IP81" s="4">
        <v>17.939</v>
      </c>
      <c r="IQ81" s="4">
        <v>17.405000000000001</v>
      </c>
      <c r="IR81" s="4">
        <v>17.271999999999998</v>
      </c>
      <c r="IS81" s="4">
        <v>16.541</v>
      </c>
      <c r="IT81" s="4">
        <v>16.811</v>
      </c>
      <c r="IU81" s="4">
        <v>16.841999999999999</v>
      </c>
      <c r="IV81" s="4">
        <v>18.010999999999999</v>
      </c>
      <c r="IW81" s="4">
        <v>15.218</v>
      </c>
      <c r="IX81" s="4">
        <v>17.946999999999999</v>
      </c>
      <c r="IY81" s="4">
        <v>17.774999999999999</v>
      </c>
      <c r="IZ81" s="4">
        <v>17.501999999999999</v>
      </c>
      <c r="JA81" s="4">
        <v>17.061</v>
      </c>
      <c r="JB81" s="4">
        <v>17.574999999999999</v>
      </c>
      <c r="JC81" s="4">
        <v>16.661999999999999</v>
      </c>
      <c r="JD81" s="4">
        <v>16.363</v>
      </c>
      <c r="JE81" s="4">
        <v>17.428000000000001</v>
      </c>
      <c r="JF81" s="4">
        <v>16.577999999999999</v>
      </c>
      <c r="JG81" s="4">
        <v>17.983000000000001</v>
      </c>
      <c r="JH81" s="4">
        <v>16.425000000000001</v>
      </c>
      <c r="JI81" s="4">
        <v>17.658999999999999</v>
      </c>
      <c r="JJ81" s="4">
        <v>17.094999999999999</v>
      </c>
      <c r="JK81" s="4">
        <v>16.704000000000001</v>
      </c>
      <c r="JL81" s="4">
        <v>16.859000000000002</v>
      </c>
      <c r="JM81" s="4">
        <v>17.588999999999999</v>
      </c>
      <c r="JN81" s="4">
        <v>17.018999999999998</v>
      </c>
      <c r="JO81" s="4">
        <v>17.477</v>
      </c>
      <c r="JP81" s="4">
        <v>17.946999999999999</v>
      </c>
      <c r="JQ81" s="4">
        <v>17.004000000000001</v>
      </c>
      <c r="JR81" s="4">
        <v>16.449000000000002</v>
      </c>
      <c r="JS81" s="4">
        <v>16.443999999999999</v>
      </c>
      <c r="JT81" s="4">
        <v>18.292000000000002</v>
      </c>
      <c r="JU81" s="4">
        <v>17.905000000000001</v>
      </c>
      <c r="JV81" s="4">
        <v>17.978000000000002</v>
      </c>
      <c r="JW81" s="4">
        <v>17.021000000000001</v>
      </c>
      <c r="JX81" s="4">
        <v>16.472999999999999</v>
      </c>
      <c r="JY81" s="4">
        <v>16.738</v>
      </c>
      <c r="JZ81" s="4">
        <v>17.408000000000001</v>
      </c>
      <c r="KA81" s="4">
        <v>17.462</v>
      </c>
      <c r="KB81" s="4">
        <v>16.864999999999998</v>
      </c>
      <c r="KC81" s="4">
        <v>17.273</v>
      </c>
      <c r="KD81" s="4">
        <v>17.413</v>
      </c>
      <c r="KE81" s="4">
        <v>17.346</v>
      </c>
      <c r="KF81" s="4">
        <v>17.071999999999999</v>
      </c>
      <c r="KG81" s="4">
        <v>17.449000000000002</v>
      </c>
      <c r="KH81" s="4">
        <v>16.795000000000002</v>
      </c>
      <c r="KI81" s="4">
        <v>18.210999999999999</v>
      </c>
      <c r="KJ81" s="4">
        <v>15.917999999999999</v>
      </c>
      <c r="KK81" s="4">
        <v>16.491</v>
      </c>
      <c r="KL81" s="4">
        <v>16.088000000000001</v>
      </c>
      <c r="KM81" s="4">
        <v>16.599</v>
      </c>
      <c r="KN81" s="4">
        <v>16.329999999999998</v>
      </c>
      <c r="KO81" s="4">
        <v>16.498000000000001</v>
      </c>
      <c r="KP81" s="4">
        <v>17.725000000000001</v>
      </c>
      <c r="KQ81" s="4">
        <v>15.907</v>
      </c>
      <c r="KR81" s="4">
        <v>16.22</v>
      </c>
      <c r="KS81" s="4">
        <v>16.254000000000001</v>
      </c>
    </row>
    <row r="82" spans="1:305" x14ac:dyDescent="0.25">
      <c r="A82" s="4">
        <v>2020</v>
      </c>
      <c r="B82" s="4">
        <v>7</v>
      </c>
      <c r="C82" s="4">
        <v>10.608000000000001</v>
      </c>
      <c r="D82" s="4">
        <v>16.768000000000001</v>
      </c>
      <c r="E82" s="4">
        <v>15.05</v>
      </c>
      <c r="F82" s="4">
        <v>14.552</v>
      </c>
      <c r="G82" s="4">
        <v>14.302</v>
      </c>
      <c r="H82" s="4">
        <v>12.215</v>
      </c>
      <c r="I82" s="4">
        <v>14.31</v>
      </c>
      <c r="J82" s="4">
        <v>13.945</v>
      </c>
      <c r="K82" s="4">
        <v>14.727</v>
      </c>
      <c r="L82" s="4">
        <v>15.5</v>
      </c>
      <c r="M82" s="4">
        <v>12.93</v>
      </c>
      <c r="N82" s="4">
        <v>15.811</v>
      </c>
      <c r="O82" s="4">
        <v>10.398999999999999</v>
      </c>
      <c r="P82" s="4">
        <v>13.845000000000001</v>
      </c>
      <c r="Q82" s="4">
        <v>11.88</v>
      </c>
      <c r="R82" s="4">
        <v>11.89</v>
      </c>
      <c r="S82" s="4">
        <v>14.214</v>
      </c>
      <c r="T82" s="4">
        <v>14.481</v>
      </c>
      <c r="U82" s="4">
        <v>14.951000000000001</v>
      </c>
      <c r="V82" s="4">
        <v>15.553000000000001</v>
      </c>
      <c r="W82" s="4">
        <v>14.702</v>
      </c>
      <c r="X82" s="4">
        <v>15.487</v>
      </c>
      <c r="Y82" s="4">
        <v>14.375999999999999</v>
      </c>
      <c r="Z82" s="4">
        <v>13.090999999999999</v>
      </c>
      <c r="AA82" s="4">
        <v>15.576000000000001</v>
      </c>
      <c r="AB82" s="4">
        <v>14.340999999999999</v>
      </c>
      <c r="AC82" s="4">
        <v>14.148999999999999</v>
      </c>
      <c r="AD82" s="4">
        <v>14.217000000000001</v>
      </c>
      <c r="AE82" s="4">
        <v>13.757999999999999</v>
      </c>
      <c r="AF82" s="4">
        <v>16.827000000000002</v>
      </c>
      <c r="AG82" s="4">
        <v>13.782999999999999</v>
      </c>
      <c r="AH82" s="4">
        <v>16.148</v>
      </c>
      <c r="AI82" s="4">
        <v>12.090999999999999</v>
      </c>
      <c r="AJ82" s="4">
        <v>14.845000000000001</v>
      </c>
      <c r="AK82" s="4">
        <v>15.682</v>
      </c>
      <c r="AL82" s="4">
        <v>16.417999999999999</v>
      </c>
      <c r="AM82" s="4">
        <v>13.791</v>
      </c>
      <c r="AN82" s="4">
        <v>16.681999999999999</v>
      </c>
      <c r="AO82" s="4">
        <v>14.555</v>
      </c>
      <c r="AP82" s="4">
        <v>14.179</v>
      </c>
      <c r="AQ82" s="4">
        <v>12.68</v>
      </c>
      <c r="AR82" s="4">
        <v>13.282</v>
      </c>
      <c r="AS82" s="4">
        <v>14.131</v>
      </c>
      <c r="AT82" s="4">
        <v>14.135999999999999</v>
      </c>
      <c r="AU82" s="4">
        <v>15.055</v>
      </c>
      <c r="AV82" s="4">
        <v>15.849</v>
      </c>
      <c r="AW82" s="4">
        <v>15.831</v>
      </c>
      <c r="AX82" s="4">
        <v>15.57</v>
      </c>
      <c r="AY82" s="4">
        <v>14.477</v>
      </c>
      <c r="AZ82" s="4">
        <v>14.522</v>
      </c>
      <c r="BA82" s="4">
        <v>15.596</v>
      </c>
      <c r="BB82" s="4">
        <v>13.878</v>
      </c>
      <c r="BC82" s="4">
        <v>16.25</v>
      </c>
      <c r="BD82" s="4">
        <v>14.073</v>
      </c>
      <c r="BE82" s="4">
        <v>14.433999999999999</v>
      </c>
      <c r="BF82" s="4">
        <v>13.709</v>
      </c>
      <c r="BG82" s="4">
        <v>15.108000000000001</v>
      </c>
      <c r="BH82" s="4">
        <v>15.432</v>
      </c>
      <c r="BI82" s="4">
        <v>15.725</v>
      </c>
      <c r="BJ82" s="4">
        <v>11.651999999999999</v>
      </c>
      <c r="BK82" s="4">
        <v>14.535</v>
      </c>
      <c r="BL82" s="4">
        <v>12.315</v>
      </c>
      <c r="BM82" s="4">
        <v>11.91</v>
      </c>
      <c r="BN82" s="4">
        <v>13.151</v>
      </c>
      <c r="BO82" s="4">
        <v>12.356</v>
      </c>
      <c r="BP82" s="4">
        <v>15.211</v>
      </c>
      <c r="BQ82" s="4">
        <v>13.96</v>
      </c>
      <c r="BR82" s="4">
        <v>15.946</v>
      </c>
      <c r="BS82" s="4">
        <v>15.657999999999999</v>
      </c>
      <c r="BT82" s="4">
        <v>14.775</v>
      </c>
      <c r="BU82" s="4">
        <v>14.656000000000001</v>
      </c>
      <c r="BV82" s="4">
        <v>16.350999999999999</v>
      </c>
      <c r="BW82" s="4">
        <v>13.465</v>
      </c>
      <c r="BX82" s="4">
        <v>13.834</v>
      </c>
      <c r="BY82" s="4">
        <v>15.151999999999999</v>
      </c>
      <c r="BZ82" s="4">
        <v>15.471</v>
      </c>
      <c r="CA82" s="4">
        <v>15.567</v>
      </c>
      <c r="CB82" s="4">
        <v>14.785</v>
      </c>
      <c r="CC82" s="4">
        <v>12.891</v>
      </c>
      <c r="CD82" s="4">
        <v>15.877000000000001</v>
      </c>
      <c r="CE82" s="4">
        <v>14.858000000000001</v>
      </c>
      <c r="CF82" s="4">
        <v>14.510999999999999</v>
      </c>
      <c r="CG82" s="4">
        <v>15.138</v>
      </c>
      <c r="CH82" s="4">
        <v>14.635</v>
      </c>
      <c r="CI82" s="4">
        <v>14.465</v>
      </c>
      <c r="CJ82" s="4">
        <v>10.672000000000001</v>
      </c>
      <c r="CK82" s="4">
        <v>15.907999999999999</v>
      </c>
      <c r="CL82" s="4">
        <v>10.35</v>
      </c>
      <c r="CM82" s="4">
        <v>16.516999999999999</v>
      </c>
      <c r="CN82" s="4">
        <v>14.243</v>
      </c>
      <c r="CO82" s="4">
        <v>14.624000000000001</v>
      </c>
      <c r="CP82" s="4">
        <v>14.096</v>
      </c>
      <c r="CQ82" s="4">
        <v>15.872999999999999</v>
      </c>
      <c r="CR82" s="4">
        <v>15.888</v>
      </c>
      <c r="CS82" s="4">
        <v>15.06</v>
      </c>
      <c r="CT82" s="4">
        <v>15.087</v>
      </c>
      <c r="CU82" s="4">
        <v>14.813000000000001</v>
      </c>
      <c r="CV82" s="4">
        <v>16.216000000000001</v>
      </c>
      <c r="CW82" s="4">
        <v>15.003</v>
      </c>
      <c r="CX82" s="4">
        <v>15.393000000000001</v>
      </c>
      <c r="CY82" s="4">
        <v>14.192</v>
      </c>
      <c r="CZ82" s="4">
        <v>16.716999999999999</v>
      </c>
      <c r="DA82" s="4">
        <v>13.348000000000001</v>
      </c>
      <c r="DB82" s="4">
        <v>14.515000000000001</v>
      </c>
      <c r="DC82" s="4">
        <v>13.345000000000001</v>
      </c>
      <c r="DD82" s="4">
        <v>14.38</v>
      </c>
      <c r="DE82" s="4">
        <v>16.420999999999999</v>
      </c>
      <c r="DF82" s="4">
        <v>12.769</v>
      </c>
      <c r="DG82" s="4">
        <v>15.146000000000001</v>
      </c>
      <c r="DH82" s="4">
        <v>15.483000000000001</v>
      </c>
      <c r="DI82" s="4">
        <v>14.33</v>
      </c>
      <c r="DJ82" s="4">
        <v>16.120999999999999</v>
      </c>
      <c r="DK82" s="4">
        <v>14.782</v>
      </c>
      <c r="DL82" s="4">
        <v>15.646000000000001</v>
      </c>
      <c r="DM82" s="4">
        <v>16.07</v>
      </c>
      <c r="DN82" s="4">
        <v>14.471</v>
      </c>
      <c r="DO82" s="4">
        <v>14.528</v>
      </c>
      <c r="DP82" s="4">
        <v>11.951000000000001</v>
      </c>
      <c r="DQ82" s="4">
        <v>15.023999999999999</v>
      </c>
      <c r="DR82" s="4">
        <v>15.006</v>
      </c>
      <c r="DS82" s="4">
        <v>15.801</v>
      </c>
      <c r="DT82" s="4">
        <v>15.635</v>
      </c>
      <c r="DU82" s="4">
        <v>13.602</v>
      </c>
      <c r="DV82" s="4">
        <v>14.098000000000001</v>
      </c>
      <c r="DW82" s="4">
        <v>15.648</v>
      </c>
      <c r="DX82" s="4">
        <v>14.702</v>
      </c>
      <c r="DY82" s="4">
        <v>15.202</v>
      </c>
      <c r="DZ82" s="4">
        <v>15.205</v>
      </c>
      <c r="EA82" s="4">
        <v>15.451000000000001</v>
      </c>
      <c r="EB82" s="4">
        <v>15.837999999999999</v>
      </c>
      <c r="EC82" s="4">
        <v>11.94</v>
      </c>
      <c r="ED82" s="4">
        <v>15.367000000000001</v>
      </c>
      <c r="EE82" s="4">
        <v>16.102</v>
      </c>
      <c r="EF82" s="4">
        <v>14.896000000000001</v>
      </c>
      <c r="EG82" s="4">
        <v>15.026999999999999</v>
      </c>
      <c r="EH82" s="4">
        <v>13.302</v>
      </c>
      <c r="EI82" s="4">
        <v>14.667999999999999</v>
      </c>
      <c r="EJ82" s="4">
        <v>14.709</v>
      </c>
      <c r="EK82" s="4">
        <v>16.667999999999999</v>
      </c>
      <c r="EL82" s="4">
        <v>14.961</v>
      </c>
      <c r="EM82" s="4">
        <v>14.895</v>
      </c>
      <c r="EN82" s="4">
        <v>14.746</v>
      </c>
      <c r="EO82" s="4">
        <v>15.74</v>
      </c>
      <c r="EP82" s="4">
        <v>14.4</v>
      </c>
      <c r="EQ82" s="4">
        <v>13.736000000000001</v>
      </c>
      <c r="ER82" s="4">
        <v>16.407</v>
      </c>
      <c r="ES82" s="4">
        <v>13.836</v>
      </c>
      <c r="ET82" s="4">
        <v>14.689</v>
      </c>
      <c r="EU82" s="4">
        <v>16.105</v>
      </c>
      <c r="EV82" s="4">
        <v>13.053000000000001</v>
      </c>
      <c r="EW82" s="4">
        <v>15.396000000000001</v>
      </c>
      <c r="EX82" s="4">
        <v>12.111000000000001</v>
      </c>
      <c r="EY82" s="4">
        <v>14.856999999999999</v>
      </c>
      <c r="EZ82" s="4">
        <v>16.471</v>
      </c>
      <c r="FA82" s="4">
        <v>12.224</v>
      </c>
      <c r="FB82" s="4">
        <v>15.106999999999999</v>
      </c>
      <c r="FC82" s="4">
        <v>14.371</v>
      </c>
      <c r="FD82" s="4">
        <v>15.792</v>
      </c>
      <c r="FE82" s="4">
        <v>14.792</v>
      </c>
      <c r="FF82" s="4">
        <v>15.132999999999999</v>
      </c>
      <c r="FG82" s="4">
        <v>15.423999999999999</v>
      </c>
      <c r="FH82" s="4">
        <v>16.57</v>
      </c>
      <c r="FI82" s="4">
        <v>13.569000000000001</v>
      </c>
      <c r="FJ82" s="4">
        <v>16.475000000000001</v>
      </c>
      <c r="FK82" s="4">
        <v>15.286</v>
      </c>
      <c r="FL82" s="4">
        <v>14.843999999999999</v>
      </c>
      <c r="FM82" s="4">
        <v>13.651</v>
      </c>
      <c r="FN82" s="4">
        <v>16.638000000000002</v>
      </c>
      <c r="FO82" s="4">
        <v>13.848000000000001</v>
      </c>
      <c r="FP82" s="4">
        <v>14.571</v>
      </c>
      <c r="FQ82" s="4">
        <v>14.577</v>
      </c>
      <c r="FR82" s="4">
        <v>14.191000000000001</v>
      </c>
      <c r="FS82" s="4">
        <v>14.11</v>
      </c>
      <c r="FT82" s="4">
        <v>15.904</v>
      </c>
      <c r="FU82" s="4">
        <v>15.787000000000001</v>
      </c>
      <c r="FV82" s="4">
        <v>12.582000000000001</v>
      </c>
      <c r="FW82" s="4">
        <v>15.712</v>
      </c>
      <c r="FX82" s="4">
        <v>15.864000000000001</v>
      </c>
      <c r="FY82" s="4">
        <v>16.134</v>
      </c>
      <c r="FZ82" s="4">
        <v>15.724</v>
      </c>
      <c r="GA82" s="4">
        <v>14.343</v>
      </c>
      <c r="GB82" s="4">
        <v>15.701000000000001</v>
      </c>
      <c r="GC82" s="4">
        <v>14.805</v>
      </c>
      <c r="GD82" s="4">
        <v>15.098000000000001</v>
      </c>
      <c r="GE82" s="4">
        <v>15.208</v>
      </c>
      <c r="GF82" s="4">
        <v>14.521000000000001</v>
      </c>
      <c r="GG82" s="4">
        <v>13.97</v>
      </c>
      <c r="GH82" s="4">
        <v>13.167</v>
      </c>
      <c r="GI82" s="4">
        <v>15.254</v>
      </c>
      <c r="GJ82" s="4">
        <v>14.398999999999999</v>
      </c>
      <c r="GK82" s="4">
        <v>16.277000000000001</v>
      </c>
      <c r="GL82" s="4">
        <v>16.387</v>
      </c>
      <c r="GM82" s="3"/>
      <c r="GN82" s="4">
        <v>11.888</v>
      </c>
      <c r="GO82" s="4">
        <v>15.372</v>
      </c>
      <c r="GP82" s="4">
        <v>12.926</v>
      </c>
      <c r="GQ82" s="4">
        <v>14.49</v>
      </c>
      <c r="GR82" s="4">
        <v>14.619</v>
      </c>
      <c r="GS82" s="4">
        <v>15.787000000000001</v>
      </c>
      <c r="GT82" s="4">
        <v>13.941000000000001</v>
      </c>
      <c r="GU82" s="4">
        <v>15.122</v>
      </c>
      <c r="GV82" s="4">
        <v>14.105</v>
      </c>
      <c r="GW82" s="4">
        <v>13.242000000000001</v>
      </c>
      <c r="GX82" s="4">
        <v>10.33</v>
      </c>
      <c r="GY82" s="4">
        <v>14.026999999999999</v>
      </c>
      <c r="GZ82" s="4">
        <v>15.692</v>
      </c>
      <c r="HA82" s="4">
        <v>14.58</v>
      </c>
      <c r="HB82" s="4">
        <v>14.877000000000001</v>
      </c>
      <c r="HC82" s="4">
        <v>16.457000000000001</v>
      </c>
      <c r="HD82" s="4">
        <v>10.81</v>
      </c>
      <c r="HE82" s="4">
        <v>14.978999999999999</v>
      </c>
      <c r="HF82" s="4">
        <v>10.909000000000001</v>
      </c>
      <c r="HG82" s="4">
        <v>14.84</v>
      </c>
      <c r="HH82" s="4">
        <v>14.173999999999999</v>
      </c>
      <c r="HI82" s="4">
        <v>13.884</v>
      </c>
      <c r="HJ82" s="4">
        <v>16.081</v>
      </c>
      <c r="HK82" s="4">
        <v>15.78</v>
      </c>
      <c r="HL82" s="4">
        <v>15.422000000000001</v>
      </c>
      <c r="HM82" s="4">
        <v>14.488</v>
      </c>
      <c r="HN82" s="4">
        <v>14.21</v>
      </c>
      <c r="HO82" s="4">
        <v>14.388</v>
      </c>
      <c r="HP82" s="4">
        <v>14.417999999999999</v>
      </c>
      <c r="HQ82" s="4">
        <v>15.679</v>
      </c>
      <c r="HR82" s="4">
        <v>15.363</v>
      </c>
      <c r="HS82" s="4">
        <v>14.105</v>
      </c>
      <c r="HT82" s="4">
        <v>15.173</v>
      </c>
      <c r="HU82" s="4">
        <v>16.018999999999998</v>
      </c>
      <c r="HV82" s="4">
        <v>16.298999999999999</v>
      </c>
      <c r="HW82" s="4">
        <v>13.48</v>
      </c>
      <c r="HX82" s="4">
        <v>16.576000000000001</v>
      </c>
      <c r="HY82" s="4">
        <v>16.763000000000002</v>
      </c>
      <c r="HZ82" s="4">
        <v>15.66</v>
      </c>
      <c r="IA82" s="4">
        <v>12.472</v>
      </c>
      <c r="IB82" s="4">
        <v>15.397</v>
      </c>
      <c r="IC82" s="4">
        <v>16.088000000000001</v>
      </c>
      <c r="ID82" s="4">
        <v>15.064</v>
      </c>
      <c r="IE82" s="4">
        <v>16.777999999999999</v>
      </c>
      <c r="IF82" s="4">
        <v>16.606999999999999</v>
      </c>
      <c r="IG82" s="4">
        <v>14.103</v>
      </c>
      <c r="IH82" s="4">
        <v>9.2119999999999997</v>
      </c>
      <c r="II82" s="4">
        <v>12.202</v>
      </c>
      <c r="IJ82" s="4">
        <v>16.164000000000001</v>
      </c>
      <c r="IK82" s="4">
        <v>15.314</v>
      </c>
      <c r="IL82" s="4">
        <v>12.420999999999999</v>
      </c>
      <c r="IM82" s="4">
        <v>16.748000000000001</v>
      </c>
      <c r="IN82" s="4">
        <v>14.472</v>
      </c>
      <c r="IO82" s="4">
        <v>13.789</v>
      </c>
      <c r="IP82" s="4">
        <v>15.196999999999999</v>
      </c>
      <c r="IQ82" s="4">
        <v>15.638999999999999</v>
      </c>
      <c r="IR82" s="4">
        <v>16.093</v>
      </c>
      <c r="IS82" s="4">
        <v>11.704000000000001</v>
      </c>
      <c r="IT82" s="4">
        <v>13.87</v>
      </c>
      <c r="IU82" s="4">
        <v>11.791</v>
      </c>
      <c r="IV82" s="4">
        <v>16.530999999999999</v>
      </c>
      <c r="IW82" s="4">
        <v>9.6310000000000002</v>
      </c>
      <c r="IX82" s="4">
        <v>14.907</v>
      </c>
      <c r="IY82" s="4">
        <v>15.093</v>
      </c>
      <c r="IZ82" s="4">
        <v>14.821</v>
      </c>
      <c r="JA82" s="4">
        <v>14.272</v>
      </c>
      <c r="JB82" s="4">
        <v>15.127000000000001</v>
      </c>
      <c r="JC82" s="4">
        <v>14.209</v>
      </c>
      <c r="JD82" s="4">
        <v>14.805</v>
      </c>
      <c r="JE82" s="4">
        <v>15.385</v>
      </c>
      <c r="JF82" s="4">
        <v>15.529</v>
      </c>
      <c r="JG82" s="4">
        <v>15.013</v>
      </c>
      <c r="JH82" s="4">
        <v>16.169</v>
      </c>
      <c r="JI82" s="4">
        <v>13.721</v>
      </c>
      <c r="JJ82" s="4">
        <v>14.693</v>
      </c>
      <c r="JK82" s="4">
        <v>13.77</v>
      </c>
      <c r="JL82" s="4">
        <v>16.227</v>
      </c>
      <c r="JM82" s="4">
        <v>14.983000000000001</v>
      </c>
      <c r="JN82" s="4">
        <v>15.928000000000001</v>
      </c>
      <c r="JO82" s="4">
        <v>16.355</v>
      </c>
      <c r="JP82" s="4">
        <v>15.074999999999999</v>
      </c>
      <c r="JQ82" s="4">
        <v>14.51</v>
      </c>
      <c r="JR82" s="4">
        <v>13.601000000000001</v>
      </c>
      <c r="JS82" s="4">
        <v>14.17</v>
      </c>
      <c r="JT82" s="4">
        <v>16.504000000000001</v>
      </c>
      <c r="JU82" s="4">
        <v>16.253</v>
      </c>
      <c r="JV82" s="4">
        <v>15.891</v>
      </c>
      <c r="JW82" s="4">
        <v>15.239000000000001</v>
      </c>
      <c r="JX82" s="4">
        <v>13.968</v>
      </c>
      <c r="JY82" s="4">
        <v>16.210999999999999</v>
      </c>
      <c r="JZ82" s="4">
        <v>15.731999999999999</v>
      </c>
      <c r="KA82" s="4">
        <v>14.991</v>
      </c>
      <c r="KB82" s="4">
        <v>13.638</v>
      </c>
      <c r="KC82" s="4">
        <v>12.848000000000001</v>
      </c>
      <c r="KD82" s="4">
        <v>14.518000000000001</v>
      </c>
      <c r="KE82" s="4">
        <v>15.57</v>
      </c>
      <c r="KF82" s="4">
        <v>14.298</v>
      </c>
      <c r="KG82" s="4">
        <v>16.501000000000001</v>
      </c>
      <c r="KH82" s="4">
        <v>14.313000000000001</v>
      </c>
      <c r="KI82" s="4">
        <v>15.808</v>
      </c>
      <c r="KJ82" s="4">
        <v>16.404</v>
      </c>
      <c r="KK82" s="4">
        <v>14.452</v>
      </c>
      <c r="KL82" s="4">
        <v>14.319000000000001</v>
      </c>
      <c r="KM82" s="4">
        <v>12.368</v>
      </c>
      <c r="KN82" s="4">
        <v>15.307</v>
      </c>
      <c r="KO82" s="4">
        <v>13.196999999999999</v>
      </c>
      <c r="KP82" s="4">
        <v>15.496</v>
      </c>
      <c r="KQ82" s="4">
        <v>16.446000000000002</v>
      </c>
      <c r="KR82" s="4">
        <v>14.34</v>
      </c>
      <c r="KS82" s="4">
        <v>15.734999999999999</v>
      </c>
    </row>
    <row r="83" spans="1:305" x14ac:dyDescent="0.25">
      <c r="A83" s="4">
        <v>2020</v>
      </c>
      <c r="B83" s="4">
        <v>8</v>
      </c>
      <c r="C83" s="4">
        <v>10.157999999999999</v>
      </c>
      <c r="D83" s="4">
        <v>18.754000000000001</v>
      </c>
      <c r="E83" s="4">
        <v>17.425999999999998</v>
      </c>
      <c r="F83" s="4">
        <v>16.844000000000001</v>
      </c>
      <c r="G83" s="4">
        <v>16.776</v>
      </c>
      <c r="H83" s="4">
        <v>14.406000000000001</v>
      </c>
      <c r="I83" s="4">
        <v>16.715</v>
      </c>
      <c r="J83" s="4">
        <v>13.807</v>
      </c>
      <c r="K83" s="4">
        <v>16.670000000000002</v>
      </c>
      <c r="L83" s="4">
        <v>18.395</v>
      </c>
      <c r="M83" s="4">
        <v>14.505000000000001</v>
      </c>
      <c r="N83" s="4">
        <v>17.939</v>
      </c>
      <c r="O83" s="4">
        <v>12.459</v>
      </c>
      <c r="P83" s="4">
        <v>15.840999999999999</v>
      </c>
      <c r="Q83" s="4">
        <v>12.117000000000001</v>
      </c>
      <c r="R83" s="4">
        <v>12.605</v>
      </c>
      <c r="S83" s="4">
        <v>16.094000000000001</v>
      </c>
      <c r="T83" s="4">
        <v>17.013999999999999</v>
      </c>
      <c r="U83" s="4">
        <v>17.297000000000001</v>
      </c>
      <c r="V83" s="4">
        <v>17.62</v>
      </c>
      <c r="W83" s="4">
        <v>16.684000000000001</v>
      </c>
      <c r="X83" s="4">
        <v>18.245999999999999</v>
      </c>
      <c r="Y83" s="4">
        <v>16.584</v>
      </c>
      <c r="Z83" s="4">
        <v>14.122999999999999</v>
      </c>
      <c r="AA83" s="4">
        <v>18.780999999999999</v>
      </c>
      <c r="AB83" s="4">
        <v>14.089</v>
      </c>
      <c r="AC83" s="4">
        <v>16.632999999999999</v>
      </c>
      <c r="AD83" s="4">
        <v>16.244</v>
      </c>
      <c r="AE83" s="4">
        <v>16.451000000000001</v>
      </c>
      <c r="AF83" s="4">
        <v>18.431999999999999</v>
      </c>
      <c r="AG83" s="4">
        <v>16.093</v>
      </c>
      <c r="AH83" s="4">
        <v>17.837</v>
      </c>
      <c r="AI83" s="4">
        <v>13.661</v>
      </c>
      <c r="AJ83" s="4">
        <v>17.443999999999999</v>
      </c>
      <c r="AK83" s="4">
        <v>17.943999999999999</v>
      </c>
      <c r="AL83" s="4">
        <v>19.452000000000002</v>
      </c>
      <c r="AM83" s="4">
        <v>15.64</v>
      </c>
      <c r="AN83" s="4">
        <v>18.556000000000001</v>
      </c>
      <c r="AO83" s="4">
        <v>16.779</v>
      </c>
      <c r="AP83" s="4">
        <v>15.845000000000001</v>
      </c>
      <c r="AQ83" s="4">
        <v>13.464</v>
      </c>
      <c r="AR83" s="4">
        <v>15.353</v>
      </c>
      <c r="AS83" s="4">
        <v>16.364999999999998</v>
      </c>
      <c r="AT83" s="4">
        <v>16.821000000000002</v>
      </c>
      <c r="AU83" s="4">
        <v>16.919</v>
      </c>
      <c r="AV83" s="4">
        <v>17.876000000000001</v>
      </c>
      <c r="AW83" s="4">
        <v>17.901</v>
      </c>
      <c r="AX83" s="4">
        <v>18.744</v>
      </c>
      <c r="AY83" s="4">
        <v>16.960999999999999</v>
      </c>
      <c r="AZ83" s="4">
        <v>16.832999999999998</v>
      </c>
      <c r="BA83" s="4">
        <v>18.068000000000001</v>
      </c>
      <c r="BB83" s="4">
        <v>16.718</v>
      </c>
      <c r="BC83" s="4">
        <v>18.920999999999999</v>
      </c>
      <c r="BD83" s="4">
        <v>16.344999999999999</v>
      </c>
      <c r="BE83" s="4">
        <v>16.695</v>
      </c>
      <c r="BF83" s="4">
        <v>15.917999999999999</v>
      </c>
      <c r="BG83" s="4">
        <v>16.780999999999999</v>
      </c>
      <c r="BH83" s="4">
        <v>17.41</v>
      </c>
      <c r="BI83" s="4">
        <v>17.526</v>
      </c>
      <c r="BJ83" s="4">
        <v>13.156000000000001</v>
      </c>
      <c r="BK83" s="4">
        <v>16.7</v>
      </c>
      <c r="BL83" s="4">
        <v>13.492000000000001</v>
      </c>
      <c r="BM83" s="4">
        <v>12.784000000000001</v>
      </c>
      <c r="BN83" s="4">
        <v>15.449</v>
      </c>
      <c r="BO83" s="4">
        <v>11.776999999999999</v>
      </c>
      <c r="BP83" s="4">
        <v>17.181999999999999</v>
      </c>
      <c r="BQ83" s="4">
        <v>16.667999999999999</v>
      </c>
      <c r="BR83" s="4">
        <v>17.545999999999999</v>
      </c>
      <c r="BS83" s="4">
        <v>18.146000000000001</v>
      </c>
      <c r="BT83" s="4">
        <v>17.427</v>
      </c>
      <c r="BU83" s="4">
        <v>17.119</v>
      </c>
      <c r="BV83" s="4">
        <v>18.215</v>
      </c>
      <c r="BW83" s="4">
        <v>15.596</v>
      </c>
      <c r="BX83" s="4">
        <v>16.094999999999999</v>
      </c>
      <c r="BY83" s="4">
        <v>17.259</v>
      </c>
      <c r="BZ83" s="4">
        <v>17.387</v>
      </c>
      <c r="CA83" s="4">
        <v>18.312000000000001</v>
      </c>
      <c r="CB83" s="4">
        <v>16.620999999999999</v>
      </c>
      <c r="CC83" s="4">
        <v>14.114000000000001</v>
      </c>
      <c r="CD83" s="4">
        <v>17.248999999999999</v>
      </c>
      <c r="CE83" s="4">
        <v>14.192</v>
      </c>
      <c r="CF83" s="4">
        <v>15.835000000000001</v>
      </c>
      <c r="CG83" s="4">
        <v>17.797000000000001</v>
      </c>
      <c r="CH83" s="4">
        <v>16.98</v>
      </c>
      <c r="CI83" s="4">
        <v>16.613</v>
      </c>
      <c r="CJ83" s="4">
        <v>12.912000000000001</v>
      </c>
      <c r="CK83" s="4">
        <v>19.033000000000001</v>
      </c>
      <c r="CL83" s="4">
        <v>10.353999999999999</v>
      </c>
      <c r="CM83" s="4">
        <v>17.954999999999998</v>
      </c>
      <c r="CN83" s="4">
        <v>16.751000000000001</v>
      </c>
      <c r="CO83" s="4">
        <v>17.117999999999999</v>
      </c>
      <c r="CP83" s="4">
        <v>16.353999999999999</v>
      </c>
      <c r="CQ83" s="4">
        <v>18.669</v>
      </c>
      <c r="CR83" s="4">
        <v>17.623000000000001</v>
      </c>
      <c r="CS83" s="4">
        <v>17.981999999999999</v>
      </c>
      <c r="CT83" s="4">
        <v>18.206</v>
      </c>
      <c r="CU83" s="4">
        <v>17.100999999999999</v>
      </c>
      <c r="CV83" s="4">
        <v>17.928999999999998</v>
      </c>
      <c r="CW83" s="4">
        <v>16.492999999999999</v>
      </c>
      <c r="CX83" s="4">
        <v>17.466000000000001</v>
      </c>
      <c r="CY83" s="4">
        <v>16.72</v>
      </c>
      <c r="CZ83" s="4">
        <v>18.739999999999998</v>
      </c>
      <c r="DA83" s="4">
        <v>13.241</v>
      </c>
      <c r="DB83" s="4">
        <v>17.145</v>
      </c>
      <c r="DC83" s="4">
        <v>14.326000000000001</v>
      </c>
      <c r="DD83" s="4">
        <v>13.901</v>
      </c>
      <c r="DE83" s="4">
        <v>17.728000000000002</v>
      </c>
      <c r="DF83" s="4">
        <v>11.552</v>
      </c>
      <c r="DG83" s="4">
        <v>17.387</v>
      </c>
      <c r="DH83" s="4">
        <v>17.452000000000002</v>
      </c>
      <c r="DI83" s="4">
        <v>16.489999999999998</v>
      </c>
      <c r="DJ83" s="4">
        <v>18.315999999999999</v>
      </c>
      <c r="DK83" s="4">
        <v>16.73</v>
      </c>
      <c r="DL83" s="4">
        <v>17.497</v>
      </c>
      <c r="DM83" s="4">
        <v>19.186</v>
      </c>
      <c r="DN83" s="4">
        <v>16.603999999999999</v>
      </c>
      <c r="DO83" s="4">
        <v>17.227</v>
      </c>
      <c r="DP83" s="4">
        <v>11.458</v>
      </c>
      <c r="DQ83" s="4">
        <v>17.167999999999999</v>
      </c>
      <c r="DR83" s="4">
        <v>17.925999999999998</v>
      </c>
      <c r="DS83" s="4">
        <v>17.57</v>
      </c>
      <c r="DT83" s="4">
        <v>17.635000000000002</v>
      </c>
      <c r="DU83" s="4">
        <v>15.911</v>
      </c>
      <c r="DV83" s="4">
        <v>15.36</v>
      </c>
      <c r="DW83" s="4">
        <v>17.974</v>
      </c>
      <c r="DX83" s="4">
        <v>16.699000000000002</v>
      </c>
      <c r="DY83" s="4">
        <v>17.321999999999999</v>
      </c>
      <c r="DZ83" s="4">
        <v>17.635999999999999</v>
      </c>
      <c r="EA83" s="4">
        <v>18.071999999999999</v>
      </c>
      <c r="EB83" s="4">
        <v>17.95</v>
      </c>
      <c r="EC83" s="4">
        <v>11.278</v>
      </c>
      <c r="ED83" s="4">
        <v>18.047999999999998</v>
      </c>
      <c r="EE83" s="4">
        <v>19.108000000000001</v>
      </c>
      <c r="EF83" s="4">
        <v>17.285</v>
      </c>
      <c r="EG83" s="4">
        <v>17.178000000000001</v>
      </c>
      <c r="EH83" s="4">
        <v>15.568</v>
      </c>
      <c r="EI83" s="4">
        <v>17.164999999999999</v>
      </c>
      <c r="EJ83" s="4">
        <v>16.670999999999999</v>
      </c>
      <c r="EK83" s="4">
        <v>18.462</v>
      </c>
      <c r="EL83" s="4">
        <v>17.655999999999999</v>
      </c>
      <c r="EM83" s="4">
        <v>17.103000000000002</v>
      </c>
      <c r="EN83" s="4">
        <v>16.838999999999999</v>
      </c>
      <c r="EO83" s="4">
        <v>18.052</v>
      </c>
      <c r="EP83" s="4">
        <v>16.88</v>
      </c>
      <c r="EQ83" s="4">
        <v>15.686999999999999</v>
      </c>
      <c r="ER83" s="4">
        <v>19.45</v>
      </c>
      <c r="ES83" s="4">
        <v>16.309999999999999</v>
      </c>
      <c r="ET83" s="4">
        <v>14.592000000000001</v>
      </c>
      <c r="EU83" s="4">
        <v>19.262</v>
      </c>
      <c r="EV83" s="4">
        <v>13.792</v>
      </c>
      <c r="EW83" s="4">
        <v>17.402999999999999</v>
      </c>
      <c r="EX83" s="4">
        <v>12.859</v>
      </c>
      <c r="EY83" s="4">
        <v>17.221</v>
      </c>
      <c r="EZ83" s="4">
        <v>19.463000000000001</v>
      </c>
      <c r="FA83" s="4">
        <v>14.452</v>
      </c>
      <c r="FB83" s="4">
        <v>17.492000000000001</v>
      </c>
      <c r="FC83" s="4">
        <v>17.247</v>
      </c>
      <c r="FD83" s="4">
        <v>17.71</v>
      </c>
      <c r="FE83" s="4">
        <v>17.259</v>
      </c>
      <c r="FF83" s="4">
        <v>17.460999999999999</v>
      </c>
      <c r="FG83" s="4">
        <v>18.015000000000001</v>
      </c>
      <c r="FH83" s="4">
        <v>18.004999999999999</v>
      </c>
      <c r="FI83" s="4">
        <v>15.794</v>
      </c>
      <c r="FJ83" s="4">
        <v>17.753</v>
      </c>
      <c r="FK83" s="4">
        <v>17.667999999999999</v>
      </c>
      <c r="FL83" s="4">
        <v>16.925000000000001</v>
      </c>
      <c r="FM83" s="4">
        <v>15.994</v>
      </c>
      <c r="FN83" s="4">
        <v>18.446999999999999</v>
      </c>
      <c r="FO83" s="4">
        <v>16.646000000000001</v>
      </c>
      <c r="FP83" s="4">
        <v>16.747</v>
      </c>
      <c r="FQ83" s="4">
        <v>16.745000000000001</v>
      </c>
      <c r="FR83" s="4">
        <v>15.869</v>
      </c>
      <c r="FS83" s="4">
        <v>14.757999999999999</v>
      </c>
      <c r="FT83" s="4">
        <v>18.052</v>
      </c>
      <c r="FU83" s="4">
        <v>17.466999999999999</v>
      </c>
      <c r="FV83" s="4">
        <v>13.339</v>
      </c>
      <c r="FW83" s="4">
        <v>17.399999999999999</v>
      </c>
      <c r="FX83" s="4">
        <v>17.670000000000002</v>
      </c>
      <c r="FY83" s="4">
        <v>17.87</v>
      </c>
      <c r="FZ83" s="4">
        <v>17.248000000000001</v>
      </c>
      <c r="GA83" s="4">
        <v>16.428999999999998</v>
      </c>
      <c r="GB83" s="4">
        <v>17.989999999999998</v>
      </c>
      <c r="GC83" s="4">
        <v>17.411999999999999</v>
      </c>
      <c r="GD83" s="4">
        <v>17.283000000000001</v>
      </c>
      <c r="GE83" s="4">
        <v>17.373000000000001</v>
      </c>
      <c r="GF83" s="4">
        <v>17.300999999999998</v>
      </c>
      <c r="GG83" s="4">
        <v>14.926</v>
      </c>
      <c r="GH83" s="4">
        <v>15.426</v>
      </c>
      <c r="GI83" s="4">
        <v>17.488</v>
      </c>
      <c r="GJ83" s="4">
        <v>16.922000000000001</v>
      </c>
      <c r="GK83" s="4">
        <v>17.765000000000001</v>
      </c>
      <c r="GL83" s="4">
        <v>18.013000000000002</v>
      </c>
      <c r="GM83" s="3"/>
      <c r="GN83" s="4">
        <v>13.792999999999999</v>
      </c>
      <c r="GO83" s="4">
        <v>17.155000000000001</v>
      </c>
      <c r="GP83" s="4">
        <v>15.063000000000001</v>
      </c>
      <c r="GQ83" s="4">
        <v>13.813000000000001</v>
      </c>
      <c r="GR83" s="4">
        <v>13.823</v>
      </c>
      <c r="GS83" s="4">
        <v>17.626999999999999</v>
      </c>
      <c r="GT83" s="4">
        <v>12.948</v>
      </c>
      <c r="GU83" s="4">
        <v>17.71</v>
      </c>
      <c r="GV83" s="4">
        <v>14.23</v>
      </c>
      <c r="GW83" s="4">
        <v>15.605</v>
      </c>
      <c r="GX83" s="4">
        <v>10.262</v>
      </c>
      <c r="GY83" s="4">
        <v>14.497</v>
      </c>
      <c r="GZ83" s="4">
        <v>17.742000000000001</v>
      </c>
      <c r="HA83" s="4">
        <v>16.417000000000002</v>
      </c>
      <c r="HB83" s="4">
        <v>16.879000000000001</v>
      </c>
      <c r="HC83" s="4">
        <v>18.376999999999999</v>
      </c>
      <c r="HD83" s="4">
        <v>13.525</v>
      </c>
      <c r="HE83" s="4">
        <v>16.936</v>
      </c>
      <c r="HF83" s="4">
        <v>13.13</v>
      </c>
      <c r="HG83" s="4">
        <v>17.292999999999999</v>
      </c>
      <c r="HH83" s="4">
        <v>16.486999999999998</v>
      </c>
      <c r="HI83" s="4">
        <v>16.649000000000001</v>
      </c>
      <c r="HJ83" s="4">
        <v>17.826000000000001</v>
      </c>
      <c r="HK83" s="4">
        <v>18.414999999999999</v>
      </c>
      <c r="HL83" s="4">
        <v>18.596</v>
      </c>
      <c r="HM83" s="4">
        <v>17.263999999999999</v>
      </c>
      <c r="HN83" s="4">
        <v>14.826000000000001</v>
      </c>
      <c r="HO83" s="4">
        <v>16.725999999999999</v>
      </c>
      <c r="HP83" s="4">
        <v>17.123000000000001</v>
      </c>
      <c r="HQ83" s="4">
        <v>18.716000000000001</v>
      </c>
      <c r="HR83" s="4">
        <v>17.396999999999998</v>
      </c>
      <c r="HS83" s="4">
        <v>16.506</v>
      </c>
      <c r="HT83" s="4">
        <v>16.626000000000001</v>
      </c>
      <c r="HU83" s="4">
        <v>18.13</v>
      </c>
      <c r="HV83" s="4">
        <v>18.097000000000001</v>
      </c>
      <c r="HW83" s="4">
        <v>14.321999999999999</v>
      </c>
      <c r="HX83" s="4">
        <v>18.475999999999999</v>
      </c>
      <c r="HY83" s="4">
        <v>18.763000000000002</v>
      </c>
      <c r="HZ83" s="4">
        <v>17.925000000000001</v>
      </c>
      <c r="IA83" s="4">
        <v>12.635</v>
      </c>
      <c r="IB83" s="4">
        <v>17.263999999999999</v>
      </c>
      <c r="IC83" s="4">
        <v>19.207999999999998</v>
      </c>
      <c r="ID83" s="4">
        <v>17.396999999999998</v>
      </c>
      <c r="IE83" s="4">
        <v>18.84</v>
      </c>
      <c r="IF83" s="4">
        <v>18.52</v>
      </c>
      <c r="IG83" s="4">
        <v>16.373999999999999</v>
      </c>
      <c r="IH83" s="4">
        <v>11.468</v>
      </c>
      <c r="II83" s="4">
        <v>12.778</v>
      </c>
      <c r="IJ83" s="4">
        <v>18.109000000000002</v>
      </c>
      <c r="IK83" s="4">
        <v>17.521999999999998</v>
      </c>
      <c r="IL83" s="4">
        <v>13.45</v>
      </c>
      <c r="IM83" s="4">
        <v>18.774999999999999</v>
      </c>
      <c r="IN83" s="4">
        <v>15.945</v>
      </c>
      <c r="IO83" s="4">
        <v>15.986000000000001</v>
      </c>
      <c r="IP83" s="4">
        <v>17.199000000000002</v>
      </c>
      <c r="IQ83" s="4">
        <v>18.788</v>
      </c>
      <c r="IR83" s="4">
        <v>19.050999999999998</v>
      </c>
      <c r="IS83" s="4">
        <v>13.603999999999999</v>
      </c>
      <c r="IT83" s="4">
        <v>16.375</v>
      </c>
      <c r="IU83" s="4">
        <v>13.727</v>
      </c>
      <c r="IV83" s="4">
        <v>18.344000000000001</v>
      </c>
      <c r="IW83" s="4">
        <v>12.083</v>
      </c>
      <c r="IX83" s="4">
        <v>17.138999999999999</v>
      </c>
      <c r="IY83" s="4">
        <v>16.948</v>
      </c>
      <c r="IZ83" s="4">
        <v>17.385000000000002</v>
      </c>
      <c r="JA83" s="4">
        <v>17.149999999999999</v>
      </c>
      <c r="JB83" s="4">
        <v>16.960999999999999</v>
      </c>
      <c r="JC83" s="4">
        <v>15.523999999999999</v>
      </c>
      <c r="JD83" s="4">
        <v>16.736999999999998</v>
      </c>
      <c r="JE83" s="4">
        <v>17.579999999999998</v>
      </c>
      <c r="JF83" s="4">
        <v>18.350999999999999</v>
      </c>
      <c r="JG83" s="4">
        <v>17.343</v>
      </c>
      <c r="JH83" s="4">
        <v>17.553999999999998</v>
      </c>
      <c r="JI83" s="4">
        <v>15.94</v>
      </c>
      <c r="JJ83" s="4">
        <v>17.373999999999999</v>
      </c>
      <c r="JK83" s="4">
        <v>16.257999999999999</v>
      </c>
      <c r="JL83" s="4">
        <v>18.858000000000001</v>
      </c>
      <c r="JM83" s="4">
        <v>17.241</v>
      </c>
      <c r="JN83" s="4">
        <v>17.395</v>
      </c>
      <c r="JO83" s="4">
        <v>17.952999999999999</v>
      </c>
      <c r="JP83" s="4">
        <v>17.201000000000001</v>
      </c>
      <c r="JQ83" s="4">
        <v>16.974</v>
      </c>
      <c r="JR83" s="4">
        <v>16.335999999999999</v>
      </c>
      <c r="JS83" s="4">
        <v>14.677</v>
      </c>
      <c r="JT83" s="4">
        <v>18.323</v>
      </c>
      <c r="JU83" s="4">
        <v>18.045999999999999</v>
      </c>
      <c r="JV83" s="4">
        <v>17.849</v>
      </c>
      <c r="JW83" s="4">
        <v>17.71</v>
      </c>
      <c r="JX83" s="4">
        <v>16.573</v>
      </c>
      <c r="JY83" s="4">
        <v>18.038</v>
      </c>
      <c r="JZ83" s="4">
        <v>17.425999999999998</v>
      </c>
      <c r="KA83" s="4">
        <v>17.315000000000001</v>
      </c>
      <c r="KB83" s="4">
        <v>14.411</v>
      </c>
      <c r="KC83" s="4">
        <v>15.244</v>
      </c>
      <c r="KD83" s="4">
        <v>17.213999999999999</v>
      </c>
      <c r="KE83" s="4">
        <v>18.082000000000001</v>
      </c>
      <c r="KF83" s="4">
        <v>16.718</v>
      </c>
      <c r="KG83" s="4">
        <v>18.096</v>
      </c>
      <c r="KH83" s="4">
        <v>16.949000000000002</v>
      </c>
      <c r="KI83" s="4">
        <v>17.873000000000001</v>
      </c>
      <c r="KJ83" s="4">
        <v>18.088999999999999</v>
      </c>
      <c r="KK83" s="4">
        <v>16.93</v>
      </c>
      <c r="KL83" s="4">
        <v>17.120999999999999</v>
      </c>
      <c r="KM83" s="4">
        <v>12.967000000000001</v>
      </c>
      <c r="KN83" s="4">
        <v>17.312000000000001</v>
      </c>
      <c r="KO83" s="4">
        <v>14.028</v>
      </c>
      <c r="KP83" s="4">
        <v>17.472999999999999</v>
      </c>
      <c r="KQ83" s="4">
        <v>18</v>
      </c>
      <c r="KR83" s="4">
        <v>16.748000000000001</v>
      </c>
      <c r="KS83" s="4">
        <v>18.584</v>
      </c>
    </row>
    <row r="84" spans="1:305" x14ac:dyDescent="0.25">
      <c r="A84" s="4">
        <v>2020</v>
      </c>
      <c r="B84" s="4">
        <v>9</v>
      </c>
      <c r="C84" s="4">
        <v>6.2939999999999996</v>
      </c>
      <c r="D84" s="4">
        <v>13.782</v>
      </c>
      <c r="E84" s="4">
        <v>13.513999999999999</v>
      </c>
      <c r="F84" s="4">
        <v>12.808999999999999</v>
      </c>
      <c r="G84" s="4">
        <v>12.465</v>
      </c>
      <c r="H84" s="4">
        <v>9.4789999999999992</v>
      </c>
      <c r="I84" s="4">
        <v>12.478</v>
      </c>
      <c r="J84" s="4">
        <v>9.0229999999999997</v>
      </c>
      <c r="K84" s="4">
        <v>12.824</v>
      </c>
      <c r="L84" s="4">
        <v>14.129</v>
      </c>
      <c r="M84" s="4">
        <v>9.1</v>
      </c>
      <c r="N84" s="4">
        <v>13.02</v>
      </c>
      <c r="O84" s="4">
        <v>7.774</v>
      </c>
      <c r="P84" s="4">
        <v>11.723000000000001</v>
      </c>
      <c r="Q84" s="4">
        <v>7.4359999999999999</v>
      </c>
      <c r="R84" s="4">
        <v>7.5220000000000002</v>
      </c>
      <c r="S84" s="4">
        <v>11.881</v>
      </c>
      <c r="T84" s="4">
        <v>12.516999999999999</v>
      </c>
      <c r="U84" s="4">
        <v>12.496</v>
      </c>
      <c r="V84" s="4">
        <v>12.984</v>
      </c>
      <c r="W84" s="4">
        <v>11.656000000000001</v>
      </c>
      <c r="X84" s="4">
        <v>14.254</v>
      </c>
      <c r="Y84" s="4">
        <v>12.243</v>
      </c>
      <c r="Z84" s="4">
        <v>9.2100000000000009</v>
      </c>
      <c r="AA84" s="4">
        <v>14.192</v>
      </c>
      <c r="AB84" s="4">
        <v>9.3879999999999999</v>
      </c>
      <c r="AC84" s="4">
        <v>12.582000000000001</v>
      </c>
      <c r="AD84" s="4">
        <v>11.03</v>
      </c>
      <c r="AE84" s="4">
        <v>12.148</v>
      </c>
      <c r="AF84" s="4">
        <v>14.792</v>
      </c>
      <c r="AG84" s="4">
        <v>11.209</v>
      </c>
      <c r="AH84" s="4">
        <v>13.291</v>
      </c>
      <c r="AI84" s="4">
        <v>8.69</v>
      </c>
      <c r="AJ84" s="4">
        <v>12.993</v>
      </c>
      <c r="AK84" s="4">
        <v>13.981</v>
      </c>
      <c r="AL84" s="4">
        <v>14.888999999999999</v>
      </c>
      <c r="AM84" s="4">
        <v>11.253</v>
      </c>
      <c r="AN84" s="4">
        <v>13.648</v>
      </c>
      <c r="AO84" s="4">
        <v>12.073</v>
      </c>
      <c r="AP84" s="4">
        <v>10.756</v>
      </c>
      <c r="AQ84" s="4">
        <v>8.5210000000000008</v>
      </c>
      <c r="AR84" s="4">
        <v>10.353</v>
      </c>
      <c r="AS84" s="4">
        <v>12.193</v>
      </c>
      <c r="AT84" s="4">
        <v>12.228</v>
      </c>
      <c r="AU84" s="4">
        <v>12.762</v>
      </c>
      <c r="AV84" s="4">
        <v>12.996</v>
      </c>
      <c r="AW84" s="4">
        <v>13.005000000000001</v>
      </c>
      <c r="AX84" s="4">
        <v>14.095000000000001</v>
      </c>
      <c r="AY84" s="4">
        <v>12.775</v>
      </c>
      <c r="AZ84" s="4">
        <v>11.664999999999999</v>
      </c>
      <c r="BA84" s="4">
        <v>14.257</v>
      </c>
      <c r="BB84" s="4">
        <v>12.288</v>
      </c>
      <c r="BC84" s="4">
        <v>15.56</v>
      </c>
      <c r="BD84" s="4">
        <v>11.36</v>
      </c>
      <c r="BE84" s="4">
        <v>12.605</v>
      </c>
      <c r="BF84" s="4">
        <v>11.398999999999999</v>
      </c>
      <c r="BG84" s="4">
        <v>12.063000000000001</v>
      </c>
      <c r="BH84" s="4">
        <v>12.750999999999999</v>
      </c>
      <c r="BI84" s="4">
        <v>12.803000000000001</v>
      </c>
      <c r="BJ84" s="4">
        <v>8.0820000000000007</v>
      </c>
      <c r="BK84" s="4">
        <v>12.188000000000001</v>
      </c>
      <c r="BL84" s="4">
        <v>8.4789999999999992</v>
      </c>
      <c r="BM84" s="4">
        <v>7.64</v>
      </c>
      <c r="BN84" s="4">
        <v>10.502000000000001</v>
      </c>
      <c r="BO84" s="4">
        <v>6.9039999999999999</v>
      </c>
      <c r="BP84" s="4">
        <v>12.159000000000001</v>
      </c>
      <c r="BQ84" s="4">
        <v>12.256</v>
      </c>
      <c r="BR84" s="4">
        <v>12.988</v>
      </c>
      <c r="BS84" s="4">
        <v>14.337999999999999</v>
      </c>
      <c r="BT84" s="4">
        <v>13.201000000000001</v>
      </c>
      <c r="BU84" s="4">
        <v>13.039</v>
      </c>
      <c r="BV84" s="4">
        <v>13.292999999999999</v>
      </c>
      <c r="BW84" s="4">
        <v>10.912000000000001</v>
      </c>
      <c r="BX84" s="4">
        <v>11.41</v>
      </c>
      <c r="BY84" s="4">
        <v>12.510999999999999</v>
      </c>
      <c r="BZ84" s="4">
        <v>12.458</v>
      </c>
      <c r="CA84" s="4">
        <v>14.250999999999999</v>
      </c>
      <c r="CB84" s="4">
        <v>13.103999999999999</v>
      </c>
      <c r="CC84" s="4">
        <v>9.1649999999999991</v>
      </c>
      <c r="CD84" s="4">
        <v>13.096</v>
      </c>
      <c r="CE84" s="4">
        <v>10.177</v>
      </c>
      <c r="CF84" s="4">
        <v>11.06</v>
      </c>
      <c r="CG84" s="4">
        <v>13.728</v>
      </c>
      <c r="CH84" s="4">
        <v>12.739000000000001</v>
      </c>
      <c r="CI84" s="4">
        <v>11.555</v>
      </c>
      <c r="CJ84" s="4">
        <v>7.8479999999999999</v>
      </c>
      <c r="CK84" s="4">
        <v>14.616</v>
      </c>
      <c r="CL84" s="4">
        <v>6.1890000000000001</v>
      </c>
      <c r="CM84" s="4">
        <v>14.433</v>
      </c>
      <c r="CN84" s="4">
        <v>12.568</v>
      </c>
      <c r="CO84" s="4">
        <v>13.192</v>
      </c>
      <c r="CP84" s="4">
        <v>11.224</v>
      </c>
      <c r="CQ84" s="4">
        <v>14.797000000000001</v>
      </c>
      <c r="CR84" s="4">
        <v>13.409000000000001</v>
      </c>
      <c r="CS84" s="4">
        <v>13.412000000000001</v>
      </c>
      <c r="CT84" s="4">
        <v>13.526999999999999</v>
      </c>
      <c r="CU84" s="4">
        <v>12.736000000000001</v>
      </c>
      <c r="CV84" s="4">
        <v>13.372</v>
      </c>
      <c r="CW84" s="4">
        <v>11.513999999999999</v>
      </c>
      <c r="CX84" s="4">
        <v>13.009</v>
      </c>
      <c r="CY84" s="4">
        <v>12.448</v>
      </c>
      <c r="CZ84" s="4">
        <v>13.715</v>
      </c>
      <c r="DA84" s="4">
        <v>8.0670000000000002</v>
      </c>
      <c r="DB84" s="4">
        <v>12.678000000000001</v>
      </c>
      <c r="DC84" s="4">
        <v>9.3330000000000002</v>
      </c>
      <c r="DD84" s="4">
        <v>9.6120000000000001</v>
      </c>
      <c r="DE84" s="4">
        <v>14.249000000000001</v>
      </c>
      <c r="DF84" s="4">
        <v>6.6710000000000003</v>
      </c>
      <c r="DG84" s="4">
        <v>13.313000000000001</v>
      </c>
      <c r="DH84" s="4">
        <v>13.743</v>
      </c>
      <c r="DI84" s="4">
        <v>11.833</v>
      </c>
      <c r="DJ84" s="4">
        <v>14.472</v>
      </c>
      <c r="DK84" s="4">
        <v>12.837999999999999</v>
      </c>
      <c r="DL84" s="4">
        <v>12.81</v>
      </c>
      <c r="DM84" s="4">
        <v>14.574999999999999</v>
      </c>
      <c r="DN84" s="4">
        <v>12.186999999999999</v>
      </c>
      <c r="DO84" s="4">
        <v>12.962</v>
      </c>
      <c r="DP84" s="4">
        <v>6.6120000000000001</v>
      </c>
      <c r="DQ84" s="4">
        <v>12.723000000000001</v>
      </c>
      <c r="DR84" s="4">
        <v>13.425000000000001</v>
      </c>
      <c r="DS84" s="4">
        <v>12.798999999999999</v>
      </c>
      <c r="DT84" s="4">
        <v>12.747999999999999</v>
      </c>
      <c r="DU84" s="4">
        <v>11.057</v>
      </c>
      <c r="DV84" s="4">
        <v>10.513999999999999</v>
      </c>
      <c r="DW84" s="4">
        <v>13.763999999999999</v>
      </c>
      <c r="DX84" s="4">
        <v>12.504</v>
      </c>
      <c r="DY84" s="4">
        <v>12.579000000000001</v>
      </c>
      <c r="DZ84" s="4">
        <v>13.786</v>
      </c>
      <c r="EA84" s="4">
        <v>14.268000000000001</v>
      </c>
      <c r="EB84" s="4">
        <v>13.065</v>
      </c>
      <c r="EC84" s="4">
        <v>6.2939999999999996</v>
      </c>
      <c r="ED84" s="4">
        <v>13.827999999999999</v>
      </c>
      <c r="EE84" s="4">
        <v>14.831</v>
      </c>
      <c r="EF84" s="4">
        <v>12.414999999999999</v>
      </c>
      <c r="EG84" s="4">
        <v>12.452</v>
      </c>
      <c r="EH84" s="4">
        <v>10.657999999999999</v>
      </c>
      <c r="EI84" s="4">
        <v>13.12</v>
      </c>
      <c r="EJ84" s="4">
        <v>12.597</v>
      </c>
      <c r="EK84" s="4">
        <v>13.64</v>
      </c>
      <c r="EL84" s="4">
        <v>13.449</v>
      </c>
      <c r="EM84" s="4">
        <v>13.064</v>
      </c>
      <c r="EN84" s="4">
        <v>11.808999999999999</v>
      </c>
      <c r="EO84" s="4">
        <v>13.387</v>
      </c>
      <c r="EP84" s="4">
        <v>12.522</v>
      </c>
      <c r="EQ84" s="4">
        <v>10.393000000000001</v>
      </c>
      <c r="ER84" s="4">
        <v>14.895</v>
      </c>
      <c r="ES84" s="4">
        <v>11.282</v>
      </c>
      <c r="ET84" s="4">
        <v>10.228</v>
      </c>
      <c r="EU84" s="4">
        <v>14.582000000000001</v>
      </c>
      <c r="EV84" s="4">
        <v>8.8409999999999993</v>
      </c>
      <c r="EW84" s="4">
        <v>13.956</v>
      </c>
      <c r="EX84" s="4">
        <v>7.8659999999999997</v>
      </c>
      <c r="EY84" s="4">
        <v>12.929</v>
      </c>
      <c r="EZ84" s="4">
        <v>15.006</v>
      </c>
      <c r="FA84" s="4">
        <v>9.7370000000000001</v>
      </c>
      <c r="FB84" s="4">
        <v>13.458</v>
      </c>
      <c r="FC84" s="4">
        <v>12.616</v>
      </c>
      <c r="FD84" s="4">
        <v>12.826000000000001</v>
      </c>
      <c r="FE84" s="4">
        <v>13.247</v>
      </c>
      <c r="FF84" s="4">
        <v>13.176</v>
      </c>
      <c r="FG84" s="4">
        <v>14.06</v>
      </c>
      <c r="FH84" s="4">
        <v>14.182</v>
      </c>
      <c r="FI84" s="4">
        <v>10.837</v>
      </c>
      <c r="FJ84" s="4">
        <v>14.462</v>
      </c>
      <c r="FK84" s="4">
        <v>13.215999999999999</v>
      </c>
      <c r="FL84" s="4">
        <v>13.065</v>
      </c>
      <c r="FM84" s="4">
        <v>11.349</v>
      </c>
      <c r="FN84" s="4">
        <v>13.657999999999999</v>
      </c>
      <c r="FO84" s="4">
        <v>12.06</v>
      </c>
      <c r="FP84" s="4">
        <v>11.827</v>
      </c>
      <c r="FQ84" s="4">
        <v>11.616</v>
      </c>
      <c r="FR84" s="4">
        <v>10.673</v>
      </c>
      <c r="FS84" s="4">
        <v>10.494</v>
      </c>
      <c r="FT84" s="4">
        <v>13.355</v>
      </c>
      <c r="FU84" s="4">
        <v>12.829000000000001</v>
      </c>
      <c r="FV84" s="4">
        <v>8.2940000000000005</v>
      </c>
      <c r="FW84" s="4">
        <v>13.282</v>
      </c>
      <c r="FX84" s="4">
        <v>13.239000000000001</v>
      </c>
      <c r="FY84" s="4">
        <v>13.186999999999999</v>
      </c>
      <c r="FZ84" s="4">
        <v>13.367000000000001</v>
      </c>
      <c r="GA84" s="4">
        <v>11.343</v>
      </c>
      <c r="GB84" s="4">
        <v>14.736000000000001</v>
      </c>
      <c r="GC84" s="4">
        <v>13.276999999999999</v>
      </c>
      <c r="GD84" s="4">
        <v>13.177</v>
      </c>
      <c r="GE84" s="4">
        <v>12.622</v>
      </c>
      <c r="GF84" s="4">
        <v>12.882999999999999</v>
      </c>
      <c r="GG84" s="4">
        <v>10.523999999999999</v>
      </c>
      <c r="GH84" s="4">
        <v>10.439</v>
      </c>
      <c r="GI84" s="4">
        <v>13.714</v>
      </c>
      <c r="GJ84" s="4">
        <v>12.573</v>
      </c>
      <c r="GK84" s="4">
        <v>13.754</v>
      </c>
      <c r="GL84" s="4">
        <v>13.308</v>
      </c>
      <c r="GM84" s="3"/>
      <c r="GN84" s="4">
        <v>8.8780000000000001</v>
      </c>
      <c r="GO84" s="4">
        <v>12.471</v>
      </c>
      <c r="GP84" s="4">
        <v>10.564</v>
      </c>
      <c r="GQ84" s="4">
        <v>8.9740000000000002</v>
      </c>
      <c r="GR84" s="4">
        <v>9.0079999999999991</v>
      </c>
      <c r="GS84" s="4">
        <v>13.449</v>
      </c>
      <c r="GT84" s="4">
        <v>7.7930000000000001</v>
      </c>
      <c r="GU84" s="4">
        <v>13.662000000000001</v>
      </c>
      <c r="GV84" s="4">
        <v>9.7129999999999992</v>
      </c>
      <c r="GW84" s="4">
        <v>10.694000000000001</v>
      </c>
      <c r="GX84" s="4">
        <v>6.1779999999999999</v>
      </c>
      <c r="GY84" s="4">
        <v>10.041</v>
      </c>
      <c r="GZ84" s="4">
        <v>13.968</v>
      </c>
      <c r="HA84" s="4">
        <v>12.555</v>
      </c>
      <c r="HB84" s="4">
        <v>11.981999999999999</v>
      </c>
      <c r="HC84" s="4">
        <v>13.553000000000001</v>
      </c>
      <c r="HD84" s="4">
        <v>8.5830000000000002</v>
      </c>
      <c r="HE84" s="4">
        <v>11.827999999999999</v>
      </c>
      <c r="HF84" s="4">
        <v>8.1310000000000002</v>
      </c>
      <c r="HG84" s="4">
        <v>13.359</v>
      </c>
      <c r="HH84" s="4">
        <v>11.507</v>
      </c>
      <c r="HI84" s="4">
        <v>12.084</v>
      </c>
      <c r="HJ84" s="4">
        <v>13.025</v>
      </c>
      <c r="HK84" s="4">
        <v>14.874000000000001</v>
      </c>
      <c r="HL84" s="4">
        <v>13.895</v>
      </c>
      <c r="HM84" s="4">
        <v>12.957000000000001</v>
      </c>
      <c r="HN84" s="4">
        <v>10.042</v>
      </c>
      <c r="HO84" s="4">
        <v>11.599</v>
      </c>
      <c r="HP84" s="4">
        <v>12.659000000000001</v>
      </c>
      <c r="HQ84" s="4">
        <v>14.284000000000001</v>
      </c>
      <c r="HR84" s="4">
        <v>12.433</v>
      </c>
      <c r="HS84" s="4">
        <v>11.481999999999999</v>
      </c>
      <c r="HT84" s="4">
        <v>11.943</v>
      </c>
      <c r="HU84" s="4">
        <v>13.465</v>
      </c>
      <c r="HV84" s="4">
        <v>13.384</v>
      </c>
      <c r="HW84" s="4">
        <v>9.4169999999999998</v>
      </c>
      <c r="HX84" s="4">
        <v>13.534000000000001</v>
      </c>
      <c r="HY84" s="4">
        <v>13.776</v>
      </c>
      <c r="HZ84" s="4">
        <v>14.163</v>
      </c>
      <c r="IA84" s="4">
        <v>7.5990000000000002</v>
      </c>
      <c r="IB84" s="4">
        <v>14.13</v>
      </c>
      <c r="IC84" s="4">
        <v>14.547000000000001</v>
      </c>
      <c r="ID84" s="4">
        <v>13.581</v>
      </c>
      <c r="IE84" s="4">
        <v>13.81</v>
      </c>
      <c r="IF84" s="4">
        <v>13.676</v>
      </c>
      <c r="IG84" s="4">
        <v>11.699</v>
      </c>
      <c r="IH84" s="4">
        <v>7.1879999999999997</v>
      </c>
      <c r="II84" s="4">
        <v>7.952</v>
      </c>
      <c r="IJ84" s="4">
        <v>13.097</v>
      </c>
      <c r="IK84" s="4">
        <v>13.706</v>
      </c>
      <c r="IL84" s="4">
        <v>8.5939999999999994</v>
      </c>
      <c r="IM84" s="4">
        <v>13.762</v>
      </c>
      <c r="IN84" s="4">
        <v>10.818</v>
      </c>
      <c r="IO84" s="4">
        <v>11.577</v>
      </c>
      <c r="IP84" s="4">
        <v>12.204000000000001</v>
      </c>
      <c r="IQ84" s="4">
        <v>14.183</v>
      </c>
      <c r="IR84" s="4">
        <v>14.448</v>
      </c>
      <c r="IS84" s="4">
        <v>8.8610000000000007</v>
      </c>
      <c r="IT84" s="4">
        <v>12.134</v>
      </c>
      <c r="IU84" s="4">
        <v>8.7550000000000008</v>
      </c>
      <c r="IV84" s="4">
        <v>13.478999999999999</v>
      </c>
      <c r="IW84" s="4">
        <v>7.117</v>
      </c>
      <c r="IX84" s="4">
        <v>13.327999999999999</v>
      </c>
      <c r="IY84" s="4">
        <v>12.023</v>
      </c>
      <c r="IZ84" s="4">
        <v>12.9</v>
      </c>
      <c r="JA84" s="4">
        <v>12.507</v>
      </c>
      <c r="JB84" s="4">
        <v>12.095000000000001</v>
      </c>
      <c r="JC84" s="4">
        <v>10.461</v>
      </c>
      <c r="JD84" s="4">
        <v>12.756</v>
      </c>
      <c r="JE84" s="4">
        <v>14.256</v>
      </c>
      <c r="JF84" s="4">
        <v>14.010999999999999</v>
      </c>
      <c r="JG84" s="4">
        <v>13.007999999999999</v>
      </c>
      <c r="JH84" s="4">
        <v>13.917999999999999</v>
      </c>
      <c r="JI84" s="4">
        <v>11.215</v>
      </c>
      <c r="JJ84" s="4">
        <v>12.833</v>
      </c>
      <c r="JK84" s="4">
        <v>11.978999999999999</v>
      </c>
      <c r="JL84" s="4">
        <v>14.989000000000001</v>
      </c>
      <c r="JM84" s="4">
        <v>13.057</v>
      </c>
      <c r="JN84" s="4">
        <v>13.253</v>
      </c>
      <c r="JO84" s="4">
        <v>13.459</v>
      </c>
      <c r="JP84" s="4">
        <v>13.38</v>
      </c>
      <c r="JQ84" s="4">
        <v>12.715999999999999</v>
      </c>
      <c r="JR84" s="4">
        <v>11.917999999999999</v>
      </c>
      <c r="JS84" s="4">
        <v>10.27</v>
      </c>
      <c r="JT84" s="4">
        <v>13.413</v>
      </c>
      <c r="JU84" s="4">
        <v>13.222</v>
      </c>
      <c r="JV84" s="4">
        <v>12.904</v>
      </c>
      <c r="JW84" s="4">
        <v>13.515000000000001</v>
      </c>
      <c r="JX84" s="4">
        <v>12.087</v>
      </c>
      <c r="JY84" s="4">
        <v>13.702999999999999</v>
      </c>
      <c r="JZ84" s="4">
        <v>12.747</v>
      </c>
      <c r="KA84" s="4">
        <v>13.156000000000001</v>
      </c>
      <c r="KB84" s="4">
        <v>9.6890000000000001</v>
      </c>
      <c r="KC84" s="4">
        <v>10.227</v>
      </c>
      <c r="KD84" s="4">
        <v>13.034000000000001</v>
      </c>
      <c r="KE84" s="4">
        <v>14.378</v>
      </c>
      <c r="KF84" s="4">
        <v>12.558</v>
      </c>
      <c r="KG84" s="4">
        <v>13.545</v>
      </c>
      <c r="KH84" s="4">
        <v>12.491</v>
      </c>
      <c r="KI84" s="4">
        <v>12.901</v>
      </c>
      <c r="KJ84" s="4">
        <v>14.11</v>
      </c>
      <c r="KK84" s="4">
        <v>12.706</v>
      </c>
      <c r="KL84" s="4">
        <v>12.398</v>
      </c>
      <c r="KM84" s="4">
        <v>8.0359999999999996</v>
      </c>
      <c r="KN84" s="4">
        <v>12.923999999999999</v>
      </c>
      <c r="KO84" s="4">
        <v>9.1630000000000003</v>
      </c>
      <c r="KP84" s="4">
        <v>12.739000000000001</v>
      </c>
      <c r="KQ84" s="4">
        <v>14.573</v>
      </c>
      <c r="KR84" s="4">
        <v>12.444000000000001</v>
      </c>
      <c r="KS84" s="4">
        <v>14.647</v>
      </c>
    </row>
    <row r="85" spans="1:305" x14ac:dyDescent="0.25">
      <c r="A85" s="4">
        <v>2020</v>
      </c>
      <c r="B85" s="4">
        <v>10</v>
      </c>
      <c r="C85" s="4">
        <v>0.88500000000000001</v>
      </c>
      <c r="D85" s="4">
        <v>9.0839999999999996</v>
      </c>
      <c r="E85" s="4">
        <v>9.2089999999999996</v>
      </c>
      <c r="F85" s="4">
        <v>8.59</v>
      </c>
      <c r="G85" s="4">
        <v>8.6189999999999998</v>
      </c>
      <c r="H85" s="4">
        <v>4.9809999999999999</v>
      </c>
      <c r="I85" s="4">
        <v>8.5269999999999992</v>
      </c>
      <c r="J85" s="4">
        <v>2.899</v>
      </c>
      <c r="K85" s="4">
        <v>8.3439999999999994</v>
      </c>
      <c r="L85" s="4">
        <v>10.11</v>
      </c>
      <c r="M85" s="4">
        <v>5.093</v>
      </c>
      <c r="N85" s="4">
        <v>8.1929999999999996</v>
      </c>
      <c r="O85" s="4">
        <v>3.74</v>
      </c>
      <c r="P85" s="4">
        <v>7.2359999999999998</v>
      </c>
      <c r="Q85" s="4">
        <v>2.0569999999999999</v>
      </c>
      <c r="R85" s="4">
        <v>1.827</v>
      </c>
      <c r="S85" s="4">
        <v>7.43</v>
      </c>
      <c r="T85" s="4">
        <v>8.2200000000000006</v>
      </c>
      <c r="U85" s="4">
        <v>8.1029999999999998</v>
      </c>
      <c r="V85" s="4">
        <v>8.4179999999999993</v>
      </c>
      <c r="W85" s="4">
        <v>7.274</v>
      </c>
      <c r="X85" s="4">
        <v>10.194000000000001</v>
      </c>
      <c r="Y85" s="4">
        <v>7.5979999999999999</v>
      </c>
      <c r="Z85" s="4">
        <v>4.2249999999999996</v>
      </c>
      <c r="AA85" s="4">
        <v>10.161</v>
      </c>
      <c r="AB85" s="4">
        <v>3.3940000000000001</v>
      </c>
      <c r="AC85" s="4">
        <v>8.51</v>
      </c>
      <c r="AD85" s="4">
        <v>6.2709999999999999</v>
      </c>
      <c r="AE85" s="4">
        <v>8.1059999999999999</v>
      </c>
      <c r="AF85" s="4">
        <v>10.648999999999999</v>
      </c>
      <c r="AG85" s="4">
        <v>6.5339999999999998</v>
      </c>
      <c r="AH85" s="4">
        <v>8.9060000000000006</v>
      </c>
      <c r="AI85" s="4">
        <v>4.5739999999999998</v>
      </c>
      <c r="AJ85" s="4">
        <v>9.1910000000000007</v>
      </c>
      <c r="AK85" s="4">
        <v>10.167</v>
      </c>
      <c r="AL85" s="4">
        <v>10.875999999999999</v>
      </c>
      <c r="AM85" s="4">
        <v>6.7990000000000004</v>
      </c>
      <c r="AN85" s="4">
        <v>9.0510000000000002</v>
      </c>
      <c r="AO85" s="4">
        <v>7.4390000000000001</v>
      </c>
      <c r="AP85" s="4">
        <v>6.2409999999999997</v>
      </c>
      <c r="AQ85" s="4">
        <v>3.9369999999999998</v>
      </c>
      <c r="AR85" s="4">
        <v>5.843</v>
      </c>
      <c r="AS85" s="4">
        <v>7.6120000000000001</v>
      </c>
      <c r="AT85" s="4">
        <v>7.891</v>
      </c>
      <c r="AU85" s="4">
        <v>8.6219999999999999</v>
      </c>
      <c r="AV85" s="4">
        <v>8.1379999999999999</v>
      </c>
      <c r="AW85" s="4">
        <v>8.2219999999999995</v>
      </c>
      <c r="AX85" s="4">
        <v>10.169</v>
      </c>
      <c r="AY85" s="4">
        <v>8.3079999999999998</v>
      </c>
      <c r="AZ85" s="4">
        <v>7.2480000000000002</v>
      </c>
      <c r="BA85" s="4">
        <v>10.413</v>
      </c>
      <c r="BB85" s="4">
        <v>7.875</v>
      </c>
      <c r="BC85" s="4">
        <v>11.949</v>
      </c>
      <c r="BD85" s="4">
        <v>6.7329999999999997</v>
      </c>
      <c r="BE85" s="4">
        <v>8.1999999999999993</v>
      </c>
      <c r="BF85" s="4">
        <v>7.1449999999999996</v>
      </c>
      <c r="BG85" s="4">
        <v>7.4880000000000004</v>
      </c>
      <c r="BH85" s="4">
        <v>8.2110000000000003</v>
      </c>
      <c r="BI85" s="4">
        <v>8.3000000000000007</v>
      </c>
      <c r="BJ85" s="4">
        <v>3.9209999999999998</v>
      </c>
      <c r="BK85" s="4">
        <v>7.84</v>
      </c>
      <c r="BL85" s="4">
        <v>3.5569999999999999</v>
      </c>
      <c r="BM85" s="4">
        <v>2.8690000000000002</v>
      </c>
      <c r="BN85" s="4">
        <v>5.9809999999999999</v>
      </c>
      <c r="BO85" s="4">
        <v>1.083</v>
      </c>
      <c r="BP85" s="4">
        <v>7.6459999999999999</v>
      </c>
      <c r="BQ85" s="4">
        <v>8.327</v>
      </c>
      <c r="BR85" s="4">
        <v>8.5359999999999996</v>
      </c>
      <c r="BS85" s="4">
        <v>10.129</v>
      </c>
      <c r="BT85" s="4">
        <v>8.5619999999999994</v>
      </c>
      <c r="BU85" s="4">
        <v>8.609</v>
      </c>
      <c r="BV85" s="4">
        <v>8.4719999999999995</v>
      </c>
      <c r="BW85" s="4">
        <v>6.7510000000000003</v>
      </c>
      <c r="BX85" s="4">
        <v>7.0309999999999997</v>
      </c>
      <c r="BY85" s="4">
        <v>7.9370000000000003</v>
      </c>
      <c r="BZ85" s="4">
        <v>7.6710000000000003</v>
      </c>
      <c r="CA85" s="4">
        <v>10.222</v>
      </c>
      <c r="CB85" s="4">
        <v>8.9429999999999996</v>
      </c>
      <c r="CC85" s="4">
        <v>4.9269999999999996</v>
      </c>
      <c r="CD85" s="4">
        <v>8.9429999999999996</v>
      </c>
      <c r="CE85" s="4">
        <v>4.2990000000000004</v>
      </c>
      <c r="CF85" s="4">
        <v>6.6559999999999997</v>
      </c>
      <c r="CG85" s="4">
        <v>9.4179999999999993</v>
      </c>
      <c r="CH85" s="4">
        <v>9.0250000000000004</v>
      </c>
      <c r="CI85" s="4">
        <v>7.0860000000000003</v>
      </c>
      <c r="CJ85" s="4">
        <v>3.3969999999999998</v>
      </c>
      <c r="CK85" s="4">
        <v>10.597</v>
      </c>
      <c r="CL85" s="4">
        <v>2.351</v>
      </c>
      <c r="CM85" s="4">
        <v>10.396000000000001</v>
      </c>
      <c r="CN85" s="4">
        <v>8.1560000000000006</v>
      </c>
      <c r="CO85" s="4">
        <v>9.0299999999999994</v>
      </c>
      <c r="CP85" s="4">
        <v>6.7149999999999999</v>
      </c>
      <c r="CQ85" s="4">
        <v>10.831</v>
      </c>
      <c r="CR85" s="4">
        <v>9.0030000000000001</v>
      </c>
      <c r="CS85" s="4">
        <v>9.5890000000000004</v>
      </c>
      <c r="CT85" s="4">
        <v>9.6549999999999994</v>
      </c>
      <c r="CU85" s="4">
        <v>8.2780000000000005</v>
      </c>
      <c r="CV85" s="4">
        <v>9.0109999999999992</v>
      </c>
      <c r="CW85" s="4">
        <v>6.9240000000000004</v>
      </c>
      <c r="CX85" s="4">
        <v>8.4979999999999993</v>
      </c>
      <c r="CY85" s="4">
        <v>8.6470000000000002</v>
      </c>
      <c r="CZ85" s="4">
        <v>9.0060000000000002</v>
      </c>
      <c r="DA85" s="4">
        <v>1.7370000000000001</v>
      </c>
      <c r="DB85" s="4">
        <v>8.4939999999999998</v>
      </c>
      <c r="DC85" s="4">
        <v>4.726</v>
      </c>
      <c r="DD85" s="4">
        <v>3.7370000000000001</v>
      </c>
      <c r="DE85" s="4">
        <v>10.196</v>
      </c>
      <c r="DF85" s="4">
        <v>0.81200000000000006</v>
      </c>
      <c r="DG85" s="4">
        <v>9.1329999999999991</v>
      </c>
      <c r="DH85" s="4">
        <v>9.9510000000000005</v>
      </c>
      <c r="DI85" s="4">
        <v>7.2389999999999999</v>
      </c>
      <c r="DJ85" s="4">
        <v>10.657999999999999</v>
      </c>
      <c r="DK85" s="4">
        <v>8.5510000000000002</v>
      </c>
      <c r="DL85" s="4">
        <v>8.25</v>
      </c>
      <c r="DM85" s="4">
        <v>10.654999999999999</v>
      </c>
      <c r="DN85" s="4">
        <v>7.85</v>
      </c>
      <c r="DO85" s="4">
        <v>8.8019999999999996</v>
      </c>
      <c r="DP85" s="4">
        <v>0.57299999999999995</v>
      </c>
      <c r="DQ85" s="4">
        <v>8.2210000000000001</v>
      </c>
      <c r="DR85" s="4">
        <v>9.641</v>
      </c>
      <c r="DS85" s="4">
        <v>8.06</v>
      </c>
      <c r="DT85" s="4">
        <v>7.9109999999999996</v>
      </c>
      <c r="DU85" s="4">
        <v>6.5650000000000004</v>
      </c>
      <c r="DV85" s="4">
        <v>5.8860000000000001</v>
      </c>
      <c r="DW85" s="4">
        <v>9.9060000000000006</v>
      </c>
      <c r="DX85" s="4">
        <v>7.9939999999999998</v>
      </c>
      <c r="DY85" s="4">
        <v>7.96</v>
      </c>
      <c r="DZ85" s="4">
        <v>9.4809999999999999</v>
      </c>
      <c r="EA85" s="4">
        <v>10.074999999999999</v>
      </c>
      <c r="EB85" s="4">
        <v>8.19</v>
      </c>
      <c r="EC85" s="4">
        <v>1.216</v>
      </c>
      <c r="ED85" s="4">
        <v>9.7919999999999998</v>
      </c>
      <c r="EE85" s="4">
        <v>10.965999999999999</v>
      </c>
      <c r="EF85" s="4">
        <v>7.9260000000000002</v>
      </c>
      <c r="EG85" s="4">
        <v>7.7859999999999996</v>
      </c>
      <c r="EH85" s="4">
        <v>6.1689999999999996</v>
      </c>
      <c r="EI85" s="4">
        <v>8.9269999999999996</v>
      </c>
      <c r="EJ85" s="4">
        <v>8.51</v>
      </c>
      <c r="EK85" s="4">
        <v>9.1229999999999993</v>
      </c>
      <c r="EL85" s="4">
        <v>8.8970000000000002</v>
      </c>
      <c r="EM85" s="4">
        <v>8.7170000000000005</v>
      </c>
      <c r="EN85" s="4">
        <v>7.1289999999999996</v>
      </c>
      <c r="EO85" s="4">
        <v>8.7750000000000004</v>
      </c>
      <c r="EP85" s="4">
        <v>8.7560000000000002</v>
      </c>
      <c r="EQ85" s="4">
        <v>6.0010000000000003</v>
      </c>
      <c r="ER85" s="4">
        <v>10.896000000000001</v>
      </c>
      <c r="ES85" s="4">
        <v>6.657</v>
      </c>
      <c r="ET85" s="4">
        <v>4.3070000000000004</v>
      </c>
      <c r="EU85" s="4">
        <v>10.587999999999999</v>
      </c>
      <c r="EV85" s="4">
        <v>3.3719999999999999</v>
      </c>
      <c r="EW85" s="4">
        <v>9.8840000000000003</v>
      </c>
      <c r="EX85" s="4">
        <v>2.46</v>
      </c>
      <c r="EY85" s="4">
        <v>8.4179999999999993</v>
      </c>
      <c r="EZ85" s="4">
        <v>11.000999999999999</v>
      </c>
      <c r="FA85" s="4">
        <v>5.2809999999999997</v>
      </c>
      <c r="FB85" s="4">
        <v>8.9309999999999992</v>
      </c>
      <c r="FC85" s="4">
        <v>8.8010000000000002</v>
      </c>
      <c r="FD85" s="4">
        <v>8.0280000000000005</v>
      </c>
      <c r="FE85" s="4">
        <v>8.9480000000000004</v>
      </c>
      <c r="FF85" s="4">
        <v>8.57</v>
      </c>
      <c r="FG85" s="4">
        <v>9.7739999999999991</v>
      </c>
      <c r="FH85" s="4">
        <v>10.016999999999999</v>
      </c>
      <c r="FI85" s="4">
        <v>6.2469999999999999</v>
      </c>
      <c r="FJ85" s="4">
        <v>10.497999999999999</v>
      </c>
      <c r="FK85" s="4">
        <v>8.6579999999999995</v>
      </c>
      <c r="FL85" s="4">
        <v>8.6289999999999996</v>
      </c>
      <c r="FM85" s="4">
        <v>7.1710000000000003</v>
      </c>
      <c r="FN85" s="4">
        <v>9.1980000000000004</v>
      </c>
      <c r="FO85" s="4">
        <v>7.71</v>
      </c>
      <c r="FP85" s="4">
        <v>7.1349999999999998</v>
      </c>
      <c r="FQ85" s="4">
        <v>7.2320000000000002</v>
      </c>
      <c r="FR85" s="4">
        <v>6.1909999999999998</v>
      </c>
      <c r="FS85" s="4">
        <v>5.6040000000000001</v>
      </c>
      <c r="FT85" s="4">
        <v>8.6890000000000001</v>
      </c>
      <c r="FU85" s="4">
        <v>8.5380000000000003</v>
      </c>
      <c r="FV85" s="4">
        <v>2.984</v>
      </c>
      <c r="FW85" s="4">
        <v>8.9329999999999998</v>
      </c>
      <c r="FX85" s="4">
        <v>8.8689999999999998</v>
      </c>
      <c r="FY85" s="4">
        <v>8.6620000000000008</v>
      </c>
      <c r="FZ85" s="4">
        <v>9.5540000000000003</v>
      </c>
      <c r="GA85" s="4">
        <v>6.7130000000000001</v>
      </c>
      <c r="GB85" s="4">
        <v>11.053000000000001</v>
      </c>
      <c r="GC85" s="4">
        <v>8.9039999999999999</v>
      </c>
      <c r="GD85" s="4">
        <v>9.1590000000000007</v>
      </c>
      <c r="GE85" s="4">
        <v>7.915</v>
      </c>
      <c r="GF85" s="4">
        <v>9.125</v>
      </c>
      <c r="GG85" s="4">
        <v>5.8010000000000002</v>
      </c>
      <c r="GH85" s="4">
        <v>5.9589999999999996</v>
      </c>
      <c r="GI85" s="4">
        <v>9.3800000000000008</v>
      </c>
      <c r="GJ85" s="4">
        <v>8.8320000000000007</v>
      </c>
      <c r="GK85" s="4">
        <v>9.3810000000000002</v>
      </c>
      <c r="GL85" s="4">
        <v>8.8170000000000002</v>
      </c>
      <c r="GM85" s="3"/>
      <c r="GN85" s="4">
        <v>4.67</v>
      </c>
      <c r="GO85" s="4">
        <v>7.9260000000000002</v>
      </c>
      <c r="GP85" s="4">
        <v>6.0880000000000001</v>
      </c>
      <c r="GQ85" s="4">
        <v>3.125</v>
      </c>
      <c r="GR85" s="4">
        <v>3.3130000000000002</v>
      </c>
      <c r="GS85" s="4">
        <v>9.4380000000000006</v>
      </c>
      <c r="GT85" s="4">
        <v>2.4529999999999998</v>
      </c>
      <c r="GU85" s="4">
        <v>9.3659999999999997</v>
      </c>
      <c r="GV85" s="4">
        <v>3.8</v>
      </c>
      <c r="GW85" s="4">
        <v>6.1870000000000003</v>
      </c>
      <c r="GX85" s="4">
        <v>1.7410000000000001</v>
      </c>
      <c r="GY85" s="4">
        <v>4.8470000000000004</v>
      </c>
      <c r="GZ85" s="4">
        <v>10.226000000000001</v>
      </c>
      <c r="HA85" s="4">
        <v>8.1229999999999993</v>
      </c>
      <c r="HB85" s="4">
        <v>7.3520000000000003</v>
      </c>
      <c r="HC85" s="4">
        <v>8.9990000000000006</v>
      </c>
      <c r="HD85" s="4">
        <v>4.0819999999999999</v>
      </c>
      <c r="HE85" s="4">
        <v>7.3209999999999997</v>
      </c>
      <c r="HF85" s="4">
        <v>3.91</v>
      </c>
      <c r="HG85" s="4">
        <v>9.0449999999999999</v>
      </c>
      <c r="HH85" s="4">
        <v>6.8730000000000002</v>
      </c>
      <c r="HI85" s="4">
        <v>8.032</v>
      </c>
      <c r="HJ85" s="4">
        <v>8.2490000000000006</v>
      </c>
      <c r="HK85" s="4">
        <v>11.382999999999999</v>
      </c>
      <c r="HL85" s="4">
        <v>9.9710000000000001</v>
      </c>
      <c r="HM85" s="4">
        <v>8.3179999999999996</v>
      </c>
      <c r="HN85" s="4">
        <v>4.2930000000000001</v>
      </c>
      <c r="HO85" s="4">
        <v>7.0650000000000004</v>
      </c>
      <c r="HP85" s="4">
        <v>8.0259999999999998</v>
      </c>
      <c r="HQ85" s="4">
        <v>10.576000000000001</v>
      </c>
      <c r="HR85" s="4">
        <v>7.9089999999999998</v>
      </c>
      <c r="HS85" s="4">
        <v>6.8840000000000003</v>
      </c>
      <c r="HT85" s="4">
        <v>7.484</v>
      </c>
      <c r="HU85" s="4">
        <v>8.7780000000000005</v>
      </c>
      <c r="HV85" s="4">
        <v>8.8729999999999993</v>
      </c>
      <c r="HW85" s="4">
        <v>4.8410000000000002</v>
      </c>
      <c r="HX85" s="4">
        <v>8.83</v>
      </c>
      <c r="HY85" s="4">
        <v>9.1720000000000006</v>
      </c>
      <c r="HZ85" s="4">
        <v>10.497</v>
      </c>
      <c r="IA85" s="4">
        <v>2.222</v>
      </c>
      <c r="IB85" s="4">
        <v>10.379</v>
      </c>
      <c r="IC85" s="4">
        <v>10.528</v>
      </c>
      <c r="ID85" s="4">
        <v>9.3219999999999992</v>
      </c>
      <c r="IE85" s="4">
        <v>9.1720000000000006</v>
      </c>
      <c r="IF85" s="4">
        <v>9.1880000000000006</v>
      </c>
      <c r="IG85" s="4">
        <v>7.2469999999999999</v>
      </c>
      <c r="IH85" s="4">
        <v>3.153</v>
      </c>
      <c r="II85" s="4">
        <v>2.8849999999999998</v>
      </c>
      <c r="IJ85" s="4">
        <v>8.33</v>
      </c>
      <c r="IK85" s="4">
        <v>9.3390000000000004</v>
      </c>
      <c r="IL85" s="4">
        <v>4.226</v>
      </c>
      <c r="IM85" s="4">
        <v>9.1120000000000001</v>
      </c>
      <c r="IN85" s="4">
        <v>6.4329999999999998</v>
      </c>
      <c r="IO85" s="4">
        <v>7.3019999999999996</v>
      </c>
      <c r="IP85" s="4">
        <v>7.4589999999999996</v>
      </c>
      <c r="IQ85" s="4">
        <v>10.26</v>
      </c>
      <c r="IR85" s="4">
        <v>10.537000000000001</v>
      </c>
      <c r="IS85" s="4">
        <v>4.45</v>
      </c>
      <c r="IT85" s="4">
        <v>8.2170000000000005</v>
      </c>
      <c r="IU85" s="4">
        <v>4.5670000000000002</v>
      </c>
      <c r="IV85" s="4">
        <v>8.86</v>
      </c>
      <c r="IW85" s="4">
        <v>2.8969999999999998</v>
      </c>
      <c r="IX85" s="4">
        <v>8.9390000000000001</v>
      </c>
      <c r="IY85" s="4">
        <v>7.3819999999999997</v>
      </c>
      <c r="IZ85" s="4">
        <v>8.3469999999999995</v>
      </c>
      <c r="JA85" s="4">
        <v>7.9710000000000001</v>
      </c>
      <c r="JB85" s="4">
        <v>7.4219999999999997</v>
      </c>
      <c r="JC85" s="4">
        <v>6.14</v>
      </c>
      <c r="JD85" s="4">
        <v>8.7940000000000005</v>
      </c>
      <c r="JE85" s="4">
        <v>10.444000000000001</v>
      </c>
      <c r="JF85" s="4">
        <v>10.242000000000001</v>
      </c>
      <c r="JG85" s="4">
        <v>8.4369999999999994</v>
      </c>
      <c r="JH85" s="4">
        <v>9.7710000000000008</v>
      </c>
      <c r="JI85" s="4">
        <v>6.7729999999999997</v>
      </c>
      <c r="JJ85" s="4">
        <v>8.2680000000000007</v>
      </c>
      <c r="JK85" s="4">
        <v>8.1120000000000001</v>
      </c>
      <c r="JL85" s="4">
        <v>11.487</v>
      </c>
      <c r="JM85" s="4">
        <v>8.6219999999999999</v>
      </c>
      <c r="JN85" s="4">
        <v>9.1720000000000006</v>
      </c>
      <c r="JO85" s="4">
        <v>9.1579999999999995</v>
      </c>
      <c r="JP85" s="4">
        <v>8.9749999999999996</v>
      </c>
      <c r="JQ85" s="4">
        <v>8.9290000000000003</v>
      </c>
      <c r="JR85" s="4">
        <v>7.8879999999999999</v>
      </c>
      <c r="JS85" s="4">
        <v>5.4340000000000002</v>
      </c>
      <c r="JT85" s="4">
        <v>8.6010000000000009</v>
      </c>
      <c r="JU85" s="4">
        <v>8.5190000000000001</v>
      </c>
      <c r="JV85" s="4">
        <v>8.0719999999999992</v>
      </c>
      <c r="JW85" s="4">
        <v>9.0280000000000005</v>
      </c>
      <c r="JX85" s="4">
        <v>8.1489999999999991</v>
      </c>
      <c r="JY85" s="4">
        <v>8.9779999999999998</v>
      </c>
      <c r="JZ85" s="4">
        <v>8.2409999999999997</v>
      </c>
      <c r="KA85" s="4">
        <v>8.7270000000000003</v>
      </c>
      <c r="KB85" s="4">
        <v>4.7699999999999996</v>
      </c>
      <c r="KC85" s="4">
        <v>5.8209999999999997</v>
      </c>
      <c r="KD85" s="4">
        <v>8.452</v>
      </c>
      <c r="KE85" s="4">
        <v>10.531000000000001</v>
      </c>
      <c r="KF85" s="4">
        <v>8.1859999999999999</v>
      </c>
      <c r="KG85" s="4">
        <v>9.1910000000000007</v>
      </c>
      <c r="KH85" s="4">
        <v>8.6370000000000005</v>
      </c>
      <c r="KI85" s="4">
        <v>8.0350000000000001</v>
      </c>
      <c r="KJ85" s="4">
        <v>9.9920000000000009</v>
      </c>
      <c r="KK85" s="4">
        <v>8.5419999999999998</v>
      </c>
      <c r="KL85" s="4">
        <v>8.141</v>
      </c>
      <c r="KM85" s="4">
        <v>3.11</v>
      </c>
      <c r="KN85" s="4">
        <v>8.41</v>
      </c>
      <c r="KO85" s="4">
        <v>4.056</v>
      </c>
      <c r="KP85" s="4">
        <v>8.1639999999999997</v>
      </c>
      <c r="KQ85" s="4">
        <v>10.374000000000001</v>
      </c>
      <c r="KR85" s="4">
        <v>8.093</v>
      </c>
      <c r="KS85" s="4">
        <v>11.231999999999999</v>
      </c>
    </row>
    <row r="86" spans="1:305" x14ac:dyDescent="0.25">
      <c r="A86" s="4">
        <v>2020</v>
      </c>
      <c r="B86" s="4">
        <v>11</v>
      </c>
      <c r="C86" s="4">
        <v>-0.82199999999999995</v>
      </c>
      <c r="D86" s="4">
        <v>6.681</v>
      </c>
      <c r="E86" s="4">
        <v>7.2229999999999999</v>
      </c>
      <c r="F86" s="4">
        <v>6.6929999999999996</v>
      </c>
      <c r="G86" s="4">
        <v>6.2030000000000003</v>
      </c>
      <c r="H86" s="4">
        <v>1.526</v>
      </c>
      <c r="I86" s="4">
        <v>6.085</v>
      </c>
      <c r="J86" s="4">
        <v>-0.442</v>
      </c>
      <c r="K86" s="4">
        <v>6.3840000000000003</v>
      </c>
      <c r="L86" s="4">
        <v>7.4470000000000001</v>
      </c>
      <c r="M86" s="4">
        <v>1.0580000000000001</v>
      </c>
      <c r="N86" s="4">
        <v>6.0839999999999996</v>
      </c>
      <c r="O86" s="4">
        <v>0.91300000000000003</v>
      </c>
      <c r="P86" s="4">
        <v>5.2270000000000003</v>
      </c>
      <c r="Q86" s="4">
        <v>-1.036</v>
      </c>
      <c r="R86" s="4">
        <v>-1.175</v>
      </c>
      <c r="S86" s="4">
        <v>4.8280000000000003</v>
      </c>
      <c r="T86" s="4">
        <v>5.6760000000000002</v>
      </c>
      <c r="U86" s="4">
        <v>6.0949999999999998</v>
      </c>
      <c r="V86" s="4">
        <v>6.4</v>
      </c>
      <c r="W86" s="4">
        <v>4.71</v>
      </c>
      <c r="X86" s="4">
        <v>7.5819999999999999</v>
      </c>
      <c r="Y86" s="4">
        <v>5.8140000000000001</v>
      </c>
      <c r="Z86" s="4">
        <v>1.1679999999999999</v>
      </c>
      <c r="AA86" s="4">
        <v>7.35</v>
      </c>
      <c r="AB86" s="4">
        <v>0.107</v>
      </c>
      <c r="AC86" s="4">
        <v>6.335</v>
      </c>
      <c r="AD86" s="4">
        <v>3.4159999999999999</v>
      </c>
      <c r="AE86" s="4">
        <v>5.9269999999999996</v>
      </c>
      <c r="AF86" s="4">
        <v>7.7130000000000001</v>
      </c>
      <c r="AG86" s="4">
        <v>4.0209999999999999</v>
      </c>
      <c r="AH86" s="4">
        <v>6.351</v>
      </c>
      <c r="AI86" s="4">
        <v>0.98299999999999998</v>
      </c>
      <c r="AJ86" s="4">
        <v>6.8070000000000004</v>
      </c>
      <c r="AK86" s="4">
        <v>7.4349999999999996</v>
      </c>
      <c r="AL86" s="4">
        <v>7.9669999999999996</v>
      </c>
      <c r="AM86" s="4">
        <v>3.9</v>
      </c>
      <c r="AN86" s="4">
        <v>6.6769999999999996</v>
      </c>
      <c r="AO86" s="4">
        <v>5.3319999999999999</v>
      </c>
      <c r="AP86" s="4">
        <v>2.9710000000000001</v>
      </c>
      <c r="AQ86" s="4">
        <v>0.45800000000000002</v>
      </c>
      <c r="AR86" s="4">
        <v>3.052</v>
      </c>
      <c r="AS86" s="4">
        <v>5.8630000000000004</v>
      </c>
      <c r="AT86" s="4">
        <v>5.633</v>
      </c>
      <c r="AU86" s="4">
        <v>6.1050000000000004</v>
      </c>
      <c r="AV86" s="4">
        <v>5.899</v>
      </c>
      <c r="AW86" s="4">
        <v>6.165</v>
      </c>
      <c r="AX86" s="4">
        <v>7.3680000000000003</v>
      </c>
      <c r="AY86" s="4">
        <v>6.4050000000000002</v>
      </c>
      <c r="AZ86" s="4">
        <v>4.6959999999999997</v>
      </c>
      <c r="BA86" s="4">
        <v>7.94</v>
      </c>
      <c r="BB86" s="4">
        <v>5.8890000000000002</v>
      </c>
      <c r="BC86" s="4">
        <v>8.7629999999999999</v>
      </c>
      <c r="BD86" s="4">
        <v>4.0490000000000004</v>
      </c>
      <c r="BE86" s="4">
        <v>6.3280000000000003</v>
      </c>
      <c r="BF86" s="4">
        <v>4.4950000000000001</v>
      </c>
      <c r="BG86" s="4">
        <v>5.0860000000000003</v>
      </c>
      <c r="BH86" s="4">
        <v>6.2779999999999996</v>
      </c>
      <c r="BI86" s="4">
        <v>6.1390000000000002</v>
      </c>
      <c r="BJ86" s="4">
        <v>0.65600000000000003</v>
      </c>
      <c r="BK86" s="4">
        <v>5.2110000000000003</v>
      </c>
      <c r="BL86" s="4">
        <v>0.39700000000000002</v>
      </c>
      <c r="BM86" s="4">
        <v>-0.41899999999999998</v>
      </c>
      <c r="BN86" s="4">
        <v>3.411</v>
      </c>
      <c r="BO86" s="4">
        <v>-2.4649999999999999</v>
      </c>
      <c r="BP86" s="4">
        <v>5.1440000000000001</v>
      </c>
      <c r="BQ86" s="4">
        <v>6.0039999999999996</v>
      </c>
      <c r="BR86" s="4">
        <v>6.2</v>
      </c>
      <c r="BS86" s="4">
        <v>7.8150000000000004</v>
      </c>
      <c r="BT86" s="4">
        <v>6.6580000000000004</v>
      </c>
      <c r="BU86" s="4">
        <v>6.593</v>
      </c>
      <c r="BV86" s="4">
        <v>6.133</v>
      </c>
      <c r="BW86" s="4">
        <v>3.774</v>
      </c>
      <c r="BX86" s="4">
        <v>4.4589999999999996</v>
      </c>
      <c r="BY86" s="4">
        <v>6.0030000000000001</v>
      </c>
      <c r="BZ86" s="4">
        <v>5.4720000000000004</v>
      </c>
      <c r="CA86" s="4">
        <v>7.7190000000000003</v>
      </c>
      <c r="CB86" s="4">
        <v>6.6509999999999998</v>
      </c>
      <c r="CC86" s="4">
        <v>1.458</v>
      </c>
      <c r="CD86" s="4">
        <v>6.343</v>
      </c>
      <c r="CE86" s="4">
        <v>1.6220000000000001</v>
      </c>
      <c r="CF86" s="4">
        <v>3.6259999999999999</v>
      </c>
      <c r="CG86" s="4">
        <v>7.1760000000000002</v>
      </c>
      <c r="CH86" s="4">
        <v>6.7130000000000001</v>
      </c>
      <c r="CI86" s="4">
        <v>4.4400000000000004</v>
      </c>
      <c r="CJ86" s="4">
        <v>-7.0999999999999994E-2</v>
      </c>
      <c r="CK86" s="4">
        <v>7.6580000000000004</v>
      </c>
      <c r="CL86" s="4">
        <v>-7.0000000000000001E-3</v>
      </c>
      <c r="CM86" s="4">
        <v>7.5529999999999999</v>
      </c>
      <c r="CN86" s="4">
        <v>6.2030000000000003</v>
      </c>
      <c r="CO86" s="4">
        <v>7.0419999999999998</v>
      </c>
      <c r="CP86" s="4">
        <v>4.0839999999999996</v>
      </c>
      <c r="CQ86" s="4">
        <v>7.9530000000000003</v>
      </c>
      <c r="CR86" s="4">
        <v>6.46</v>
      </c>
      <c r="CS86" s="4">
        <v>7.0229999999999997</v>
      </c>
      <c r="CT86" s="4">
        <v>7.0069999999999997</v>
      </c>
      <c r="CU86" s="4">
        <v>6.274</v>
      </c>
      <c r="CV86" s="4">
        <v>6.4349999999999996</v>
      </c>
      <c r="CW86" s="4">
        <v>4.0570000000000004</v>
      </c>
      <c r="CX86" s="4">
        <v>6.2389999999999999</v>
      </c>
      <c r="CY86" s="4">
        <v>6.4039999999999999</v>
      </c>
      <c r="CZ86" s="4">
        <v>6.6559999999999997</v>
      </c>
      <c r="DA86" s="4">
        <v>-1.71</v>
      </c>
      <c r="DB86" s="4">
        <v>6.2439999999999998</v>
      </c>
      <c r="DC86" s="4">
        <v>1.1220000000000001</v>
      </c>
      <c r="DD86" s="4">
        <v>1.2969999999999999</v>
      </c>
      <c r="DE86" s="4">
        <v>7.351</v>
      </c>
      <c r="DF86" s="4">
        <v>-2.7930000000000001</v>
      </c>
      <c r="DG86" s="4">
        <v>7.0209999999999999</v>
      </c>
      <c r="DH86" s="4">
        <v>7.2649999999999997</v>
      </c>
      <c r="DI86" s="4">
        <v>5.0519999999999996</v>
      </c>
      <c r="DJ86" s="4">
        <v>7.7539999999999996</v>
      </c>
      <c r="DK86" s="4">
        <v>6.1559999999999997</v>
      </c>
      <c r="DL86" s="4">
        <v>6.1449999999999996</v>
      </c>
      <c r="DM86" s="4">
        <v>7.7050000000000001</v>
      </c>
      <c r="DN86" s="4">
        <v>5.2590000000000003</v>
      </c>
      <c r="DO86" s="4">
        <v>6.5449999999999999</v>
      </c>
      <c r="DP86" s="4">
        <v>-1.9079999999999999</v>
      </c>
      <c r="DQ86" s="4">
        <v>6.1369999999999996</v>
      </c>
      <c r="DR86" s="4">
        <v>7.13</v>
      </c>
      <c r="DS86" s="4">
        <v>5.7939999999999996</v>
      </c>
      <c r="DT86" s="4">
        <v>5.7590000000000003</v>
      </c>
      <c r="DU86" s="4">
        <v>3.9340000000000002</v>
      </c>
      <c r="DV86" s="4">
        <v>2.726</v>
      </c>
      <c r="DW86" s="4">
        <v>7.3760000000000003</v>
      </c>
      <c r="DX86" s="4">
        <v>5.7649999999999997</v>
      </c>
      <c r="DY86" s="4">
        <v>6.0049999999999999</v>
      </c>
      <c r="DZ86" s="4">
        <v>7.43</v>
      </c>
      <c r="EA86" s="4">
        <v>7.6740000000000004</v>
      </c>
      <c r="EB86" s="4">
        <v>6.1</v>
      </c>
      <c r="EC86" s="4">
        <v>-1.57</v>
      </c>
      <c r="ED86" s="4">
        <v>7.46</v>
      </c>
      <c r="EE86" s="4">
        <v>7.907</v>
      </c>
      <c r="EF86" s="4">
        <v>5.9279999999999999</v>
      </c>
      <c r="EG86" s="4">
        <v>5.8140000000000001</v>
      </c>
      <c r="EH86" s="4">
        <v>3.5150000000000001</v>
      </c>
      <c r="EI86" s="4">
        <v>6.8540000000000001</v>
      </c>
      <c r="EJ86" s="4">
        <v>5.9770000000000003</v>
      </c>
      <c r="EK86" s="4">
        <v>6.6669999999999998</v>
      </c>
      <c r="EL86" s="4">
        <v>6.8579999999999997</v>
      </c>
      <c r="EM86" s="4">
        <v>6.7370000000000001</v>
      </c>
      <c r="EN86" s="4">
        <v>4.8970000000000002</v>
      </c>
      <c r="EO86" s="4">
        <v>6.7279999999999998</v>
      </c>
      <c r="EP86" s="4">
        <v>6.4989999999999997</v>
      </c>
      <c r="EQ86" s="4">
        <v>2.2559999999999998</v>
      </c>
      <c r="ER86" s="4">
        <v>7.9779999999999998</v>
      </c>
      <c r="ES86" s="4">
        <v>4.0960000000000001</v>
      </c>
      <c r="ET86" s="4">
        <v>1.546</v>
      </c>
      <c r="EU86" s="4">
        <v>7.7149999999999999</v>
      </c>
      <c r="EV86" s="4">
        <v>0.26700000000000002</v>
      </c>
      <c r="EW86" s="4">
        <v>7.798</v>
      </c>
      <c r="EX86" s="4">
        <v>-0.877</v>
      </c>
      <c r="EY86" s="4">
        <v>6.28</v>
      </c>
      <c r="EZ86" s="4">
        <v>8.0229999999999997</v>
      </c>
      <c r="FA86" s="4">
        <v>2.46</v>
      </c>
      <c r="FB86" s="4">
        <v>7.1349999999999998</v>
      </c>
      <c r="FC86" s="4">
        <v>6.5590000000000002</v>
      </c>
      <c r="FD86" s="4">
        <v>5.6660000000000004</v>
      </c>
      <c r="FE86" s="4">
        <v>6.8879999999999999</v>
      </c>
      <c r="FF86" s="4">
        <v>6.6369999999999996</v>
      </c>
      <c r="FG86" s="4">
        <v>7.4889999999999999</v>
      </c>
      <c r="FH86" s="4">
        <v>7.1840000000000002</v>
      </c>
      <c r="FI86" s="4">
        <v>3.33</v>
      </c>
      <c r="FJ86" s="4">
        <v>7.569</v>
      </c>
      <c r="FK86" s="4">
        <v>6.58</v>
      </c>
      <c r="FL86" s="4">
        <v>6.798</v>
      </c>
      <c r="FM86" s="4">
        <v>4.3490000000000002</v>
      </c>
      <c r="FN86" s="4">
        <v>6.6669999999999998</v>
      </c>
      <c r="FO86" s="4">
        <v>5.4630000000000001</v>
      </c>
      <c r="FP86" s="4">
        <v>4.9930000000000003</v>
      </c>
      <c r="FQ86" s="4">
        <v>4.6929999999999996</v>
      </c>
      <c r="FR86" s="4">
        <v>3.2029999999999998</v>
      </c>
      <c r="FS86" s="4">
        <v>2.6059999999999999</v>
      </c>
      <c r="FT86" s="4">
        <v>6.6879999999999997</v>
      </c>
      <c r="FU86" s="4">
        <v>5.9950000000000001</v>
      </c>
      <c r="FV86" s="4">
        <v>-0.1</v>
      </c>
      <c r="FW86" s="4">
        <v>6.3540000000000001</v>
      </c>
      <c r="FX86" s="4">
        <v>6.4050000000000002</v>
      </c>
      <c r="FY86" s="4">
        <v>6.2919999999999998</v>
      </c>
      <c r="FZ86" s="4">
        <v>6.9260000000000002</v>
      </c>
      <c r="GA86" s="4">
        <v>4.2110000000000003</v>
      </c>
      <c r="GB86" s="4">
        <v>8.6059999999999999</v>
      </c>
      <c r="GC86" s="4">
        <v>6.859</v>
      </c>
      <c r="GD86" s="4">
        <v>6.7039999999999997</v>
      </c>
      <c r="GE86" s="4">
        <v>5.9089999999999998</v>
      </c>
      <c r="GF86" s="4">
        <v>6.798</v>
      </c>
      <c r="GG86" s="4">
        <v>2.8740000000000001</v>
      </c>
      <c r="GH86" s="4">
        <v>2.7480000000000002</v>
      </c>
      <c r="GI86" s="4">
        <v>7.3460000000000001</v>
      </c>
      <c r="GJ86" s="4">
        <v>6.4779999999999998</v>
      </c>
      <c r="GK86" s="4">
        <v>6.6040000000000001</v>
      </c>
      <c r="GL86" s="4">
        <v>6.4180000000000001</v>
      </c>
      <c r="GM86" s="3"/>
      <c r="GN86" s="4">
        <v>1.86</v>
      </c>
      <c r="GO86" s="4">
        <v>5.4630000000000001</v>
      </c>
      <c r="GP86" s="4">
        <v>3.1760000000000002</v>
      </c>
      <c r="GQ86" s="4">
        <v>0.214</v>
      </c>
      <c r="GR86" s="4">
        <v>0.36799999999999999</v>
      </c>
      <c r="GS86" s="4">
        <v>6.8810000000000002</v>
      </c>
      <c r="GT86" s="4">
        <v>-0.875</v>
      </c>
      <c r="GU86" s="4">
        <v>7.1980000000000004</v>
      </c>
      <c r="GV86" s="4">
        <v>1.0660000000000001</v>
      </c>
      <c r="GW86" s="4">
        <v>3.47</v>
      </c>
      <c r="GX86" s="4">
        <v>5.1999999999999998E-2</v>
      </c>
      <c r="GY86" s="4">
        <v>2.1339999999999999</v>
      </c>
      <c r="GZ86" s="4">
        <v>7.4660000000000002</v>
      </c>
      <c r="HA86" s="4">
        <v>6.0839999999999996</v>
      </c>
      <c r="HB86" s="4">
        <v>4.9930000000000003</v>
      </c>
      <c r="HC86" s="4">
        <v>6.516</v>
      </c>
      <c r="HD86" s="4">
        <v>1.2390000000000001</v>
      </c>
      <c r="HE86" s="4">
        <v>4.7039999999999997</v>
      </c>
      <c r="HF86" s="4">
        <v>-0.106</v>
      </c>
      <c r="HG86" s="4">
        <v>6.92</v>
      </c>
      <c r="HH86" s="4">
        <v>4.3040000000000003</v>
      </c>
      <c r="HI86" s="4">
        <v>5.6239999999999997</v>
      </c>
      <c r="HJ86" s="4">
        <v>5.9859999999999998</v>
      </c>
      <c r="HK86" s="4">
        <v>8.2750000000000004</v>
      </c>
      <c r="HL86" s="4">
        <v>7.2249999999999996</v>
      </c>
      <c r="HM86" s="4">
        <v>6.3810000000000002</v>
      </c>
      <c r="HN86" s="4">
        <v>1.5940000000000001</v>
      </c>
      <c r="HO86" s="4">
        <v>4.585</v>
      </c>
      <c r="HP86" s="4">
        <v>6.218</v>
      </c>
      <c r="HQ86" s="4">
        <v>7.6379999999999999</v>
      </c>
      <c r="HR86" s="4">
        <v>5.41</v>
      </c>
      <c r="HS86" s="4">
        <v>4.3120000000000003</v>
      </c>
      <c r="HT86" s="4">
        <v>4.7380000000000004</v>
      </c>
      <c r="HU86" s="4">
        <v>6.7859999999999996</v>
      </c>
      <c r="HV86" s="4">
        <v>6.4009999999999998</v>
      </c>
      <c r="HW86" s="4">
        <v>1.41</v>
      </c>
      <c r="HX86" s="4">
        <v>6.556</v>
      </c>
      <c r="HY86" s="4">
        <v>6.742</v>
      </c>
      <c r="HZ86" s="4">
        <v>7.6619999999999999</v>
      </c>
      <c r="IA86" s="4">
        <v>-1.173</v>
      </c>
      <c r="IB86" s="4">
        <v>8.2279999999999998</v>
      </c>
      <c r="IC86" s="4">
        <v>7.6959999999999997</v>
      </c>
      <c r="ID86" s="4">
        <v>7.2430000000000003</v>
      </c>
      <c r="IE86" s="4">
        <v>6.7469999999999999</v>
      </c>
      <c r="IF86" s="4">
        <v>6.6660000000000004</v>
      </c>
      <c r="IG86" s="4">
        <v>4.79</v>
      </c>
      <c r="IH86" s="4">
        <v>0.93100000000000005</v>
      </c>
      <c r="II86" s="4">
        <v>-0.42799999999999999</v>
      </c>
      <c r="IJ86" s="4">
        <v>6.133</v>
      </c>
      <c r="IK86" s="4">
        <v>7.33</v>
      </c>
      <c r="IL86" s="4">
        <v>0.77700000000000002</v>
      </c>
      <c r="IM86" s="4">
        <v>6.72</v>
      </c>
      <c r="IN86" s="4">
        <v>3.18</v>
      </c>
      <c r="IO86" s="4">
        <v>4.6379999999999999</v>
      </c>
      <c r="IP86" s="4">
        <v>5.2119999999999997</v>
      </c>
      <c r="IQ86" s="4">
        <v>7.3659999999999997</v>
      </c>
      <c r="IR86" s="4">
        <v>7.6440000000000001</v>
      </c>
      <c r="IS86" s="4">
        <v>0.433</v>
      </c>
      <c r="IT86" s="4">
        <v>5.992</v>
      </c>
      <c r="IU86" s="4">
        <v>0.88400000000000001</v>
      </c>
      <c r="IV86" s="4">
        <v>6.5549999999999997</v>
      </c>
      <c r="IW86" s="4">
        <v>-2.7E-2</v>
      </c>
      <c r="IX86" s="4">
        <v>7.0979999999999999</v>
      </c>
      <c r="IY86" s="4">
        <v>4.9720000000000004</v>
      </c>
      <c r="IZ86" s="4">
        <v>6.5750000000000002</v>
      </c>
      <c r="JA86" s="4">
        <v>6.0309999999999997</v>
      </c>
      <c r="JB86" s="4">
        <v>5.0179999999999998</v>
      </c>
      <c r="JC86" s="4">
        <v>2.64</v>
      </c>
      <c r="JD86" s="4">
        <v>6.3</v>
      </c>
      <c r="JE86" s="4">
        <v>8.1280000000000001</v>
      </c>
      <c r="JF86" s="4">
        <v>7.3239999999999998</v>
      </c>
      <c r="JG86" s="4">
        <v>6.516</v>
      </c>
      <c r="JH86" s="4">
        <v>7.0890000000000004</v>
      </c>
      <c r="JI86" s="4">
        <v>3.9220000000000002</v>
      </c>
      <c r="JJ86" s="4">
        <v>6.1820000000000004</v>
      </c>
      <c r="JK86" s="4">
        <v>5.8879999999999999</v>
      </c>
      <c r="JL86" s="4">
        <v>8.4039999999999999</v>
      </c>
      <c r="JM86" s="4">
        <v>6.56</v>
      </c>
      <c r="JN86" s="4">
        <v>6.6449999999999996</v>
      </c>
      <c r="JO86" s="4">
        <v>6.5469999999999997</v>
      </c>
      <c r="JP86" s="4">
        <v>7.03</v>
      </c>
      <c r="JQ86" s="4">
        <v>6.7409999999999997</v>
      </c>
      <c r="JR86" s="4">
        <v>5.6669999999999998</v>
      </c>
      <c r="JS86" s="4">
        <v>2.4980000000000002</v>
      </c>
      <c r="JT86" s="4">
        <v>6.2830000000000004</v>
      </c>
      <c r="JU86" s="4">
        <v>6.2990000000000004</v>
      </c>
      <c r="JV86" s="4">
        <v>5.7009999999999996</v>
      </c>
      <c r="JW86" s="4">
        <v>6.9790000000000001</v>
      </c>
      <c r="JX86" s="4">
        <v>5.8979999999999997</v>
      </c>
      <c r="JY86" s="4">
        <v>6.758</v>
      </c>
      <c r="JZ86" s="4">
        <v>6.0060000000000002</v>
      </c>
      <c r="KA86" s="4">
        <v>6.6029999999999998</v>
      </c>
      <c r="KB86" s="4">
        <v>1.67</v>
      </c>
      <c r="KC86" s="4">
        <v>3.0230000000000001</v>
      </c>
      <c r="KD86" s="4">
        <v>6.5289999999999999</v>
      </c>
      <c r="KE86" s="4">
        <v>7.9969999999999999</v>
      </c>
      <c r="KF86" s="4">
        <v>6.2690000000000001</v>
      </c>
      <c r="KG86" s="4">
        <v>6.59</v>
      </c>
      <c r="KH86" s="4">
        <v>6.3010000000000002</v>
      </c>
      <c r="KI86" s="4">
        <v>5.8380000000000001</v>
      </c>
      <c r="KJ86" s="4">
        <v>7.2809999999999997</v>
      </c>
      <c r="KK86" s="4">
        <v>6.024</v>
      </c>
      <c r="KL86" s="4">
        <v>5.6859999999999999</v>
      </c>
      <c r="KM86" s="4">
        <v>-0.28000000000000003</v>
      </c>
      <c r="KN86" s="4">
        <v>6.1989999999999998</v>
      </c>
      <c r="KO86" s="4">
        <v>0.78</v>
      </c>
      <c r="KP86" s="4">
        <v>6.0890000000000004</v>
      </c>
      <c r="KQ86" s="4">
        <v>7.6420000000000003</v>
      </c>
      <c r="KR86" s="4">
        <v>5.8810000000000002</v>
      </c>
      <c r="KS86" s="4">
        <v>8.1999999999999993</v>
      </c>
    </row>
    <row r="87" spans="1:305" x14ac:dyDescent="0.25">
      <c r="A87" s="4">
        <v>2020</v>
      </c>
      <c r="B87" s="4">
        <v>12</v>
      </c>
      <c r="C87" s="4">
        <v>-5.22</v>
      </c>
      <c r="D87" s="4">
        <v>3.7440000000000002</v>
      </c>
      <c r="E87" s="4">
        <v>3.823</v>
      </c>
      <c r="F87" s="4">
        <v>3.379</v>
      </c>
      <c r="G87" s="4">
        <v>2.9580000000000002</v>
      </c>
      <c r="H87" s="4">
        <v>-1.028</v>
      </c>
      <c r="I87" s="4">
        <v>2.7839999999999998</v>
      </c>
      <c r="J87" s="4">
        <v>-2.3660000000000001</v>
      </c>
      <c r="K87" s="4">
        <v>3.6179999999999999</v>
      </c>
      <c r="L87" s="4">
        <v>3.996</v>
      </c>
      <c r="M87" s="4">
        <v>-0.56699999999999995</v>
      </c>
      <c r="N87" s="4">
        <v>3.1110000000000002</v>
      </c>
      <c r="O87" s="4">
        <v>-1.897</v>
      </c>
      <c r="P87" s="4">
        <v>2.3239999999999998</v>
      </c>
      <c r="Q87" s="4">
        <v>-3.9849999999999999</v>
      </c>
      <c r="R87" s="4">
        <v>-3.698</v>
      </c>
      <c r="S87" s="4">
        <v>2.2629999999999999</v>
      </c>
      <c r="T87" s="4">
        <v>2.3759999999999999</v>
      </c>
      <c r="U87" s="4">
        <v>2.9279999999999999</v>
      </c>
      <c r="V87" s="4">
        <v>3.25</v>
      </c>
      <c r="W87" s="4">
        <v>2.048</v>
      </c>
      <c r="X87" s="4">
        <v>3.9929999999999999</v>
      </c>
      <c r="Y87" s="4">
        <v>2.9119999999999999</v>
      </c>
      <c r="Z87" s="4">
        <v>-1.0129999999999999</v>
      </c>
      <c r="AA87" s="4">
        <v>3.9089999999999998</v>
      </c>
      <c r="AB87" s="4">
        <v>-2.044</v>
      </c>
      <c r="AC87" s="4">
        <v>3.048</v>
      </c>
      <c r="AD87" s="4">
        <v>0.68700000000000006</v>
      </c>
      <c r="AE87" s="4">
        <v>2.5840000000000001</v>
      </c>
      <c r="AF87" s="4">
        <v>4.4470000000000001</v>
      </c>
      <c r="AG87" s="4">
        <v>1.069</v>
      </c>
      <c r="AH87" s="4">
        <v>3.6419999999999999</v>
      </c>
      <c r="AI87" s="4">
        <v>-1.022</v>
      </c>
      <c r="AJ87" s="4">
        <v>3.609</v>
      </c>
      <c r="AK87" s="4">
        <v>4.423</v>
      </c>
      <c r="AL87" s="4">
        <v>4.3840000000000003</v>
      </c>
      <c r="AM87" s="4">
        <v>1.506</v>
      </c>
      <c r="AN87" s="4">
        <v>3.7959999999999998</v>
      </c>
      <c r="AO87" s="4">
        <v>2.3199999999999998</v>
      </c>
      <c r="AP87" s="4">
        <v>0.88800000000000001</v>
      </c>
      <c r="AQ87" s="4">
        <v>-1.7350000000000001</v>
      </c>
      <c r="AR87" s="4">
        <v>0.151</v>
      </c>
      <c r="AS87" s="4">
        <v>2.8690000000000002</v>
      </c>
      <c r="AT87" s="4">
        <v>2.387</v>
      </c>
      <c r="AU87" s="4">
        <v>2.9460000000000002</v>
      </c>
      <c r="AV87" s="4">
        <v>3.2309999999999999</v>
      </c>
      <c r="AW87" s="4">
        <v>3.2530000000000001</v>
      </c>
      <c r="AX87" s="4">
        <v>3.9649999999999999</v>
      </c>
      <c r="AY87" s="4">
        <v>3.1869999999999998</v>
      </c>
      <c r="AZ87" s="4">
        <v>1.8640000000000001</v>
      </c>
      <c r="BA87" s="4">
        <v>4.2670000000000003</v>
      </c>
      <c r="BB87" s="4">
        <v>2.7509999999999999</v>
      </c>
      <c r="BC87" s="4">
        <v>5.3680000000000003</v>
      </c>
      <c r="BD87" s="4">
        <v>1.266</v>
      </c>
      <c r="BE87" s="4">
        <v>3.1819999999999999</v>
      </c>
      <c r="BF87" s="4">
        <v>1.79</v>
      </c>
      <c r="BG87" s="4">
        <v>2.6949999999999998</v>
      </c>
      <c r="BH87" s="4">
        <v>3.2010000000000001</v>
      </c>
      <c r="BI87" s="4">
        <v>3.4220000000000002</v>
      </c>
      <c r="BJ87" s="4">
        <v>-2.371</v>
      </c>
      <c r="BK87" s="4">
        <v>2.4609999999999999</v>
      </c>
      <c r="BL87" s="4">
        <v>-1.738</v>
      </c>
      <c r="BM87" s="4">
        <v>-2.403</v>
      </c>
      <c r="BN87" s="4">
        <v>0.59499999999999997</v>
      </c>
      <c r="BO87" s="4">
        <v>-5.5730000000000004</v>
      </c>
      <c r="BP87" s="4">
        <v>2.5169999999999999</v>
      </c>
      <c r="BQ87" s="4">
        <v>2.601</v>
      </c>
      <c r="BR87" s="4">
        <v>3.5350000000000001</v>
      </c>
      <c r="BS87" s="4">
        <v>4.2069999999999999</v>
      </c>
      <c r="BT87" s="4">
        <v>3.4750000000000001</v>
      </c>
      <c r="BU87" s="4">
        <v>3.4510000000000001</v>
      </c>
      <c r="BV87" s="4">
        <v>3.39</v>
      </c>
      <c r="BW87" s="4">
        <v>1.248</v>
      </c>
      <c r="BX87" s="4">
        <v>1.5840000000000001</v>
      </c>
      <c r="BY87" s="4">
        <v>2.944</v>
      </c>
      <c r="BZ87" s="4">
        <v>2.7370000000000001</v>
      </c>
      <c r="CA87" s="4">
        <v>4.1630000000000003</v>
      </c>
      <c r="CB87" s="4">
        <v>3.738</v>
      </c>
      <c r="CC87" s="4">
        <v>-0.84699999999999998</v>
      </c>
      <c r="CD87" s="4">
        <v>3.76</v>
      </c>
      <c r="CE87" s="4">
        <v>-1.7350000000000001</v>
      </c>
      <c r="CF87" s="4">
        <v>1.9279999999999999</v>
      </c>
      <c r="CG87" s="4">
        <v>3.6669999999999998</v>
      </c>
      <c r="CH87" s="4">
        <v>3.444</v>
      </c>
      <c r="CI87" s="4">
        <v>1.7390000000000001</v>
      </c>
      <c r="CJ87" s="4">
        <v>-2.472</v>
      </c>
      <c r="CK87" s="4">
        <v>4.1529999999999996</v>
      </c>
      <c r="CL87" s="4">
        <v>-3.9209999999999998</v>
      </c>
      <c r="CM87" s="4">
        <v>4.0209999999999999</v>
      </c>
      <c r="CN87" s="4">
        <v>2.9039999999999999</v>
      </c>
      <c r="CO87" s="4">
        <v>3.9489999999999998</v>
      </c>
      <c r="CP87" s="4">
        <v>1.222</v>
      </c>
      <c r="CQ87" s="4">
        <v>4.3760000000000003</v>
      </c>
      <c r="CR87" s="4">
        <v>3.105</v>
      </c>
      <c r="CS87" s="4">
        <v>3.7250000000000001</v>
      </c>
      <c r="CT87" s="4">
        <v>3.681</v>
      </c>
      <c r="CU87" s="4">
        <v>3.1629999999999998</v>
      </c>
      <c r="CV87" s="4">
        <v>3.7080000000000002</v>
      </c>
      <c r="CW87" s="4">
        <v>1.8919999999999999</v>
      </c>
      <c r="CX87" s="4">
        <v>3.0179999999999998</v>
      </c>
      <c r="CY87" s="4">
        <v>3.0670000000000002</v>
      </c>
      <c r="CZ87" s="4">
        <v>3.7639999999999998</v>
      </c>
      <c r="DA87" s="4">
        <v>-4.806</v>
      </c>
      <c r="DB87" s="4">
        <v>2.9390000000000001</v>
      </c>
      <c r="DC87" s="4">
        <v>-1.4259999999999999</v>
      </c>
      <c r="DD87" s="4">
        <v>-1.627</v>
      </c>
      <c r="DE87" s="4">
        <v>4.18</v>
      </c>
      <c r="DF87" s="4">
        <v>-6.7169999999999996</v>
      </c>
      <c r="DG87" s="4">
        <v>3.9950000000000001</v>
      </c>
      <c r="DH87" s="4">
        <v>4.2640000000000002</v>
      </c>
      <c r="DI87" s="4">
        <v>2.0939999999999999</v>
      </c>
      <c r="DJ87" s="4">
        <v>4.5389999999999997</v>
      </c>
      <c r="DK87" s="4">
        <v>3.2480000000000002</v>
      </c>
      <c r="DL87" s="4">
        <v>3.278</v>
      </c>
      <c r="DM87" s="4">
        <v>4.1740000000000004</v>
      </c>
      <c r="DN87" s="4">
        <v>2.5230000000000001</v>
      </c>
      <c r="DO87" s="4">
        <v>3.2149999999999999</v>
      </c>
      <c r="DP87" s="4">
        <v>-6.5529999999999999</v>
      </c>
      <c r="DQ87" s="4">
        <v>3.0019999999999998</v>
      </c>
      <c r="DR87" s="4">
        <v>3.8050000000000002</v>
      </c>
      <c r="DS87" s="4">
        <v>3.1110000000000002</v>
      </c>
      <c r="DT87" s="4">
        <v>2.8860000000000001</v>
      </c>
      <c r="DU87" s="4">
        <v>1.19</v>
      </c>
      <c r="DV87" s="4">
        <v>0.69699999999999995</v>
      </c>
      <c r="DW87" s="4">
        <v>4.2610000000000001</v>
      </c>
      <c r="DX87" s="4">
        <v>2.7890000000000001</v>
      </c>
      <c r="DY87" s="4">
        <v>2.9830000000000001</v>
      </c>
      <c r="DZ87" s="4">
        <v>3.968</v>
      </c>
      <c r="EA87" s="4">
        <v>4.0410000000000004</v>
      </c>
      <c r="EB87" s="4">
        <v>3.1110000000000002</v>
      </c>
      <c r="EC87" s="4">
        <v>-6.657</v>
      </c>
      <c r="ED87" s="4">
        <v>3.92</v>
      </c>
      <c r="EE87" s="4">
        <v>4.3840000000000003</v>
      </c>
      <c r="EF87" s="4">
        <v>2.7559999999999998</v>
      </c>
      <c r="EG87" s="4">
        <v>2.74</v>
      </c>
      <c r="EH87" s="4">
        <v>0.70799999999999996</v>
      </c>
      <c r="EI87" s="4">
        <v>3.4980000000000002</v>
      </c>
      <c r="EJ87" s="4">
        <v>2.7869999999999999</v>
      </c>
      <c r="EK87" s="4">
        <v>3.798</v>
      </c>
      <c r="EL87" s="4">
        <v>3.7</v>
      </c>
      <c r="EM87" s="4">
        <v>3.4060000000000001</v>
      </c>
      <c r="EN87" s="4">
        <v>1.9430000000000001</v>
      </c>
      <c r="EO87" s="4">
        <v>3.512</v>
      </c>
      <c r="EP87" s="4">
        <v>3.125</v>
      </c>
      <c r="EQ87" s="4">
        <v>0.26700000000000002</v>
      </c>
      <c r="ER87" s="4">
        <v>4.3899999999999997</v>
      </c>
      <c r="ES87" s="4">
        <v>1.181</v>
      </c>
      <c r="ET87" s="4">
        <v>-0.93100000000000005</v>
      </c>
      <c r="EU87" s="4">
        <v>4.1619999999999999</v>
      </c>
      <c r="EV87" s="4">
        <v>-1.786</v>
      </c>
      <c r="EW87" s="4">
        <v>4.258</v>
      </c>
      <c r="EX87" s="4">
        <v>-2.9529999999999998</v>
      </c>
      <c r="EY87" s="4">
        <v>2.9849999999999999</v>
      </c>
      <c r="EZ87" s="4">
        <v>4.4749999999999996</v>
      </c>
      <c r="FA87" s="4">
        <v>-0.22700000000000001</v>
      </c>
      <c r="FB87" s="4">
        <v>3.8439999999999999</v>
      </c>
      <c r="FC87" s="4">
        <v>3.2629999999999999</v>
      </c>
      <c r="FD87" s="4">
        <v>3.0350000000000001</v>
      </c>
      <c r="FE87" s="4">
        <v>3.8839999999999999</v>
      </c>
      <c r="FF87" s="4">
        <v>3.319</v>
      </c>
      <c r="FG87" s="4">
        <v>3.9180000000000001</v>
      </c>
      <c r="FH87" s="4">
        <v>3.9470000000000001</v>
      </c>
      <c r="FI87" s="4">
        <v>0.45300000000000001</v>
      </c>
      <c r="FJ87" s="4">
        <v>4.3550000000000004</v>
      </c>
      <c r="FK87" s="4">
        <v>3.2839999999999998</v>
      </c>
      <c r="FL87" s="4">
        <v>3.53</v>
      </c>
      <c r="FM87" s="4">
        <v>1.7190000000000001</v>
      </c>
      <c r="FN87" s="4">
        <v>3.8140000000000001</v>
      </c>
      <c r="FO87" s="4">
        <v>2.1800000000000002</v>
      </c>
      <c r="FP87" s="4">
        <v>1.9079999999999999</v>
      </c>
      <c r="FQ87" s="4">
        <v>1.9179999999999999</v>
      </c>
      <c r="FR87" s="4">
        <v>1.0740000000000001</v>
      </c>
      <c r="FS87" s="4">
        <v>0.67700000000000005</v>
      </c>
      <c r="FT87" s="4">
        <v>3.53</v>
      </c>
      <c r="FU87" s="4">
        <v>3.4380000000000002</v>
      </c>
      <c r="FV87" s="4">
        <v>-2.36</v>
      </c>
      <c r="FW87" s="4">
        <v>3.1480000000000001</v>
      </c>
      <c r="FX87" s="4">
        <v>3.7770000000000001</v>
      </c>
      <c r="FY87" s="4">
        <v>3.508</v>
      </c>
      <c r="FZ87" s="4">
        <v>4.3380000000000001</v>
      </c>
      <c r="GA87" s="4">
        <v>1.256</v>
      </c>
      <c r="GB87" s="4">
        <v>4.9260000000000002</v>
      </c>
      <c r="GC87" s="4">
        <v>3.548</v>
      </c>
      <c r="GD87" s="4">
        <v>3.6360000000000001</v>
      </c>
      <c r="GE87" s="4">
        <v>2.9049999999999998</v>
      </c>
      <c r="GF87" s="4">
        <v>3.4889999999999999</v>
      </c>
      <c r="GG87" s="4">
        <v>0.89700000000000002</v>
      </c>
      <c r="GH87" s="4">
        <v>1.2999999999999999E-2</v>
      </c>
      <c r="GI87" s="4">
        <v>3.89</v>
      </c>
      <c r="GJ87" s="4">
        <v>3.2530000000000001</v>
      </c>
      <c r="GK87" s="4">
        <v>3.4049999999999998</v>
      </c>
      <c r="GL87" s="4">
        <v>3.613</v>
      </c>
      <c r="GM87" s="3"/>
      <c r="GN87" s="4">
        <v>-1.0640000000000001</v>
      </c>
      <c r="GO87" s="4">
        <v>3.004</v>
      </c>
      <c r="GP87" s="4">
        <v>0.35199999999999998</v>
      </c>
      <c r="GQ87" s="4">
        <v>-2.7069999999999999</v>
      </c>
      <c r="GR87" s="4">
        <v>-2.9529999999999998</v>
      </c>
      <c r="GS87" s="4">
        <v>4.2519999999999998</v>
      </c>
      <c r="GT87" s="4">
        <v>-4.3780000000000001</v>
      </c>
      <c r="GU87" s="4">
        <v>3.7410000000000001</v>
      </c>
      <c r="GV87" s="4">
        <v>-1.0900000000000001</v>
      </c>
      <c r="GW87" s="4">
        <v>0.58199999999999996</v>
      </c>
      <c r="GX87" s="4">
        <v>-4.3719999999999999</v>
      </c>
      <c r="GY87" s="4">
        <v>0.10299999999999999</v>
      </c>
      <c r="GZ87" s="4">
        <v>4.3419999999999996</v>
      </c>
      <c r="HA87" s="4">
        <v>3.42</v>
      </c>
      <c r="HB87" s="4">
        <v>2.3809999999999998</v>
      </c>
      <c r="HC87" s="4">
        <v>3.6659999999999999</v>
      </c>
      <c r="HD87" s="4">
        <v>-1.5660000000000001</v>
      </c>
      <c r="HE87" s="4">
        <v>1.905</v>
      </c>
      <c r="HF87" s="4">
        <v>-2.294</v>
      </c>
      <c r="HG87" s="4">
        <v>3.7450000000000001</v>
      </c>
      <c r="HH87" s="4">
        <v>1.423</v>
      </c>
      <c r="HI87" s="4">
        <v>2.367</v>
      </c>
      <c r="HJ87" s="4">
        <v>3.242</v>
      </c>
      <c r="HK87" s="4">
        <v>5.0460000000000003</v>
      </c>
      <c r="HL87" s="4">
        <v>3.7170000000000001</v>
      </c>
      <c r="HM87" s="4">
        <v>3.2890000000000001</v>
      </c>
      <c r="HN87" s="4">
        <v>-0.61699999999999999</v>
      </c>
      <c r="HO87" s="4">
        <v>1.756</v>
      </c>
      <c r="HP87" s="4">
        <v>3.0030000000000001</v>
      </c>
      <c r="HQ87" s="4">
        <v>4.2489999999999997</v>
      </c>
      <c r="HR87" s="4">
        <v>2.8149999999999999</v>
      </c>
      <c r="HS87" s="4">
        <v>1.421</v>
      </c>
      <c r="HT87" s="4">
        <v>2.3140000000000001</v>
      </c>
      <c r="HU87" s="4">
        <v>3.629</v>
      </c>
      <c r="HV87" s="4">
        <v>3.5859999999999999</v>
      </c>
      <c r="HW87" s="4">
        <v>-0.71499999999999997</v>
      </c>
      <c r="HX87" s="4">
        <v>3.6869999999999998</v>
      </c>
      <c r="HY87" s="4">
        <v>3.8530000000000002</v>
      </c>
      <c r="HZ87" s="4">
        <v>4.6379999999999999</v>
      </c>
      <c r="IA87" s="4">
        <v>-3.5790000000000002</v>
      </c>
      <c r="IB87" s="4">
        <v>4.6390000000000002</v>
      </c>
      <c r="IC87" s="4">
        <v>4.1520000000000001</v>
      </c>
      <c r="ID87" s="4">
        <v>3.7309999999999999</v>
      </c>
      <c r="IE87" s="4">
        <v>3.855</v>
      </c>
      <c r="IF87" s="4">
        <v>3.8250000000000002</v>
      </c>
      <c r="IG87" s="4">
        <v>2.0139999999999998</v>
      </c>
      <c r="IH87" s="4">
        <v>-1.6559999999999999</v>
      </c>
      <c r="II87" s="4">
        <v>-2.7759999999999998</v>
      </c>
      <c r="IJ87" s="4">
        <v>3.347</v>
      </c>
      <c r="IK87" s="4">
        <v>3.927</v>
      </c>
      <c r="IL87" s="4">
        <v>-2.028</v>
      </c>
      <c r="IM87" s="4">
        <v>3.8290000000000002</v>
      </c>
      <c r="IN87" s="4">
        <v>1.2390000000000001</v>
      </c>
      <c r="IO87" s="4">
        <v>1.96</v>
      </c>
      <c r="IP87" s="4">
        <v>2.5019999999999998</v>
      </c>
      <c r="IQ87" s="4">
        <v>3.9169999999999998</v>
      </c>
      <c r="IR87" s="4">
        <v>4.2130000000000001</v>
      </c>
      <c r="IS87" s="4">
        <v>-1.4319999999999999</v>
      </c>
      <c r="IT87" s="4">
        <v>2.5750000000000002</v>
      </c>
      <c r="IU87" s="4">
        <v>-1.385</v>
      </c>
      <c r="IV87" s="4">
        <v>3.7</v>
      </c>
      <c r="IW87" s="4">
        <v>-2.839</v>
      </c>
      <c r="IX87" s="4">
        <v>3.66</v>
      </c>
      <c r="IY87" s="4">
        <v>2.3730000000000002</v>
      </c>
      <c r="IZ87" s="4">
        <v>3.4049999999999998</v>
      </c>
      <c r="JA87" s="4">
        <v>2.8639999999999999</v>
      </c>
      <c r="JB87" s="4">
        <v>2.464</v>
      </c>
      <c r="JC87" s="4">
        <v>0.85199999999999998</v>
      </c>
      <c r="JD87" s="4">
        <v>3.117</v>
      </c>
      <c r="JE87" s="4">
        <v>4.4420000000000002</v>
      </c>
      <c r="JF87" s="4">
        <v>3.8940000000000001</v>
      </c>
      <c r="JG87" s="4">
        <v>3.395</v>
      </c>
      <c r="JH87" s="4">
        <v>3.9</v>
      </c>
      <c r="JI87" s="4">
        <v>1.2509999999999999</v>
      </c>
      <c r="JJ87" s="4">
        <v>2.823</v>
      </c>
      <c r="JK87" s="4">
        <v>2.468</v>
      </c>
      <c r="JL87" s="4">
        <v>5.0209999999999999</v>
      </c>
      <c r="JM87" s="4">
        <v>3.3530000000000002</v>
      </c>
      <c r="JN87" s="4">
        <v>4.0229999999999997</v>
      </c>
      <c r="JO87" s="4">
        <v>3.7829999999999999</v>
      </c>
      <c r="JP87" s="4">
        <v>3.746</v>
      </c>
      <c r="JQ87" s="4">
        <v>3.3220000000000001</v>
      </c>
      <c r="JR87" s="4">
        <v>2.2839999999999998</v>
      </c>
      <c r="JS87" s="4">
        <v>0.375</v>
      </c>
      <c r="JT87" s="4">
        <v>3.46</v>
      </c>
      <c r="JU87" s="4">
        <v>3.476</v>
      </c>
      <c r="JV87" s="4">
        <v>3.0609999999999999</v>
      </c>
      <c r="JW87" s="4">
        <v>3.6539999999999999</v>
      </c>
      <c r="JX87" s="4">
        <v>2.605</v>
      </c>
      <c r="JY87" s="4">
        <v>3.6269999999999998</v>
      </c>
      <c r="JZ87" s="4">
        <v>3.3210000000000002</v>
      </c>
      <c r="KA87" s="4">
        <v>3.4319999999999999</v>
      </c>
      <c r="KB87" s="4">
        <v>-0.48099999999999998</v>
      </c>
      <c r="KC87" s="4">
        <v>0.35799999999999998</v>
      </c>
      <c r="KD87" s="4">
        <v>3.4529999999999998</v>
      </c>
      <c r="KE87" s="4">
        <v>4.26</v>
      </c>
      <c r="KF87" s="4">
        <v>2.9220000000000002</v>
      </c>
      <c r="KG87" s="4">
        <v>3.78</v>
      </c>
      <c r="KH87" s="4">
        <v>2.9449999999999998</v>
      </c>
      <c r="KI87" s="4">
        <v>3.0190000000000001</v>
      </c>
      <c r="KJ87" s="4">
        <v>4.1210000000000004</v>
      </c>
      <c r="KK87" s="4">
        <v>2.73</v>
      </c>
      <c r="KL87" s="4">
        <v>2.4329999999999998</v>
      </c>
      <c r="KM87" s="4">
        <v>-2.2250000000000001</v>
      </c>
      <c r="KN87" s="4">
        <v>3.0489999999999999</v>
      </c>
      <c r="KO87" s="4">
        <v>-1.081</v>
      </c>
      <c r="KP87" s="4">
        <v>3.149</v>
      </c>
      <c r="KQ87" s="4">
        <v>3.9220000000000002</v>
      </c>
      <c r="KR87" s="4">
        <v>2.645</v>
      </c>
      <c r="KS87" s="4">
        <v>4.7649999999999997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6C2A9-E2E0-4A54-B6C2-502819E55344}">
  <sheetPr codeName="Sheet6"/>
  <dimension ref="A1:AQ332"/>
  <sheetViews>
    <sheetView workbookViewId="0">
      <selection activeCell="A287" sqref="A287"/>
    </sheetView>
  </sheetViews>
  <sheetFormatPr defaultRowHeight="15" x14ac:dyDescent="0.25"/>
  <cols>
    <col min="1" max="1" width="14.85546875" style="8" customWidth="1"/>
    <col min="2" max="2" width="4.85546875" style="8" customWidth="1"/>
    <col min="3" max="3" width="20.140625" customWidth="1"/>
    <col min="6" max="6" width="26.85546875" customWidth="1"/>
  </cols>
  <sheetData>
    <row r="1" spans="1:43" x14ac:dyDescent="0.25">
      <c r="A1" s="22" t="s">
        <v>339</v>
      </c>
      <c r="B1" s="18">
        <v>1</v>
      </c>
      <c r="C1" s="22" t="s">
        <v>339</v>
      </c>
      <c r="D1" s="17"/>
      <c r="E1" s="17"/>
      <c r="F1" s="17"/>
      <c r="G1" s="17"/>
      <c r="H1" s="20">
        <v>1.9</v>
      </c>
      <c r="J1" t="s">
        <v>1043</v>
      </c>
    </row>
    <row r="2" spans="1:43" x14ac:dyDescent="0.25">
      <c r="A2" s="22" t="s">
        <v>32</v>
      </c>
      <c r="B2" s="18">
        <v>2</v>
      </c>
      <c r="C2" t="s">
        <v>32</v>
      </c>
      <c r="D2">
        <v>59.357999999999997</v>
      </c>
      <c r="E2">
        <v>17.524000000000001</v>
      </c>
      <c r="F2" t="s">
        <v>341</v>
      </c>
      <c r="G2">
        <v>3</v>
      </c>
      <c r="H2">
        <v>1</v>
      </c>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row>
    <row r="3" spans="1:43" x14ac:dyDescent="0.25">
      <c r="A3" s="22" t="s">
        <v>33</v>
      </c>
      <c r="B3" s="18">
        <v>3</v>
      </c>
      <c r="C3" t="s">
        <v>33</v>
      </c>
      <c r="D3">
        <v>57.915999999999997</v>
      </c>
      <c r="E3">
        <v>12.064</v>
      </c>
      <c r="F3" t="s">
        <v>342</v>
      </c>
      <c r="G3">
        <v>3</v>
      </c>
      <c r="H3">
        <v>1</v>
      </c>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row>
    <row r="4" spans="1:43" x14ac:dyDescent="0.25">
      <c r="A4" s="22" t="s">
        <v>34</v>
      </c>
      <c r="B4" s="18">
        <v>4</v>
      </c>
      <c r="C4" t="s">
        <v>34</v>
      </c>
      <c r="D4">
        <v>57.927999999999997</v>
      </c>
      <c r="E4">
        <v>12.539</v>
      </c>
      <c r="F4" t="s">
        <v>342</v>
      </c>
      <c r="G4">
        <v>3</v>
      </c>
      <c r="H4">
        <v>1</v>
      </c>
    </row>
    <row r="5" spans="1:43" x14ac:dyDescent="0.25">
      <c r="A5" s="22" t="s">
        <v>35</v>
      </c>
      <c r="B5" s="18">
        <v>5</v>
      </c>
      <c r="C5" t="s">
        <v>35</v>
      </c>
      <c r="D5">
        <v>56.561</v>
      </c>
      <c r="E5">
        <v>14.146000000000001</v>
      </c>
      <c r="F5" t="s">
        <v>343</v>
      </c>
      <c r="G5">
        <v>3</v>
      </c>
      <c r="H5">
        <v>1</v>
      </c>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row>
    <row r="6" spans="1:43" x14ac:dyDescent="0.25">
      <c r="A6" s="22" t="s">
        <v>36</v>
      </c>
      <c r="B6" s="18">
        <v>6</v>
      </c>
      <c r="C6" t="s">
        <v>36</v>
      </c>
      <c r="D6">
        <v>61.223999999999997</v>
      </c>
      <c r="E6">
        <v>14.048</v>
      </c>
      <c r="F6" t="s">
        <v>349</v>
      </c>
      <c r="G6">
        <v>2</v>
      </c>
      <c r="H6">
        <v>1.4</v>
      </c>
    </row>
    <row r="7" spans="1:43" x14ac:dyDescent="0.25">
      <c r="A7" s="22" t="s">
        <v>37</v>
      </c>
      <c r="B7" s="18">
        <v>7</v>
      </c>
      <c r="C7" t="s">
        <v>37</v>
      </c>
      <c r="D7">
        <v>56.9</v>
      </c>
      <c r="E7">
        <v>14.555999999999999</v>
      </c>
      <c r="F7" t="s">
        <v>343</v>
      </c>
      <c r="G7">
        <v>3</v>
      </c>
      <c r="H7">
        <v>1</v>
      </c>
    </row>
    <row r="8" spans="1:43" x14ac:dyDescent="0.25">
      <c r="A8" s="22" t="s">
        <v>38</v>
      </c>
      <c r="B8" s="18">
        <v>8</v>
      </c>
      <c r="C8" t="s">
        <v>429</v>
      </c>
      <c r="D8">
        <v>60.372799999999998</v>
      </c>
      <c r="E8">
        <v>17.245799999999999</v>
      </c>
      <c r="F8" t="s">
        <v>361</v>
      </c>
      <c r="G8">
        <v>3</v>
      </c>
      <c r="H8">
        <v>1.1000000000000001</v>
      </c>
    </row>
    <row r="9" spans="1:43" x14ac:dyDescent="0.25">
      <c r="A9" s="22" t="s">
        <v>425</v>
      </c>
      <c r="B9" s="18">
        <v>9</v>
      </c>
      <c r="C9" t="s">
        <v>425</v>
      </c>
      <c r="D9">
        <v>59.052</v>
      </c>
      <c r="E9">
        <v>12.705</v>
      </c>
      <c r="F9" t="s">
        <v>342</v>
      </c>
      <c r="G9">
        <v>3</v>
      </c>
      <c r="H9">
        <v>1</v>
      </c>
      <c r="S9" s="17"/>
    </row>
    <row r="10" spans="1:43" x14ac:dyDescent="0.25">
      <c r="A10" s="22" t="s">
        <v>41</v>
      </c>
      <c r="B10" s="18">
        <v>11</v>
      </c>
      <c r="C10" t="s">
        <v>41</v>
      </c>
      <c r="D10">
        <v>62.52</v>
      </c>
      <c r="E10">
        <v>15.662000000000001</v>
      </c>
      <c r="F10" t="s">
        <v>379</v>
      </c>
      <c r="G10">
        <v>2</v>
      </c>
      <c r="H10">
        <v>1.4</v>
      </c>
      <c r="S10" s="17"/>
    </row>
    <row r="11" spans="1:43" x14ac:dyDescent="0.25">
      <c r="A11" s="22" t="s">
        <v>40</v>
      </c>
      <c r="B11" s="18">
        <v>10</v>
      </c>
      <c r="C11" t="s">
        <v>40</v>
      </c>
      <c r="D11">
        <v>56.246000000000002</v>
      </c>
      <c r="E11">
        <v>12.868</v>
      </c>
      <c r="F11" t="s">
        <v>351</v>
      </c>
      <c r="G11">
        <v>4</v>
      </c>
      <c r="H11">
        <v>0.9</v>
      </c>
      <c r="S11" s="17"/>
    </row>
    <row r="12" spans="1:43" x14ac:dyDescent="0.25">
      <c r="A12" s="22" t="s">
        <v>42</v>
      </c>
      <c r="B12" s="18">
        <v>12</v>
      </c>
      <c r="C12" t="s">
        <v>42</v>
      </c>
      <c r="D12">
        <v>59.392000000000003</v>
      </c>
      <c r="E12">
        <v>15.855</v>
      </c>
      <c r="F12" t="s">
        <v>346</v>
      </c>
      <c r="G12">
        <v>3</v>
      </c>
      <c r="H12">
        <v>1</v>
      </c>
      <c r="S12" s="17"/>
    </row>
    <row r="13" spans="1:43" x14ac:dyDescent="0.25">
      <c r="A13" s="22" t="s">
        <v>43</v>
      </c>
      <c r="B13" s="18">
        <v>13</v>
      </c>
      <c r="C13" t="s">
        <v>43</v>
      </c>
      <c r="D13">
        <v>63.41</v>
      </c>
      <c r="E13">
        <v>13.07</v>
      </c>
      <c r="F13" t="s">
        <v>357</v>
      </c>
      <c r="G13">
        <v>1</v>
      </c>
      <c r="H13">
        <v>1.6</v>
      </c>
      <c r="S13" s="17"/>
    </row>
    <row r="14" spans="1:43" x14ac:dyDescent="0.25">
      <c r="A14" s="22" t="s">
        <v>426</v>
      </c>
      <c r="B14" s="18">
        <v>14</v>
      </c>
      <c r="C14" t="s">
        <v>426</v>
      </c>
      <c r="D14">
        <v>59.387</v>
      </c>
      <c r="E14">
        <v>12.135999999999999</v>
      </c>
      <c r="F14" t="s">
        <v>347</v>
      </c>
      <c r="G14">
        <v>2</v>
      </c>
      <c r="H14">
        <v>1.1000000000000001</v>
      </c>
      <c r="S14" s="17"/>
    </row>
    <row r="15" spans="1:43" x14ac:dyDescent="0.25">
      <c r="A15" s="22" t="s">
        <v>45</v>
      </c>
      <c r="B15" s="18">
        <v>15</v>
      </c>
      <c r="C15" t="s">
        <v>45</v>
      </c>
      <c r="D15">
        <v>66.049000000000007</v>
      </c>
      <c r="E15">
        <v>17.884</v>
      </c>
      <c r="F15" t="s">
        <v>340</v>
      </c>
      <c r="G15">
        <v>1</v>
      </c>
      <c r="H15">
        <v>1.7</v>
      </c>
      <c r="S15" s="17"/>
    </row>
    <row r="16" spans="1:43" x14ac:dyDescent="0.25">
      <c r="A16" s="22" t="s">
        <v>46</v>
      </c>
      <c r="B16" s="18">
        <v>16</v>
      </c>
      <c r="C16" t="s">
        <v>46</v>
      </c>
      <c r="D16">
        <v>65.591999999999999</v>
      </c>
      <c r="E16">
        <v>19.173999999999999</v>
      </c>
      <c r="F16" t="s">
        <v>340</v>
      </c>
      <c r="G16">
        <v>1</v>
      </c>
      <c r="H16">
        <v>1.6</v>
      </c>
      <c r="S16" s="17"/>
    </row>
    <row r="17" spans="1:19" x14ac:dyDescent="0.25">
      <c r="A17" s="22" t="s">
        <v>47</v>
      </c>
      <c r="B17" s="18">
        <v>17</v>
      </c>
      <c r="C17" t="s">
        <v>47</v>
      </c>
      <c r="D17">
        <v>59.652999999999999</v>
      </c>
      <c r="E17">
        <v>12.606</v>
      </c>
      <c r="F17" t="s">
        <v>347</v>
      </c>
      <c r="G17">
        <v>2</v>
      </c>
      <c r="H17">
        <v>1.1000000000000001</v>
      </c>
      <c r="S17" s="17"/>
    </row>
    <row r="18" spans="1:19" x14ac:dyDescent="0.25">
      <c r="A18" s="22" t="s">
        <v>48</v>
      </c>
      <c r="B18" s="18">
        <v>18</v>
      </c>
      <c r="C18" t="s">
        <v>48</v>
      </c>
      <c r="D18">
        <v>57.167999999999999</v>
      </c>
      <c r="E18">
        <v>15.351000000000001</v>
      </c>
      <c r="F18" t="s">
        <v>343</v>
      </c>
      <c r="G18">
        <v>3</v>
      </c>
      <c r="H18">
        <v>1</v>
      </c>
      <c r="S18" s="17"/>
    </row>
    <row r="19" spans="1:19" x14ac:dyDescent="0.25">
      <c r="A19" s="22" t="s">
        <v>49</v>
      </c>
      <c r="B19" s="18">
        <v>19</v>
      </c>
      <c r="C19" t="s">
        <v>49</v>
      </c>
      <c r="D19">
        <v>58.883000000000003</v>
      </c>
      <c r="E19">
        <v>14.914</v>
      </c>
      <c r="F19" t="s">
        <v>348</v>
      </c>
      <c r="G19">
        <v>3</v>
      </c>
      <c r="H19">
        <v>1.1000000000000001</v>
      </c>
      <c r="S19" s="17"/>
    </row>
    <row r="20" spans="1:19" x14ac:dyDescent="0.25">
      <c r="A20" s="22" t="s">
        <v>50</v>
      </c>
      <c r="B20" s="18">
        <v>20</v>
      </c>
      <c r="C20" t="s">
        <v>50</v>
      </c>
      <c r="D20">
        <v>58.198999999999998</v>
      </c>
      <c r="E20">
        <v>16.003</v>
      </c>
      <c r="F20" t="s">
        <v>368</v>
      </c>
      <c r="G20">
        <v>3</v>
      </c>
      <c r="H20">
        <v>1</v>
      </c>
      <c r="S20" s="17"/>
    </row>
    <row r="21" spans="1:19" x14ac:dyDescent="0.25">
      <c r="A21" s="22" t="s">
        <v>51</v>
      </c>
      <c r="B21" s="18">
        <v>21</v>
      </c>
      <c r="C21" t="s">
        <v>51</v>
      </c>
      <c r="D21">
        <v>60.14</v>
      </c>
      <c r="E21">
        <v>16.198</v>
      </c>
      <c r="F21" t="s">
        <v>349</v>
      </c>
      <c r="G21">
        <v>2</v>
      </c>
      <c r="H21">
        <v>1.1000000000000001</v>
      </c>
      <c r="S21" s="17"/>
    </row>
    <row r="22" spans="1:19" x14ac:dyDescent="0.25">
      <c r="A22" s="22" t="s">
        <v>52</v>
      </c>
      <c r="B22" s="18">
        <v>22</v>
      </c>
      <c r="C22" t="s">
        <v>52</v>
      </c>
      <c r="D22">
        <v>56.424999999999997</v>
      </c>
      <c r="E22">
        <v>12.852</v>
      </c>
      <c r="F22" t="s">
        <v>351</v>
      </c>
      <c r="G22">
        <v>4</v>
      </c>
      <c r="H22">
        <v>0.9</v>
      </c>
      <c r="S22" s="17"/>
    </row>
    <row r="23" spans="1:19" x14ac:dyDescent="0.25">
      <c r="A23" s="22" t="s">
        <v>53</v>
      </c>
      <c r="B23" s="18">
        <v>23</v>
      </c>
      <c r="C23" t="s">
        <v>53</v>
      </c>
      <c r="D23">
        <v>59.031999999999996</v>
      </c>
      <c r="E23">
        <v>12.222</v>
      </c>
      <c r="F23" t="s">
        <v>342</v>
      </c>
      <c r="G23">
        <v>3</v>
      </c>
      <c r="H23">
        <v>1</v>
      </c>
      <c r="S23" s="17"/>
    </row>
    <row r="24" spans="1:19" x14ac:dyDescent="0.25">
      <c r="A24" s="22" t="s">
        <v>54</v>
      </c>
      <c r="B24" s="18">
        <v>24</v>
      </c>
      <c r="C24" t="s">
        <v>54</v>
      </c>
      <c r="D24">
        <v>63.93</v>
      </c>
      <c r="E24">
        <v>19.222999999999999</v>
      </c>
      <c r="F24" t="s">
        <v>350</v>
      </c>
      <c r="G24">
        <v>1</v>
      </c>
      <c r="H24">
        <v>1.4</v>
      </c>
      <c r="S24" s="17"/>
    </row>
    <row r="25" spans="1:19" x14ac:dyDescent="0.25">
      <c r="A25" s="22" t="s">
        <v>55</v>
      </c>
      <c r="B25" s="18">
        <v>25</v>
      </c>
      <c r="C25" t="s">
        <v>55</v>
      </c>
      <c r="D25">
        <v>56.076000000000001</v>
      </c>
      <c r="E25">
        <v>12.938000000000001</v>
      </c>
      <c r="F25" t="s">
        <v>351</v>
      </c>
      <c r="G25">
        <v>4</v>
      </c>
      <c r="H25">
        <v>0.9</v>
      </c>
      <c r="S25" s="17"/>
    </row>
    <row r="26" spans="1:19" x14ac:dyDescent="0.25">
      <c r="A26" s="22" t="s">
        <v>56</v>
      </c>
      <c r="B26" s="18">
        <v>26</v>
      </c>
      <c r="C26" t="s">
        <v>56</v>
      </c>
      <c r="D26">
        <v>65.819999999999993</v>
      </c>
      <c r="E26">
        <v>21.698</v>
      </c>
      <c r="F26" t="s">
        <v>340</v>
      </c>
      <c r="G26">
        <v>1</v>
      </c>
      <c r="H26">
        <v>1.5</v>
      </c>
      <c r="S26" s="17"/>
    </row>
    <row r="27" spans="1:19" x14ac:dyDescent="0.25">
      <c r="A27" s="22" t="s">
        <v>57</v>
      </c>
      <c r="B27" s="18">
        <v>27</v>
      </c>
      <c r="C27" t="s">
        <v>57</v>
      </c>
      <c r="D27">
        <v>57.667000000000002</v>
      </c>
      <c r="E27">
        <v>12.567</v>
      </c>
      <c r="F27" t="s">
        <v>342</v>
      </c>
      <c r="G27">
        <v>3</v>
      </c>
      <c r="H27">
        <v>1</v>
      </c>
      <c r="S27" s="17"/>
    </row>
    <row r="28" spans="1:19" x14ac:dyDescent="0.25">
      <c r="A28" s="22" t="s">
        <v>58</v>
      </c>
      <c r="B28" s="18">
        <v>28</v>
      </c>
      <c r="C28" t="s">
        <v>58</v>
      </c>
      <c r="D28">
        <v>61.348999999999997</v>
      </c>
      <c r="E28">
        <v>16.393000000000001</v>
      </c>
      <c r="F28" t="s">
        <v>352</v>
      </c>
      <c r="G28">
        <v>2</v>
      </c>
      <c r="H28">
        <v>1.2</v>
      </c>
      <c r="S28" s="17"/>
    </row>
    <row r="29" spans="1:19" x14ac:dyDescent="0.25">
      <c r="A29" s="22" t="s">
        <v>59</v>
      </c>
      <c r="B29" s="18">
        <v>29</v>
      </c>
      <c r="C29" t="s">
        <v>59</v>
      </c>
      <c r="D29">
        <v>57.731000000000002</v>
      </c>
      <c r="E29">
        <v>12.946</v>
      </c>
      <c r="F29" t="s">
        <v>342</v>
      </c>
      <c r="G29">
        <v>3</v>
      </c>
      <c r="H29">
        <v>1</v>
      </c>
      <c r="S29" s="17"/>
    </row>
    <row r="30" spans="1:19" x14ac:dyDescent="0.25">
      <c r="A30" s="22" t="s">
        <v>60</v>
      </c>
      <c r="B30" s="18">
        <v>30</v>
      </c>
      <c r="C30" t="s">
        <v>60</v>
      </c>
      <c r="D30">
        <v>56.88</v>
      </c>
      <c r="E30">
        <v>16.66</v>
      </c>
      <c r="F30" t="s">
        <v>354</v>
      </c>
      <c r="G30">
        <v>4</v>
      </c>
      <c r="H30">
        <v>0.9</v>
      </c>
      <c r="S30" s="17"/>
    </row>
    <row r="31" spans="1:19" x14ac:dyDescent="0.25">
      <c r="A31" s="22" t="s">
        <v>61</v>
      </c>
      <c r="B31" s="18">
        <v>31</v>
      </c>
      <c r="C31" t="s">
        <v>61</v>
      </c>
      <c r="D31">
        <v>60.473999999999997</v>
      </c>
      <c r="E31">
        <v>15.46</v>
      </c>
      <c r="F31" t="s">
        <v>349</v>
      </c>
      <c r="G31">
        <v>2</v>
      </c>
      <c r="H31">
        <v>1.2</v>
      </c>
      <c r="S31" s="17"/>
    </row>
    <row r="32" spans="1:19" x14ac:dyDescent="0.25">
      <c r="A32" s="22" t="s">
        <v>355</v>
      </c>
      <c r="B32" s="18">
        <v>32</v>
      </c>
      <c r="C32" t="s">
        <v>355</v>
      </c>
      <c r="D32">
        <v>59.179000000000002</v>
      </c>
      <c r="E32">
        <v>17.913</v>
      </c>
      <c r="F32" t="s">
        <v>341</v>
      </c>
      <c r="G32">
        <v>3</v>
      </c>
      <c r="H32">
        <v>1</v>
      </c>
      <c r="S32" s="17"/>
    </row>
    <row r="33" spans="1:19" x14ac:dyDescent="0.25">
      <c r="A33" s="22" t="s">
        <v>63</v>
      </c>
      <c r="B33" s="18">
        <v>33</v>
      </c>
      <c r="C33" t="s">
        <v>63</v>
      </c>
      <c r="D33">
        <v>62.749000000000002</v>
      </c>
      <c r="E33">
        <v>15.423999999999999</v>
      </c>
      <c r="F33" t="s">
        <v>357</v>
      </c>
      <c r="G33">
        <v>1</v>
      </c>
      <c r="H33">
        <v>1.4</v>
      </c>
      <c r="S33" s="17"/>
    </row>
    <row r="34" spans="1:19" x14ac:dyDescent="0.25">
      <c r="A34" s="22" t="s">
        <v>64</v>
      </c>
      <c r="B34" s="18">
        <v>34</v>
      </c>
      <c r="C34" s="17"/>
      <c r="D34" s="17"/>
      <c r="E34" s="17"/>
      <c r="F34" s="17"/>
      <c r="G34" s="17"/>
      <c r="H34" s="20">
        <v>0.9</v>
      </c>
      <c r="S34" s="17"/>
    </row>
    <row r="35" spans="1:19" x14ac:dyDescent="0.25">
      <c r="A35" s="22" t="s">
        <v>65</v>
      </c>
      <c r="B35" s="18">
        <v>35</v>
      </c>
      <c r="C35" t="s">
        <v>65</v>
      </c>
      <c r="D35">
        <v>56.079000000000001</v>
      </c>
      <c r="E35">
        <v>14.473000000000001</v>
      </c>
      <c r="F35" t="s">
        <v>351</v>
      </c>
      <c r="G35">
        <v>4</v>
      </c>
      <c r="H35">
        <v>0.9</v>
      </c>
      <c r="S35" s="17"/>
    </row>
    <row r="36" spans="1:19" x14ac:dyDescent="0.25">
      <c r="A36" s="22" t="s">
        <v>358</v>
      </c>
      <c r="B36" s="18">
        <v>36</v>
      </c>
      <c r="C36" t="s">
        <v>358</v>
      </c>
      <c r="D36">
        <v>55.633000000000003</v>
      </c>
      <c r="E36">
        <v>13.083</v>
      </c>
      <c r="F36" t="s">
        <v>351</v>
      </c>
      <c r="G36">
        <v>4</v>
      </c>
      <c r="H36">
        <v>0.9</v>
      </c>
      <c r="S36" s="17"/>
    </row>
    <row r="37" spans="1:19" x14ac:dyDescent="0.25">
      <c r="A37" s="22" t="s">
        <v>67</v>
      </c>
      <c r="B37" s="18">
        <v>37</v>
      </c>
      <c r="H37" s="20">
        <v>1.1000000000000001</v>
      </c>
      <c r="S37" s="17"/>
    </row>
    <row r="38" spans="1:19" x14ac:dyDescent="0.25">
      <c r="A38" s="22" t="s">
        <v>68</v>
      </c>
      <c r="B38" s="18">
        <v>38</v>
      </c>
      <c r="C38" t="s">
        <v>68</v>
      </c>
      <c r="D38">
        <v>59.396999999999998</v>
      </c>
      <c r="E38">
        <v>18.082000000000001</v>
      </c>
      <c r="F38" t="s">
        <v>341</v>
      </c>
      <c r="G38">
        <v>3</v>
      </c>
      <c r="H38">
        <v>1</v>
      </c>
      <c r="S38" s="17"/>
    </row>
    <row r="39" spans="1:19" x14ac:dyDescent="0.25">
      <c r="A39" s="22" t="s">
        <v>69</v>
      </c>
      <c r="B39" s="18">
        <v>39</v>
      </c>
      <c r="C39" t="s">
        <v>69</v>
      </c>
      <c r="D39">
        <v>59.232999999999997</v>
      </c>
      <c r="E39">
        <v>14.433</v>
      </c>
      <c r="F39" t="s">
        <v>348</v>
      </c>
      <c r="G39">
        <v>3</v>
      </c>
      <c r="H39">
        <v>1.1000000000000001</v>
      </c>
      <c r="S39" s="17"/>
    </row>
    <row r="40" spans="1:19" x14ac:dyDescent="0.25">
      <c r="A40" s="22" t="s">
        <v>360</v>
      </c>
      <c r="B40" s="18">
        <v>40</v>
      </c>
      <c r="C40" s="17"/>
      <c r="D40" s="17"/>
      <c r="E40" s="17"/>
      <c r="F40" s="17"/>
      <c r="G40" s="17"/>
      <c r="H40" s="20">
        <v>1.2</v>
      </c>
      <c r="S40" s="17"/>
    </row>
    <row r="41" spans="1:19" x14ac:dyDescent="0.25">
      <c r="A41" s="22" t="s">
        <v>71</v>
      </c>
      <c r="B41" s="18">
        <v>41</v>
      </c>
      <c r="C41" t="s">
        <v>71</v>
      </c>
      <c r="D41">
        <v>64.262</v>
      </c>
      <c r="E41">
        <v>16.417999999999999</v>
      </c>
      <c r="F41" t="s">
        <v>350</v>
      </c>
      <c r="G41">
        <v>1</v>
      </c>
      <c r="H41">
        <v>1.5</v>
      </c>
      <c r="S41" s="17"/>
    </row>
    <row r="42" spans="1:19" x14ac:dyDescent="0.25">
      <c r="A42" s="22" t="s">
        <v>73</v>
      </c>
      <c r="B42" s="18">
        <v>43</v>
      </c>
      <c r="C42" s="17" t="s">
        <v>73</v>
      </c>
      <c r="D42" s="17">
        <v>58.908000000000001</v>
      </c>
      <c r="E42" s="17">
        <v>11.94</v>
      </c>
      <c r="F42" s="17" t="s">
        <v>342</v>
      </c>
      <c r="G42" s="17">
        <v>3</v>
      </c>
      <c r="H42" s="17">
        <v>1.1000000000000001</v>
      </c>
      <c r="S42" s="17"/>
    </row>
    <row r="43" spans="1:19" x14ac:dyDescent="0.25">
      <c r="A43" s="22" t="s">
        <v>72</v>
      </c>
      <c r="B43" s="18">
        <v>42</v>
      </c>
      <c r="H43" s="20">
        <v>1.3</v>
      </c>
      <c r="S43" s="17"/>
    </row>
    <row r="44" spans="1:19" x14ac:dyDescent="0.25">
      <c r="A44" s="22" t="s">
        <v>74</v>
      </c>
      <c r="B44" s="18">
        <v>44</v>
      </c>
      <c r="C44" t="s">
        <v>74</v>
      </c>
      <c r="D44">
        <v>57.667000000000002</v>
      </c>
      <c r="E44">
        <v>14.974</v>
      </c>
      <c r="F44" t="s">
        <v>345</v>
      </c>
      <c r="G44">
        <v>3</v>
      </c>
      <c r="H44">
        <v>1.1000000000000001</v>
      </c>
      <c r="S44" s="17"/>
    </row>
    <row r="45" spans="1:19" x14ac:dyDescent="0.25">
      <c r="A45" s="22" t="s">
        <v>75</v>
      </c>
      <c r="B45" s="18">
        <v>45</v>
      </c>
      <c r="C45" t="s">
        <v>75</v>
      </c>
      <c r="D45">
        <v>56.63</v>
      </c>
      <c r="E45">
        <v>15.538</v>
      </c>
      <c r="F45" t="s">
        <v>354</v>
      </c>
      <c r="G45">
        <v>4</v>
      </c>
      <c r="H45">
        <v>0.9</v>
      </c>
    </row>
    <row r="46" spans="1:19" x14ac:dyDescent="0.25">
      <c r="A46" s="22" t="s">
        <v>76</v>
      </c>
      <c r="B46" s="18">
        <v>46</v>
      </c>
      <c r="C46" t="s">
        <v>76</v>
      </c>
      <c r="D46">
        <v>59.64</v>
      </c>
      <c r="E46">
        <v>17.09</v>
      </c>
      <c r="F46" t="s">
        <v>361</v>
      </c>
      <c r="G46">
        <v>3</v>
      </c>
      <c r="H46">
        <v>1</v>
      </c>
    </row>
    <row r="47" spans="1:19" x14ac:dyDescent="0.25">
      <c r="A47" s="22" t="s">
        <v>77</v>
      </c>
      <c r="B47" s="18">
        <v>47</v>
      </c>
      <c r="C47" t="s">
        <v>77</v>
      </c>
      <c r="D47">
        <v>59.37</v>
      </c>
      <c r="E47">
        <v>16.498999999999999</v>
      </c>
      <c r="F47" t="s">
        <v>364</v>
      </c>
      <c r="G47">
        <v>3</v>
      </c>
      <c r="H47">
        <v>1</v>
      </c>
    </row>
    <row r="48" spans="1:19" x14ac:dyDescent="0.25">
      <c r="A48" s="22" t="s">
        <v>78</v>
      </c>
      <c r="B48" s="18">
        <v>48</v>
      </c>
      <c r="C48" t="s">
        <v>78</v>
      </c>
      <c r="D48">
        <v>55.837000000000003</v>
      </c>
      <c r="E48">
        <v>13.305999999999999</v>
      </c>
      <c r="F48" t="s">
        <v>351</v>
      </c>
      <c r="G48">
        <v>4</v>
      </c>
      <c r="H48">
        <v>0.9</v>
      </c>
    </row>
    <row r="49" spans="1:8" x14ac:dyDescent="0.25">
      <c r="A49" s="22" t="s">
        <v>79</v>
      </c>
      <c r="B49" s="18">
        <v>49</v>
      </c>
      <c r="C49" t="s">
        <v>79</v>
      </c>
      <c r="D49">
        <v>58.189</v>
      </c>
      <c r="E49">
        <v>12.718999999999999</v>
      </c>
      <c r="F49" t="s">
        <v>342</v>
      </c>
      <c r="G49">
        <v>3</v>
      </c>
      <c r="H49">
        <v>1</v>
      </c>
    </row>
    <row r="50" spans="1:8" x14ac:dyDescent="0.25">
      <c r="A50" s="22" t="s">
        <v>80</v>
      </c>
      <c r="B50" s="18">
        <v>50</v>
      </c>
      <c r="C50" t="s">
        <v>80</v>
      </c>
      <c r="D50">
        <v>59.997</v>
      </c>
      <c r="E50">
        <v>15.808999999999999</v>
      </c>
      <c r="F50" t="s">
        <v>346</v>
      </c>
      <c r="G50">
        <v>3</v>
      </c>
      <c r="H50">
        <v>1.1000000000000001</v>
      </c>
    </row>
    <row r="51" spans="1:8" x14ac:dyDescent="0.25">
      <c r="A51" s="22" t="s">
        <v>81</v>
      </c>
      <c r="B51" s="18">
        <v>51</v>
      </c>
      <c r="C51" s="17"/>
      <c r="D51" s="17"/>
      <c r="E51" s="17"/>
      <c r="F51" s="17"/>
      <c r="G51" s="17"/>
      <c r="H51" s="20">
        <v>0.9</v>
      </c>
    </row>
    <row r="52" spans="1:8" x14ac:dyDescent="0.25">
      <c r="A52" s="22" t="s">
        <v>82</v>
      </c>
      <c r="B52" s="18">
        <v>52</v>
      </c>
      <c r="C52" t="s">
        <v>82</v>
      </c>
      <c r="D52">
        <v>58.173000000000002</v>
      </c>
      <c r="E52">
        <v>13.554</v>
      </c>
      <c r="F52" t="s">
        <v>342</v>
      </c>
      <c r="G52">
        <v>3</v>
      </c>
      <c r="H52">
        <v>1</v>
      </c>
    </row>
    <row r="53" spans="1:8" x14ac:dyDescent="0.25">
      <c r="A53" s="22" t="s">
        <v>83</v>
      </c>
      <c r="B53" s="18">
        <v>53</v>
      </c>
      <c r="C53" s="17"/>
      <c r="D53" s="17"/>
      <c r="E53" s="17"/>
      <c r="F53" s="17"/>
      <c r="G53" s="17"/>
      <c r="H53" s="20">
        <v>0.8</v>
      </c>
    </row>
    <row r="54" spans="1:8" x14ac:dyDescent="0.25">
      <c r="A54" s="22" t="s">
        <v>84</v>
      </c>
      <c r="B54" s="18">
        <v>54</v>
      </c>
      <c r="C54" t="s">
        <v>84</v>
      </c>
      <c r="D54">
        <v>60.597999999999999</v>
      </c>
      <c r="E54">
        <v>15.67</v>
      </c>
      <c r="F54" t="s">
        <v>349</v>
      </c>
      <c r="G54">
        <v>2</v>
      </c>
      <c r="H54">
        <v>1.2</v>
      </c>
    </row>
    <row r="55" spans="1:8" x14ac:dyDescent="0.25">
      <c r="A55" s="22" t="s">
        <v>85</v>
      </c>
      <c r="B55" s="18">
        <v>55</v>
      </c>
      <c r="C55" t="s">
        <v>85</v>
      </c>
      <c r="D55">
        <v>58.570999999999998</v>
      </c>
      <c r="E55">
        <v>11.994</v>
      </c>
      <c r="F55" t="s">
        <v>342</v>
      </c>
      <c r="G55">
        <v>3</v>
      </c>
      <c r="H55">
        <v>1</v>
      </c>
    </row>
    <row r="56" spans="1:8" x14ac:dyDescent="0.25">
      <c r="A56" s="22" t="s">
        <v>86</v>
      </c>
      <c r="B56" s="18">
        <v>56</v>
      </c>
      <c r="C56" t="s">
        <v>86</v>
      </c>
      <c r="D56">
        <v>59.710999999999999</v>
      </c>
      <c r="E56">
        <v>14.17</v>
      </c>
      <c r="F56" t="s">
        <v>347</v>
      </c>
      <c r="G56">
        <v>2</v>
      </c>
      <c r="H56">
        <v>1.1000000000000001</v>
      </c>
    </row>
    <row r="57" spans="1:8" x14ac:dyDescent="0.25">
      <c r="A57" s="22" t="s">
        <v>87</v>
      </c>
      <c r="B57" s="18">
        <v>57</v>
      </c>
      <c r="C57" t="s">
        <v>87</v>
      </c>
      <c r="D57">
        <v>60.235999999999997</v>
      </c>
      <c r="E57">
        <v>17.907</v>
      </c>
      <c r="F57" t="s">
        <v>361</v>
      </c>
      <c r="G57">
        <v>3</v>
      </c>
      <c r="H57">
        <v>1</v>
      </c>
    </row>
    <row r="58" spans="1:8" x14ac:dyDescent="0.25">
      <c r="A58" s="22" t="s">
        <v>88</v>
      </c>
      <c r="B58" s="18">
        <v>58</v>
      </c>
      <c r="C58" t="s">
        <v>88</v>
      </c>
      <c r="D58">
        <v>58.704999999999998</v>
      </c>
      <c r="E58">
        <v>15.773</v>
      </c>
      <c r="F58" t="s">
        <v>368</v>
      </c>
      <c r="G58">
        <v>3</v>
      </c>
      <c r="H58">
        <v>1</v>
      </c>
    </row>
    <row r="59" spans="1:8" x14ac:dyDescent="0.25">
      <c r="A59" s="22" t="s">
        <v>89</v>
      </c>
      <c r="B59" s="18">
        <v>59</v>
      </c>
      <c r="C59" t="s">
        <v>89</v>
      </c>
      <c r="D59">
        <v>59.057000000000002</v>
      </c>
      <c r="E59">
        <v>16.596</v>
      </c>
      <c r="F59" t="s">
        <v>364</v>
      </c>
      <c r="G59">
        <v>3</v>
      </c>
      <c r="H59">
        <v>1</v>
      </c>
    </row>
    <row r="60" spans="1:8" x14ac:dyDescent="0.25">
      <c r="A60" s="22" t="s">
        <v>370</v>
      </c>
      <c r="B60" s="18">
        <v>60</v>
      </c>
      <c r="C60" s="17"/>
      <c r="D60" s="17"/>
      <c r="E60" s="17"/>
      <c r="F60" s="17"/>
      <c r="G60" s="17"/>
      <c r="H60" s="20">
        <v>1.5</v>
      </c>
    </row>
    <row r="61" spans="1:8" x14ac:dyDescent="0.25">
      <c r="A61" s="22" t="s">
        <v>91</v>
      </c>
      <c r="B61" s="18">
        <v>61</v>
      </c>
      <c r="C61" t="s">
        <v>91</v>
      </c>
      <c r="D61">
        <v>59.533000000000001</v>
      </c>
      <c r="E61">
        <v>13.467000000000001</v>
      </c>
      <c r="F61" t="s">
        <v>347</v>
      </c>
      <c r="G61">
        <v>2</v>
      </c>
      <c r="H61">
        <v>1.1000000000000001</v>
      </c>
    </row>
    <row r="62" spans="1:8" x14ac:dyDescent="0.25">
      <c r="A62" s="22" t="s">
        <v>92</v>
      </c>
      <c r="B62" s="18">
        <v>62</v>
      </c>
      <c r="C62" s="17"/>
      <c r="D62" s="17"/>
      <c r="E62" s="17"/>
      <c r="F62" s="17"/>
      <c r="G62" s="17"/>
      <c r="H62" s="20">
        <v>1.5</v>
      </c>
    </row>
    <row r="63" spans="1:8" x14ac:dyDescent="0.25">
      <c r="A63" s="22" t="s">
        <v>93</v>
      </c>
      <c r="B63" s="18">
        <v>63</v>
      </c>
      <c r="C63" s="17"/>
      <c r="D63" s="17"/>
      <c r="E63" s="17"/>
      <c r="F63" s="17"/>
      <c r="G63" s="17"/>
      <c r="H63" s="20">
        <v>1.5</v>
      </c>
    </row>
    <row r="64" spans="1:8" x14ac:dyDescent="0.25">
      <c r="A64" s="22" t="s">
        <v>94</v>
      </c>
      <c r="B64" s="18">
        <v>64</v>
      </c>
      <c r="C64" t="s">
        <v>94</v>
      </c>
      <c r="D64">
        <v>60.55</v>
      </c>
      <c r="E64">
        <v>15.132999999999999</v>
      </c>
      <c r="F64" t="s">
        <v>349</v>
      </c>
      <c r="G64">
        <v>2</v>
      </c>
      <c r="H64">
        <v>1.2</v>
      </c>
    </row>
    <row r="65" spans="1:8" x14ac:dyDescent="0.25">
      <c r="A65" s="22" t="s">
        <v>95</v>
      </c>
      <c r="B65" s="18">
        <v>65</v>
      </c>
      <c r="C65" t="s">
        <v>95</v>
      </c>
      <c r="D65">
        <v>67.14</v>
      </c>
      <c r="E65">
        <v>20.663</v>
      </c>
      <c r="F65" t="s">
        <v>340</v>
      </c>
      <c r="G65">
        <v>1</v>
      </c>
      <c r="H65">
        <v>1.9</v>
      </c>
    </row>
    <row r="66" spans="1:8" x14ac:dyDescent="0.25">
      <c r="A66" s="22" t="s">
        <v>96</v>
      </c>
      <c r="B66" s="18">
        <v>66</v>
      </c>
      <c r="C66" t="s">
        <v>96</v>
      </c>
      <c r="D66">
        <v>60.679000000000002</v>
      </c>
      <c r="E66">
        <v>17.183</v>
      </c>
      <c r="F66" t="s">
        <v>352</v>
      </c>
      <c r="G66">
        <v>2</v>
      </c>
      <c r="H66">
        <v>1.1000000000000001</v>
      </c>
    </row>
    <row r="67" spans="1:8" x14ac:dyDescent="0.25">
      <c r="A67" s="22" t="s">
        <v>97</v>
      </c>
      <c r="B67" s="18">
        <v>67</v>
      </c>
      <c r="C67" t="s">
        <v>97</v>
      </c>
      <c r="D67">
        <v>57.298000000000002</v>
      </c>
      <c r="E67">
        <v>13.552</v>
      </c>
      <c r="F67" t="s">
        <v>345</v>
      </c>
      <c r="G67">
        <v>3</v>
      </c>
      <c r="H67">
        <v>1</v>
      </c>
    </row>
    <row r="68" spans="1:8" x14ac:dyDescent="0.25">
      <c r="A68" s="22" t="s">
        <v>98</v>
      </c>
      <c r="B68" s="18">
        <v>68</v>
      </c>
      <c r="C68" t="s">
        <v>98</v>
      </c>
      <c r="D68">
        <v>59.042999999999999</v>
      </c>
      <c r="E68">
        <v>17.312999999999999</v>
      </c>
      <c r="F68" t="s">
        <v>364</v>
      </c>
      <c r="G68">
        <v>3</v>
      </c>
      <c r="H68">
        <v>1</v>
      </c>
    </row>
    <row r="69" spans="1:8" x14ac:dyDescent="0.25">
      <c r="A69" s="22" t="s">
        <v>99</v>
      </c>
      <c r="B69" s="18">
        <v>69</v>
      </c>
      <c r="C69" t="s">
        <v>99</v>
      </c>
      <c r="D69">
        <v>57.671999999999997</v>
      </c>
      <c r="E69">
        <v>11.958</v>
      </c>
      <c r="F69" t="s">
        <v>342</v>
      </c>
      <c r="G69">
        <v>4</v>
      </c>
      <c r="H69">
        <v>0.9</v>
      </c>
    </row>
    <row r="70" spans="1:8" x14ac:dyDescent="0.25">
      <c r="A70" s="22" t="s">
        <v>100</v>
      </c>
      <c r="B70" s="18">
        <v>70</v>
      </c>
      <c r="C70" t="s">
        <v>100</v>
      </c>
      <c r="D70">
        <v>58.524999999999999</v>
      </c>
      <c r="E70">
        <v>13.491</v>
      </c>
      <c r="F70" t="s">
        <v>342</v>
      </c>
      <c r="G70">
        <v>3</v>
      </c>
      <c r="H70">
        <v>1</v>
      </c>
    </row>
    <row r="71" spans="1:8" x14ac:dyDescent="0.25">
      <c r="A71" s="22" t="s">
        <v>101</v>
      </c>
      <c r="B71" s="18">
        <v>71</v>
      </c>
      <c r="C71" t="s">
        <v>101</v>
      </c>
      <c r="D71">
        <v>58.332999999999998</v>
      </c>
      <c r="E71">
        <v>12.667</v>
      </c>
      <c r="F71" t="s">
        <v>342</v>
      </c>
      <c r="G71">
        <v>3</v>
      </c>
      <c r="H71">
        <v>1</v>
      </c>
    </row>
    <row r="72" spans="1:8" x14ac:dyDescent="0.25">
      <c r="A72" s="22" t="s">
        <v>102</v>
      </c>
      <c r="B72" s="18">
        <v>72</v>
      </c>
      <c r="C72" t="s">
        <v>102</v>
      </c>
      <c r="D72">
        <v>57.908999999999999</v>
      </c>
      <c r="E72">
        <v>14.074999999999999</v>
      </c>
      <c r="F72" t="s">
        <v>345</v>
      </c>
      <c r="G72">
        <v>3</v>
      </c>
      <c r="H72">
        <v>1</v>
      </c>
    </row>
    <row r="73" spans="1:8" x14ac:dyDescent="0.25">
      <c r="A73" s="22" t="s">
        <v>103</v>
      </c>
      <c r="B73" s="18">
        <v>73</v>
      </c>
      <c r="C73" t="s">
        <v>103</v>
      </c>
      <c r="D73">
        <v>60.033999999999999</v>
      </c>
      <c r="E73">
        <v>13.693</v>
      </c>
      <c r="F73" t="s">
        <v>347</v>
      </c>
      <c r="G73">
        <v>2</v>
      </c>
      <c r="H73">
        <v>1.2</v>
      </c>
    </row>
    <row r="74" spans="1:8" x14ac:dyDescent="0.25">
      <c r="A74" s="22" t="s">
        <v>104</v>
      </c>
      <c r="B74" s="18">
        <v>74</v>
      </c>
      <c r="C74" t="s">
        <v>104</v>
      </c>
      <c r="D74">
        <v>59.767000000000003</v>
      </c>
      <c r="E74">
        <v>14.516999999999999</v>
      </c>
      <c r="F74" t="s">
        <v>348</v>
      </c>
      <c r="G74">
        <v>3</v>
      </c>
      <c r="H74">
        <v>1.1000000000000001</v>
      </c>
    </row>
    <row r="75" spans="1:8" x14ac:dyDescent="0.25">
      <c r="A75" s="22" t="s">
        <v>105</v>
      </c>
      <c r="B75" s="18">
        <v>75</v>
      </c>
      <c r="C75" t="s">
        <v>105</v>
      </c>
      <c r="D75">
        <v>59.067</v>
      </c>
      <c r="E75">
        <v>15.117000000000001</v>
      </c>
      <c r="F75" t="s">
        <v>348</v>
      </c>
      <c r="G75">
        <v>3</v>
      </c>
      <c r="H75">
        <v>1</v>
      </c>
    </row>
    <row r="76" spans="1:8" x14ac:dyDescent="0.25">
      <c r="A76" s="22" t="s">
        <v>106</v>
      </c>
      <c r="B76" s="18">
        <v>76</v>
      </c>
      <c r="C76" t="s">
        <v>106</v>
      </c>
      <c r="D76">
        <v>59.613999999999997</v>
      </c>
      <c r="E76">
        <v>16.228999999999999</v>
      </c>
      <c r="F76" t="s">
        <v>346</v>
      </c>
      <c r="G76">
        <v>3</v>
      </c>
      <c r="H76">
        <v>1</v>
      </c>
    </row>
    <row r="77" spans="1:8" x14ac:dyDescent="0.25">
      <c r="A77" s="22" t="s">
        <v>107</v>
      </c>
      <c r="B77" s="18">
        <v>77</v>
      </c>
      <c r="C77" s="17"/>
      <c r="D77" s="17"/>
      <c r="E77" s="17"/>
      <c r="F77" s="17"/>
      <c r="G77" s="17"/>
      <c r="H77" s="20">
        <v>0.9</v>
      </c>
    </row>
    <row r="78" spans="1:8" x14ac:dyDescent="0.25">
      <c r="A78" s="22" t="s">
        <v>108</v>
      </c>
      <c r="B78" s="18">
        <v>78</v>
      </c>
      <c r="C78" t="s">
        <v>108</v>
      </c>
      <c r="D78">
        <v>59.332999999999998</v>
      </c>
      <c r="E78">
        <v>13.433</v>
      </c>
      <c r="F78" t="s">
        <v>347</v>
      </c>
      <c r="G78">
        <v>2</v>
      </c>
      <c r="H78">
        <v>1.1000000000000001</v>
      </c>
    </row>
    <row r="79" spans="1:8" x14ac:dyDescent="0.25">
      <c r="A79" s="22" t="s">
        <v>109</v>
      </c>
      <c r="B79" s="18">
        <v>79</v>
      </c>
      <c r="C79" s="17"/>
      <c r="D79" s="17"/>
      <c r="E79" s="17"/>
      <c r="F79" s="17"/>
      <c r="G79" s="17"/>
      <c r="H79" s="20">
        <v>1.4</v>
      </c>
    </row>
    <row r="80" spans="1:8" x14ac:dyDescent="0.25">
      <c r="A80" s="22" t="s">
        <v>110</v>
      </c>
      <c r="B80" s="18">
        <v>80</v>
      </c>
      <c r="C80" s="17"/>
      <c r="D80" s="17"/>
      <c r="E80" s="17"/>
      <c r="F80" s="17"/>
      <c r="G80" s="17"/>
      <c r="H80" s="20">
        <v>1</v>
      </c>
    </row>
    <row r="81" spans="1:8" x14ac:dyDescent="0.25">
      <c r="A81" s="22" t="s">
        <v>111</v>
      </c>
      <c r="B81" s="18">
        <v>81</v>
      </c>
      <c r="C81" t="s">
        <v>111</v>
      </c>
      <c r="D81">
        <v>65.832999999999998</v>
      </c>
      <c r="E81">
        <v>24.128</v>
      </c>
      <c r="F81" t="s">
        <v>340</v>
      </c>
      <c r="G81">
        <v>1</v>
      </c>
      <c r="H81">
        <v>1.5</v>
      </c>
    </row>
    <row r="82" spans="1:8" x14ac:dyDescent="0.25">
      <c r="A82" s="22" t="s">
        <v>378</v>
      </c>
      <c r="B82" s="18">
        <v>82</v>
      </c>
      <c r="C82" t="s">
        <v>378</v>
      </c>
      <c r="D82">
        <v>62.634</v>
      </c>
      <c r="E82">
        <v>17.931999999999999</v>
      </c>
      <c r="F82" t="s">
        <v>379</v>
      </c>
      <c r="G82">
        <v>2</v>
      </c>
      <c r="H82">
        <v>1.3</v>
      </c>
    </row>
    <row r="83" spans="1:8" x14ac:dyDescent="0.25">
      <c r="A83" s="22" t="s">
        <v>113</v>
      </c>
      <c r="B83" s="18">
        <v>83</v>
      </c>
      <c r="C83" t="s">
        <v>113</v>
      </c>
      <c r="D83">
        <v>57.667000000000002</v>
      </c>
      <c r="E83">
        <v>12.117000000000001</v>
      </c>
      <c r="F83" t="s">
        <v>342</v>
      </c>
      <c r="G83">
        <v>4</v>
      </c>
      <c r="H83">
        <v>0.9</v>
      </c>
    </row>
    <row r="84" spans="1:8" x14ac:dyDescent="0.25">
      <c r="A84" s="22" t="s">
        <v>114</v>
      </c>
      <c r="B84" s="18">
        <v>84</v>
      </c>
      <c r="C84" t="s">
        <v>114</v>
      </c>
      <c r="D84">
        <v>56.16</v>
      </c>
      <c r="E84">
        <v>13.781000000000001</v>
      </c>
      <c r="F84" t="s">
        <v>351</v>
      </c>
      <c r="G84">
        <v>4</v>
      </c>
      <c r="H84">
        <v>0.9</v>
      </c>
    </row>
    <row r="85" spans="1:8" x14ac:dyDescent="0.25">
      <c r="A85" s="22" t="s">
        <v>116</v>
      </c>
      <c r="B85" s="18">
        <v>86</v>
      </c>
      <c r="C85" t="s">
        <v>116</v>
      </c>
      <c r="D85">
        <v>62.42</v>
      </c>
      <c r="E85">
        <v>13.5</v>
      </c>
      <c r="F85" t="s">
        <v>357</v>
      </c>
      <c r="G85">
        <v>1</v>
      </c>
      <c r="H85">
        <v>1.1000000000000001</v>
      </c>
    </row>
    <row r="86" spans="1:8" x14ac:dyDescent="0.25">
      <c r="A86" s="22" t="s">
        <v>115</v>
      </c>
      <c r="B86" s="18">
        <v>85</v>
      </c>
      <c r="C86" t="s">
        <v>115</v>
      </c>
      <c r="D86">
        <v>60.276000000000003</v>
      </c>
      <c r="E86">
        <v>15.987</v>
      </c>
      <c r="F86" t="s">
        <v>349</v>
      </c>
      <c r="G86">
        <v>2</v>
      </c>
      <c r="H86">
        <v>1.1000000000000001</v>
      </c>
    </row>
    <row r="87" spans="1:8" x14ac:dyDescent="0.25">
      <c r="A87" s="22" t="s">
        <v>117</v>
      </c>
      <c r="B87" s="18">
        <v>87</v>
      </c>
      <c r="C87" t="s">
        <v>117</v>
      </c>
      <c r="D87">
        <v>56.033999999999999</v>
      </c>
      <c r="E87">
        <v>12.734</v>
      </c>
      <c r="F87" t="s">
        <v>351</v>
      </c>
      <c r="G87">
        <v>4</v>
      </c>
      <c r="H87">
        <v>0.9</v>
      </c>
    </row>
    <row r="88" spans="1:8" x14ac:dyDescent="0.25">
      <c r="A88" s="22" t="s">
        <v>118</v>
      </c>
      <c r="B88" s="18">
        <v>88</v>
      </c>
      <c r="H88" s="20">
        <v>1.8</v>
      </c>
    </row>
    <row r="89" spans="1:8" x14ac:dyDescent="0.25">
      <c r="A89" s="22" t="s">
        <v>119</v>
      </c>
      <c r="B89" s="18">
        <v>89</v>
      </c>
      <c r="C89" t="s">
        <v>119</v>
      </c>
      <c r="D89">
        <v>57.24</v>
      </c>
      <c r="E89">
        <v>18.28</v>
      </c>
      <c r="F89" t="s">
        <v>375</v>
      </c>
      <c r="G89">
        <v>3</v>
      </c>
      <c r="H89">
        <v>0.9</v>
      </c>
    </row>
    <row r="90" spans="1:8" x14ac:dyDescent="0.25">
      <c r="A90" s="22" t="s">
        <v>120</v>
      </c>
      <c r="B90" s="18">
        <v>90</v>
      </c>
      <c r="C90" t="s">
        <v>120</v>
      </c>
      <c r="D90">
        <v>58.079000000000001</v>
      </c>
      <c r="E90">
        <v>13.028</v>
      </c>
      <c r="F90" t="s">
        <v>342</v>
      </c>
      <c r="G90">
        <v>3</v>
      </c>
      <c r="H90">
        <v>1</v>
      </c>
    </row>
    <row r="91" spans="1:8" x14ac:dyDescent="0.25">
      <c r="A91" s="22" t="s">
        <v>121</v>
      </c>
      <c r="B91" s="18">
        <v>91</v>
      </c>
      <c r="C91" t="s">
        <v>121</v>
      </c>
      <c r="D91">
        <v>58.304000000000002</v>
      </c>
      <c r="E91">
        <v>14.284000000000001</v>
      </c>
      <c r="F91" t="s">
        <v>342</v>
      </c>
      <c r="G91">
        <v>3</v>
      </c>
      <c r="H91">
        <v>1</v>
      </c>
    </row>
    <row r="92" spans="1:8" x14ac:dyDescent="0.25">
      <c r="A92" s="22" t="s">
        <v>122</v>
      </c>
      <c r="B92" s="18">
        <v>92</v>
      </c>
      <c r="C92" t="s">
        <v>122</v>
      </c>
      <c r="D92">
        <v>60.551000000000002</v>
      </c>
      <c r="E92">
        <v>16.292000000000002</v>
      </c>
      <c r="F92" t="s">
        <v>352</v>
      </c>
      <c r="G92">
        <v>2</v>
      </c>
      <c r="H92">
        <v>1.2</v>
      </c>
    </row>
    <row r="93" spans="1:8" x14ac:dyDescent="0.25">
      <c r="A93" s="22" t="s">
        <v>123</v>
      </c>
      <c r="B93" s="18">
        <v>93</v>
      </c>
      <c r="C93" t="s">
        <v>123</v>
      </c>
      <c r="D93">
        <v>56.213999999999999</v>
      </c>
      <c r="E93">
        <v>12.558</v>
      </c>
      <c r="F93" t="s">
        <v>351</v>
      </c>
      <c r="G93">
        <v>4</v>
      </c>
      <c r="H93">
        <v>0.8</v>
      </c>
    </row>
    <row r="94" spans="1:8" x14ac:dyDescent="0.25">
      <c r="A94" s="22" t="s">
        <v>380</v>
      </c>
      <c r="B94" s="18">
        <v>94</v>
      </c>
      <c r="C94" t="s">
        <v>380</v>
      </c>
      <c r="D94">
        <v>57.164999999999999</v>
      </c>
      <c r="E94">
        <v>16.027000000000001</v>
      </c>
      <c r="F94" t="s">
        <v>354</v>
      </c>
      <c r="G94">
        <v>4</v>
      </c>
      <c r="H94">
        <v>1</v>
      </c>
    </row>
    <row r="95" spans="1:8" x14ac:dyDescent="0.25">
      <c r="A95" s="22" t="s">
        <v>125</v>
      </c>
      <c r="B95" s="18">
        <v>95</v>
      </c>
      <c r="C95" t="s">
        <v>125</v>
      </c>
      <c r="D95">
        <v>55.932000000000002</v>
      </c>
      <c r="E95">
        <v>13.55</v>
      </c>
      <c r="F95" t="s">
        <v>351</v>
      </c>
      <c r="G95">
        <v>4</v>
      </c>
      <c r="H95">
        <v>0.9</v>
      </c>
    </row>
    <row r="96" spans="1:8" x14ac:dyDescent="0.25">
      <c r="A96" s="22" t="s">
        <v>381</v>
      </c>
      <c r="B96" s="18">
        <v>96</v>
      </c>
      <c r="C96" t="s">
        <v>381</v>
      </c>
      <c r="D96">
        <v>55.863</v>
      </c>
      <c r="E96">
        <v>13.669</v>
      </c>
      <c r="F96" t="s">
        <v>351</v>
      </c>
      <c r="G96">
        <v>4</v>
      </c>
      <c r="H96">
        <v>0.9</v>
      </c>
    </row>
    <row r="97" spans="1:8" x14ac:dyDescent="0.25">
      <c r="A97" s="22" t="s">
        <v>127</v>
      </c>
      <c r="B97" s="18">
        <v>97</v>
      </c>
      <c r="C97" t="s">
        <v>127</v>
      </c>
      <c r="D97">
        <v>58.853000000000002</v>
      </c>
      <c r="E97">
        <v>14.22</v>
      </c>
      <c r="F97" t="s">
        <v>342</v>
      </c>
      <c r="G97">
        <v>3</v>
      </c>
      <c r="H97">
        <v>1</v>
      </c>
    </row>
    <row r="98" spans="1:8" x14ac:dyDescent="0.25">
      <c r="A98" s="22" t="s">
        <v>128</v>
      </c>
      <c r="B98" s="18">
        <v>98</v>
      </c>
      <c r="C98" t="s">
        <v>128</v>
      </c>
      <c r="D98">
        <v>59.21</v>
      </c>
      <c r="E98">
        <v>18.041</v>
      </c>
      <c r="F98" t="s">
        <v>341</v>
      </c>
      <c r="G98">
        <v>3</v>
      </c>
      <c r="H98">
        <v>1</v>
      </c>
    </row>
    <row r="99" spans="1:8" x14ac:dyDescent="0.25">
      <c r="A99" s="22" t="s">
        <v>129</v>
      </c>
      <c r="B99" s="18">
        <v>99</v>
      </c>
      <c r="C99" t="s">
        <v>129</v>
      </c>
      <c r="D99">
        <v>61.728999999999999</v>
      </c>
      <c r="E99">
        <v>17.111000000000001</v>
      </c>
      <c r="F99" t="s">
        <v>352</v>
      </c>
      <c r="G99">
        <v>2</v>
      </c>
      <c r="H99">
        <v>1.2</v>
      </c>
    </row>
    <row r="100" spans="1:8" x14ac:dyDescent="0.25">
      <c r="A100" s="22" t="s">
        <v>130</v>
      </c>
      <c r="B100" s="18">
        <v>100</v>
      </c>
      <c r="C100" t="s">
        <v>130</v>
      </c>
      <c r="D100">
        <v>57.497999999999998</v>
      </c>
      <c r="E100">
        <v>15.853999999999999</v>
      </c>
      <c r="F100" t="s">
        <v>354</v>
      </c>
      <c r="G100">
        <v>4</v>
      </c>
      <c r="H100">
        <v>1</v>
      </c>
    </row>
    <row r="101" spans="1:8" x14ac:dyDescent="0.25">
      <c r="A101" s="22" t="s">
        <v>131</v>
      </c>
      <c r="B101" s="18">
        <v>101</v>
      </c>
      <c r="C101" s="17"/>
      <c r="D101" s="17"/>
      <c r="E101" s="17"/>
      <c r="F101" s="17"/>
      <c r="G101" s="17"/>
      <c r="H101" s="20">
        <v>1</v>
      </c>
    </row>
    <row r="102" spans="1:8" x14ac:dyDescent="0.25">
      <c r="A102" s="22" t="s">
        <v>383</v>
      </c>
      <c r="B102" s="18">
        <v>102</v>
      </c>
      <c r="C102" t="s">
        <v>383</v>
      </c>
      <c r="D102">
        <v>59.405999999999999</v>
      </c>
      <c r="E102">
        <v>17.869</v>
      </c>
      <c r="F102" t="s">
        <v>341</v>
      </c>
      <c r="G102">
        <v>3</v>
      </c>
      <c r="H102">
        <v>1</v>
      </c>
    </row>
    <row r="103" spans="1:8" x14ac:dyDescent="0.25">
      <c r="A103" s="22" t="s">
        <v>133</v>
      </c>
      <c r="B103" s="18">
        <v>103</v>
      </c>
      <c r="C103" s="17"/>
      <c r="D103" s="17"/>
      <c r="E103" s="17"/>
      <c r="F103" s="17"/>
      <c r="G103" s="17"/>
      <c r="H103" s="20">
        <v>1.8</v>
      </c>
    </row>
    <row r="104" spans="1:8" x14ac:dyDescent="0.25">
      <c r="A104" s="22" t="s">
        <v>384</v>
      </c>
      <c r="B104" s="18">
        <v>104</v>
      </c>
      <c r="C104" t="s">
        <v>384</v>
      </c>
      <c r="D104">
        <v>57.76</v>
      </c>
      <c r="E104">
        <v>14.191000000000001</v>
      </c>
      <c r="F104" t="s">
        <v>345</v>
      </c>
      <c r="G104">
        <v>3</v>
      </c>
      <c r="H104">
        <v>1</v>
      </c>
    </row>
    <row r="105" spans="1:8" x14ac:dyDescent="0.25">
      <c r="A105" s="22" t="s">
        <v>135</v>
      </c>
      <c r="B105" s="18">
        <v>105</v>
      </c>
      <c r="C105" s="17"/>
      <c r="D105" s="17"/>
      <c r="E105" s="17"/>
      <c r="F105" s="17"/>
      <c r="G105" s="17"/>
      <c r="H105" s="20">
        <v>1.4</v>
      </c>
    </row>
    <row r="106" spans="1:8" x14ac:dyDescent="0.25">
      <c r="A106" s="22" t="s">
        <v>136</v>
      </c>
      <c r="B106" s="18">
        <v>106</v>
      </c>
      <c r="C106" t="s">
        <v>136</v>
      </c>
      <c r="D106">
        <v>65.856999999999999</v>
      </c>
      <c r="E106">
        <v>23.158000000000001</v>
      </c>
      <c r="F106" t="s">
        <v>340</v>
      </c>
      <c r="G106">
        <v>1</v>
      </c>
      <c r="H106">
        <v>1.5</v>
      </c>
    </row>
    <row r="107" spans="1:8" x14ac:dyDescent="0.25">
      <c r="A107" s="22" t="s">
        <v>137</v>
      </c>
      <c r="B107" s="18">
        <v>107</v>
      </c>
      <c r="C107" t="s">
        <v>137</v>
      </c>
      <c r="D107">
        <v>56.679000000000002</v>
      </c>
      <c r="E107">
        <v>16.353999999999999</v>
      </c>
      <c r="F107" t="s">
        <v>354</v>
      </c>
      <c r="G107">
        <v>4</v>
      </c>
      <c r="H107">
        <v>0.9</v>
      </c>
    </row>
    <row r="108" spans="1:8" x14ac:dyDescent="0.25">
      <c r="A108" s="22" t="s">
        <v>138</v>
      </c>
      <c r="B108" s="18">
        <v>108</v>
      </c>
      <c r="C108" s="17"/>
      <c r="D108" s="17"/>
      <c r="E108" s="17"/>
      <c r="F108" s="17"/>
      <c r="G108" s="17"/>
      <c r="H108" s="20">
        <v>1.9</v>
      </c>
    </row>
    <row r="109" spans="1:8" x14ac:dyDescent="0.25">
      <c r="A109" s="22" t="s">
        <v>139</v>
      </c>
      <c r="B109" s="18">
        <v>109</v>
      </c>
      <c r="C109" t="s">
        <v>139</v>
      </c>
      <c r="D109">
        <v>58.536999999999999</v>
      </c>
      <c r="E109">
        <v>14.51</v>
      </c>
      <c r="F109" t="s">
        <v>342</v>
      </c>
      <c r="G109">
        <v>3</v>
      </c>
      <c r="H109">
        <v>1</v>
      </c>
    </row>
    <row r="110" spans="1:8" x14ac:dyDescent="0.25">
      <c r="A110" s="22" t="s">
        <v>140</v>
      </c>
      <c r="B110" s="18">
        <v>110</v>
      </c>
      <c r="C110" t="s">
        <v>140</v>
      </c>
      <c r="D110">
        <v>56.186</v>
      </c>
      <c r="E110">
        <v>14.853</v>
      </c>
      <c r="F110" t="s">
        <v>386</v>
      </c>
      <c r="G110">
        <v>4</v>
      </c>
      <c r="H110">
        <v>0.9</v>
      </c>
    </row>
    <row r="111" spans="1:8" x14ac:dyDescent="0.25">
      <c r="A111" s="22" t="s">
        <v>141</v>
      </c>
      <c r="B111" s="18">
        <v>111</v>
      </c>
      <c r="C111" t="s">
        <v>141</v>
      </c>
      <c r="D111">
        <v>59.320999999999998</v>
      </c>
      <c r="E111">
        <v>14.534000000000001</v>
      </c>
      <c r="F111" t="s">
        <v>348</v>
      </c>
      <c r="G111">
        <v>3</v>
      </c>
      <c r="H111">
        <v>1.1000000000000001</v>
      </c>
    </row>
    <row r="112" spans="1:8" x14ac:dyDescent="0.25">
      <c r="A112" s="22" t="s">
        <v>142</v>
      </c>
      <c r="B112" s="18">
        <v>112</v>
      </c>
      <c r="C112" t="s">
        <v>142</v>
      </c>
      <c r="D112">
        <v>56.183</v>
      </c>
      <c r="E112">
        <v>15.617000000000001</v>
      </c>
      <c r="F112" t="s">
        <v>386</v>
      </c>
      <c r="G112">
        <v>4</v>
      </c>
      <c r="H112">
        <v>0.9</v>
      </c>
    </row>
    <row r="113" spans="1:8" x14ac:dyDescent="0.25">
      <c r="A113" s="22" t="s">
        <v>143</v>
      </c>
      <c r="B113" s="18">
        <v>113</v>
      </c>
      <c r="C113" t="s">
        <v>143</v>
      </c>
      <c r="D113">
        <v>59.387</v>
      </c>
      <c r="E113">
        <v>13.507999999999999</v>
      </c>
      <c r="F113" t="s">
        <v>347</v>
      </c>
      <c r="G113">
        <v>2</v>
      </c>
      <c r="H113">
        <v>1.1000000000000001</v>
      </c>
    </row>
    <row r="114" spans="1:8" x14ac:dyDescent="0.25">
      <c r="A114" s="22" t="s">
        <v>144</v>
      </c>
      <c r="B114" s="18">
        <v>114</v>
      </c>
      <c r="C114" t="s">
        <v>144</v>
      </c>
      <c r="D114">
        <v>58.985999999999997</v>
      </c>
      <c r="E114">
        <v>16.196000000000002</v>
      </c>
      <c r="F114" t="s">
        <v>364</v>
      </c>
      <c r="G114">
        <v>3</v>
      </c>
      <c r="H114">
        <v>1</v>
      </c>
    </row>
    <row r="115" spans="1:8" x14ac:dyDescent="0.25">
      <c r="A115" s="22" t="s">
        <v>389</v>
      </c>
      <c r="B115" s="18">
        <v>115</v>
      </c>
      <c r="C115" t="s">
        <v>389</v>
      </c>
      <c r="D115">
        <v>55.792000000000002</v>
      </c>
      <c r="E115">
        <v>13.115</v>
      </c>
      <c r="F115" t="s">
        <v>351</v>
      </c>
      <c r="G115">
        <v>4</v>
      </c>
      <c r="H115">
        <v>0.9</v>
      </c>
    </row>
    <row r="116" spans="1:8" x14ac:dyDescent="0.25">
      <c r="A116" s="22" t="s">
        <v>146</v>
      </c>
      <c r="B116" s="18">
        <v>116</v>
      </c>
      <c r="C116" t="s">
        <v>146</v>
      </c>
      <c r="D116">
        <v>59.512999999999998</v>
      </c>
      <c r="E116">
        <v>13.319000000000001</v>
      </c>
      <c r="F116" t="s">
        <v>347</v>
      </c>
      <c r="G116">
        <v>2</v>
      </c>
      <c r="H116">
        <v>1.1000000000000001</v>
      </c>
    </row>
    <row r="117" spans="1:8" x14ac:dyDescent="0.25">
      <c r="A117" s="22" t="s">
        <v>147</v>
      </c>
      <c r="B117" s="18">
        <v>117</v>
      </c>
      <c r="C117" t="s">
        <v>147</v>
      </c>
      <c r="D117">
        <v>57.494</v>
      </c>
      <c r="E117">
        <v>12.688000000000001</v>
      </c>
      <c r="F117" t="s">
        <v>342</v>
      </c>
      <c r="G117">
        <v>3</v>
      </c>
      <c r="H117">
        <v>1</v>
      </c>
    </row>
    <row r="118" spans="1:8" x14ac:dyDescent="0.25">
      <c r="A118" s="22" t="s">
        <v>148</v>
      </c>
      <c r="B118" s="18">
        <v>118</v>
      </c>
      <c r="C118" t="s">
        <v>148</v>
      </c>
      <c r="D118">
        <v>67.852999999999994</v>
      </c>
      <c r="E118">
        <v>20.251000000000001</v>
      </c>
      <c r="F118" t="s">
        <v>340</v>
      </c>
      <c r="G118">
        <v>1</v>
      </c>
      <c r="H118">
        <v>1.9</v>
      </c>
    </row>
    <row r="119" spans="1:8" x14ac:dyDescent="0.25">
      <c r="A119" s="22" t="s">
        <v>149</v>
      </c>
      <c r="B119" s="18">
        <v>119</v>
      </c>
      <c r="C119" t="s">
        <v>149</v>
      </c>
      <c r="D119">
        <v>57.99</v>
      </c>
      <c r="E119">
        <v>15.641</v>
      </c>
      <c r="F119" t="s">
        <v>368</v>
      </c>
      <c r="G119">
        <v>3</v>
      </c>
      <c r="H119">
        <v>1</v>
      </c>
    </row>
    <row r="120" spans="1:8" x14ac:dyDescent="0.25">
      <c r="A120" s="22" t="s">
        <v>150</v>
      </c>
      <c r="B120" s="18">
        <v>120</v>
      </c>
      <c r="C120" t="s">
        <v>150</v>
      </c>
      <c r="D120">
        <v>56.136000000000003</v>
      </c>
      <c r="E120">
        <v>13.162000000000001</v>
      </c>
      <c r="F120" t="s">
        <v>351</v>
      </c>
      <c r="G120">
        <v>4</v>
      </c>
      <c r="H120">
        <v>0.9</v>
      </c>
    </row>
    <row r="121" spans="1:8" x14ac:dyDescent="0.25">
      <c r="A121" s="22" t="s">
        <v>151</v>
      </c>
      <c r="B121" s="18">
        <v>121</v>
      </c>
      <c r="C121" t="s">
        <v>151</v>
      </c>
      <c r="D121">
        <v>59.725999999999999</v>
      </c>
      <c r="E121">
        <v>17.789000000000001</v>
      </c>
      <c r="F121" t="s">
        <v>361</v>
      </c>
      <c r="G121">
        <v>3</v>
      </c>
      <c r="H121">
        <v>1</v>
      </c>
    </row>
    <row r="122" spans="1:8" x14ac:dyDescent="0.25">
      <c r="A122" s="22" t="s">
        <v>152</v>
      </c>
      <c r="B122" s="18">
        <v>122</v>
      </c>
      <c r="C122" t="s">
        <v>152</v>
      </c>
      <c r="D122">
        <v>59.511000000000003</v>
      </c>
      <c r="E122">
        <v>16.013999999999999</v>
      </c>
      <c r="F122" t="s">
        <v>346</v>
      </c>
      <c r="G122">
        <v>3</v>
      </c>
      <c r="H122">
        <v>1</v>
      </c>
    </row>
    <row r="123" spans="1:8" x14ac:dyDescent="0.25">
      <c r="A123" s="22" t="s">
        <v>153</v>
      </c>
      <c r="B123" s="18">
        <v>123</v>
      </c>
      <c r="C123" t="s">
        <v>153</v>
      </c>
      <c r="D123">
        <v>59.866</v>
      </c>
      <c r="E123">
        <v>15.023999999999999</v>
      </c>
      <c r="F123" t="s">
        <v>348</v>
      </c>
      <c r="G123">
        <v>3</v>
      </c>
      <c r="H123">
        <v>1</v>
      </c>
    </row>
    <row r="124" spans="1:8" x14ac:dyDescent="0.25">
      <c r="A124" s="22" t="s">
        <v>154</v>
      </c>
      <c r="B124" s="18">
        <v>124</v>
      </c>
      <c r="C124" t="s">
        <v>154</v>
      </c>
      <c r="D124">
        <v>62.929000000000002</v>
      </c>
      <c r="E124">
        <v>17.797999999999998</v>
      </c>
      <c r="F124" t="s">
        <v>379</v>
      </c>
      <c r="G124">
        <v>2</v>
      </c>
      <c r="H124">
        <v>1.3</v>
      </c>
    </row>
    <row r="125" spans="1:8" x14ac:dyDescent="0.25">
      <c r="A125" s="22" t="s">
        <v>155</v>
      </c>
      <c r="B125" s="18">
        <v>125</v>
      </c>
      <c r="C125" t="s">
        <v>155</v>
      </c>
      <c r="D125">
        <v>56.021000000000001</v>
      </c>
      <c r="E125">
        <v>14.138</v>
      </c>
      <c r="F125" t="s">
        <v>351</v>
      </c>
      <c r="G125">
        <v>4</v>
      </c>
      <c r="H125">
        <v>0.9</v>
      </c>
    </row>
    <row r="126" spans="1:8" x14ac:dyDescent="0.25">
      <c r="A126" s="22" t="s">
        <v>156</v>
      </c>
      <c r="B126" s="18">
        <v>126</v>
      </c>
      <c r="C126" t="s">
        <v>156</v>
      </c>
      <c r="D126">
        <v>59.314999999999998</v>
      </c>
      <c r="E126">
        <v>14.109</v>
      </c>
      <c r="F126" t="s">
        <v>347</v>
      </c>
      <c r="G126">
        <v>2</v>
      </c>
      <c r="H126">
        <v>1.1000000000000001</v>
      </c>
    </row>
    <row r="127" spans="1:8" x14ac:dyDescent="0.25">
      <c r="A127" s="22" t="s">
        <v>157</v>
      </c>
      <c r="B127" s="18">
        <v>127</v>
      </c>
      <c r="C127" t="s">
        <v>157</v>
      </c>
      <c r="D127">
        <v>59.124000000000002</v>
      </c>
      <c r="E127">
        <v>15.145</v>
      </c>
      <c r="F127" t="s">
        <v>348</v>
      </c>
      <c r="G127">
        <v>3</v>
      </c>
      <c r="H127">
        <v>1</v>
      </c>
    </row>
    <row r="128" spans="1:8" x14ac:dyDescent="0.25">
      <c r="A128" s="22" t="s">
        <v>388</v>
      </c>
      <c r="B128" s="18">
        <v>128</v>
      </c>
      <c r="C128" t="s">
        <v>388</v>
      </c>
      <c r="D128">
        <v>57.874000000000002</v>
      </c>
      <c r="E128">
        <v>11.974</v>
      </c>
      <c r="F128" t="s">
        <v>342</v>
      </c>
      <c r="G128">
        <v>3</v>
      </c>
      <c r="H128">
        <v>0.9</v>
      </c>
    </row>
    <row r="129" spans="1:8" x14ac:dyDescent="0.25">
      <c r="A129" s="22" t="s">
        <v>159</v>
      </c>
      <c r="B129" s="18">
        <v>129</v>
      </c>
      <c r="C129" t="s">
        <v>159</v>
      </c>
      <c r="D129">
        <v>57.491</v>
      </c>
      <c r="E129">
        <v>12.079000000000001</v>
      </c>
      <c r="F129" t="s">
        <v>365</v>
      </c>
      <c r="G129">
        <v>4</v>
      </c>
      <c r="H129">
        <v>1</v>
      </c>
    </row>
    <row r="130" spans="1:8" x14ac:dyDescent="0.25">
      <c r="A130" s="22" t="s">
        <v>160</v>
      </c>
      <c r="B130" s="18">
        <v>130</v>
      </c>
      <c r="C130" t="s">
        <v>160</v>
      </c>
      <c r="D130">
        <v>59.423999999999999</v>
      </c>
      <c r="E130">
        <v>16.096</v>
      </c>
      <c r="F130" t="s">
        <v>346</v>
      </c>
      <c r="G130">
        <v>3</v>
      </c>
      <c r="H130">
        <v>1</v>
      </c>
    </row>
    <row r="131" spans="1:8" x14ac:dyDescent="0.25">
      <c r="A131" s="22" t="s">
        <v>161</v>
      </c>
      <c r="B131" s="18">
        <v>131</v>
      </c>
      <c r="C131" s="17"/>
      <c r="D131" s="17"/>
      <c r="E131" s="17"/>
      <c r="F131" s="17"/>
      <c r="G131" s="17"/>
      <c r="H131" s="20">
        <v>1.8</v>
      </c>
    </row>
    <row r="132" spans="1:8" x14ac:dyDescent="0.25">
      <c r="A132" s="22" t="s">
        <v>162</v>
      </c>
      <c r="B132" s="18">
        <v>132</v>
      </c>
      <c r="C132" t="s">
        <v>162</v>
      </c>
      <c r="D132">
        <v>56.505000000000003</v>
      </c>
      <c r="E132">
        <v>13.042</v>
      </c>
      <c r="F132" t="s">
        <v>365</v>
      </c>
      <c r="G132">
        <v>4</v>
      </c>
      <c r="H132">
        <v>1</v>
      </c>
    </row>
    <row r="133" spans="1:8" x14ac:dyDescent="0.25">
      <c r="A133" s="22" t="s">
        <v>163</v>
      </c>
      <c r="B133" s="18">
        <v>133</v>
      </c>
      <c r="C133" t="s">
        <v>163</v>
      </c>
      <c r="D133">
        <v>55.878</v>
      </c>
      <c r="E133">
        <v>12.837</v>
      </c>
      <c r="F133" t="s">
        <v>351</v>
      </c>
      <c r="G133">
        <v>4</v>
      </c>
      <c r="H133">
        <v>0.8</v>
      </c>
    </row>
    <row r="134" spans="1:8" x14ac:dyDescent="0.25">
      <c r="A134" s="22" t="s">
        <v>391</v>
      </c>
      <c r="B134" s="18">
        <v>134</v>
      </c>
      <c r="C134" t="s">
        <v>391</v>
      </c>
      <c r="D134">
        <v>58.984000000000002</v>
      </c>
      <c r="E134">
        <v>14.625</v>
      </c>
      <c r="F134" t="s">
        <v>348</v>
      </c>
      <c r="G134">
        <v>3</v>
      </c>
      <c r="H134">
        <v>1</v>
      </c>
    </row>
    <row r="135" spans="1:8" x14ac:dyDescent="0.25">
      <c r="A135" s="22" t="s">
        <v>165</v>
      </c>
      <c r="B135" s="18">
        <v>135</v>
      </c>
      <c r="C135" t="s">
        <v>165</v>
      </c>
      <c r="D135">
        <v>59.167000000000002</v>
      </c>
      <c r="E135">
        <v>14.867000000000001</v>
      </c>
      <c r="F135" t="s">
        <v>348</v>
      </c>
      <c r="G135">
        <v>3</v>
      </c>
      <c r="H135">
        <v>1</v>
      </c>
    </row>
    <row r="136" spans="1:8" x14ac:dyDescent="0.25">
      <c r="A136" s="22" t="s">
        <v>166</v>
      </c>
      <c r="B136" s="18">
        <v>136</v>
      </c>
      <c r="C136" t="s">
        <v>166</v>
      </c>
      <c r="D136">
        <v>60.725000000000001</v>
      </c>
      <c r="E136">
        <v>15.029</v>
      </c>
      <c r="F136" t="s">
        <v>349</v>
      </c>
      <c r="G136">
        <v>2</v>
      </c>
      <c r="H136">
        <v>1.2</v>
      </c>
    </row>
    <row r="137" spans="1:8" x14ac:dyDescent="0.25">
      <c r="A137" s="22" t="s">
        <v>167</v>
      </c>
      <c r="B137" s="18">
        <v>137</v>
      </c>
      <c r="C137" t="s">
        <v>167</v>
      </c>
      <c r="D137">
        <v>57.771999999999998</v>
      </c>
      <c r="E137">
        <v>12.28</v>
      </c>
      <c r="F137" t="s">
        <v>342</v>
      </c>
      <c r="G137">
        <v>3</v>
      </c>
      <c r="H137">
        <v>0.9</v>
      </c>
    </row>
    <row r="138" spans="1:8" x14ac:dyDescent="0.25">
      <c r="A138" s="22" t="s">
        <v>168</v>
      </c>
      <c r="B138" s="18">
        <v>138</v>
      </c>
      <c r="C138" t="s">
        <v>168</v>
      </c>
      <c r="D138">
        <v>56.752000000000002</v>
      </c>
      <c r="E138">
        <v>15.276</v>
      </c>
      <c r="F138" t="s">
        <v>343</v>
      </c>
      <c r="G138">
        <v>3</v>
      </c>
      <c r="H138">
        <v>1</v>
      </c>
    </row>
    <row r="139" spans="1:8" x14ac:dyDescent="0.25">
      <c r="A139" s="22" t="s">
        <v>169</v>
      </c>
      <c r="B139" s="18">
        <v>139</v>
      </c>
      <c r="C139" t="s">
        <v>169</v>
      </c>
      <c r="D139">
        <v>59.366999999999997</v>
      </c>
      <c r="E139">
        <v>18.183</v>
      </c>
      <c r="F139" t="s">
        <v>341</v>
      </c>
      <c r="G139">
        <v>3</v>
      </c>
      <c r="H139">
        <v>1</v>
      </c>
    </row>
    <row r="140" spans="1:8" x14ac:dyDescent="0.25">
      <c r="A140" s="22" t="s">
        <v>170</v>
      </c>
      <c r="B140" s="18">
        <v>140</v>
      </c>
      <c r="C140" t="s">
        <v>170</v>
      </c>
      <c r="D140">
        <v>58.503999999999998</v>
      </c>
      <c r="E140">
        <v>13.151</v>
      </c>
      <c r="F140" t="s">
        <v>342</v>
      </c>
      <c r="G140">
        <v>3</v>
      </c>
      <c r="H140">
        <v>1</v>
      </c>
    </row>
    <row r="141" spans="1:8" x14ac:dyDescent="0.25">
      <c r="A141" s="22" t="s">
        <v>171</v>
      </c>
      <c r="B141" s="18">
        <v>141</v>
      </c>
      <c r="C141" t="s">
        <v>171</v>
      </c>
      <c r="D141">
        <v>58.133000000000003</v>
      </c>
      <c r="E141">
        <v>12.132999999999999</v>
      </c>
      <c r="F141" t="s">
        <v>342</v>
      </c>
      <c r="G141">
        <v>3</v>
      </c>
      <c r="H141">
        <v>1</v>
      </c>
    </row>
    <row r="142" spans="1:8" x14ac:dyDescent="0.25">
      <c r="A142" s="22" t="s">
        <v>172</v>
      </c>
      <c r="B142" s="18">
        <v>142</v>
      </c>
      <c r="C142" t="s">
        <v>172</v>
      </c>
      <c r="D142">
        <v>59.593000000000004</v>
      </c>
      <c r="E142">
        <v>15.228999999999999</v>
      </c>
      <c r="F142" t="s">
        <v>348</v>
      </c>
      <c r="G142">
        <v>3</v>
      </c>
      <c r="H142">
        <v>1.1000000000000001</v>
      </c>
    </row>
    <row r="143" spans="1:8" x14ac:dyDescent="0.25">
      <c r="A143" s="22" t="s">
        <v>173</v>
      </c>
      <c r="B143" s="18">
        <v>143</v>
      </c>
      <c r="C143" t="s">
        <v>173</v>
      </c>
      <c r="D143">
        <v>58.4</v>
      </c>
      <c r="E143">
        <v>15.646000000000001</v>
      </c>
      <c r="F143" t="s">
        <v>368</v>
      </c>
      <c r="G143">
        <v>3</v>
      </c>
      <c r="H143">
        <v>1</v>
      </c>
    </row>
    <row r="144" spans="1:8" x14ac:dyDescent="0.25">
      <c r="A144" s="22" t="s">
        <v>174</v>
      </c>
      <c r="B144" s="18">
        <v>144</v>
      </c>
      <c r="C144" t="s">
        <v>174</v>
      </c>
      <c r="D144">
        <v>56.831000000000003</v>
      </c>
      <c r="E144">
        <v>13.946999999999999</v>
      </c>
      <c r="F144" t="s">
        <v>343</v>
      </c>
      <c r="G144">
        <v>3</v>
      </c>
      <c r="H144">
        <v>1</v>
      </c>
    </row>
    <row r="145" spans="1:8" x14ac:dyDescent="0.25">
      <c r="A145" s="22" t="s">
        <v>175</v>
      </c>
      <c r="B145" s="18">
        <v>145</v>
      </c>
      <c r="C145" t="s">
        <v>175</v>
      </c>
      <c r="D145">
        <v>61.828000000000003</v>
      </c>
      <c r="E145">
        <v>16.103000000000002</v>
      </c>
      <c r="F145" t="s">
        <v>349</v>
      </c>
      <c r="G145">
        <v>2</v>
      </c>
      <c r="H145">
        <v>1.3</v>
      </c>
    </row>
    <row r="146" spans="1:8" x14ac:dyDescent="0.25">
      <c r="A146" s="22" t="s">
        <v>176</v>
      </c>
      <c r="B146" s="18">
        <v>146</v>
      </c>
      <c r="C146" t="s">
        <v>176</v>
      </c>
      <c r="D146">
        <v>55.667000000000002</v>
      </c>
      <c r="E146">
        <v>13.083</v>
      </c>
      <c r="F146" t="s">
        <v>351</v>
      </c>
      <c r="G146">
        <v>4</v>
      </c>
      <c r="H146">
        <v>0.8</v>
      </c>
    </row>
    <row r="147" spans="1:8" x14ac:dyDescent="0.25">
      <c r="A147" s="22" t="s">
        <v>177</v>
      </c>
      <c r="B147" s="18">
        <v>147</v>
      </c>
      <c r="C147" t="s">
        <v>177</v>
      </c>
      <c r="D147">
        <v>60.14</v>
      </c>
      <c r="E147">
        <v>15.196999999999999</v>
      </c>
      <c r="F147" t="s">
        <v>349</v>
      </c>
      <c r="G147">
        <v>2</v>
      </c>
      <c r="H147">
        <v>1.2</v>
      </c>
    </row>
    <row r="148" spans="1:8" x14ac:dyDescent="0.25">
      <c r="A148" s="22" t="s">
        <v>178</v>
      </c>
      <c r="B148" s="18">
        <v>148</v>
      </c>
      <c r="C148" t="s">
        <v>178</v>
      </c>
      <c r="D148">
        <v>65.588999999999999</v>
      </c>
      <c r="E148">
        <v>22.167000000000002</v>
      </c>
      <c r="F148" t="s">
        <v>340</v>
      </c>
      <c r="G148">
        <v>1</v>
      </c>
      <c r="H148">
        <v>1.5</v>
      </c>
    </row>
    <row r="149" spans="1:8" x14ac:dyDescent="0.25">
      <c r="A149" s="22" t="s">
        <v>179</v>
      </c>
      <c r="B149" s="18">
        <v>149</v>
      </c>
      <c r="C149" t="s">
        <v>179</v>
      </c>
      <c r="D149">
        <v>55.704999999999998</v>
      </c>
      <c r="E149">
        <v>13.2</v>
      </c>
      <c r="F149" t="s">
        <v>351</v>
      </c>
      <c r="G149">
        <v>4</v>
      </c>
      <c r="H149">
        <v>0.9</v>
      </c>
    </row>
    <row r="150" spans="1:8" x14ac:dyDescent="0.25">
      <c r="A150" s="22" t="s">
        <v>180</v>
      </c>
      <c r="B150" s="18">
        <v>150</v>
      </c>
      <c r="C150" t="s">
        <v>180</v>
      </c>
      <c r="D150">
        <v>64.590999999999994</v>
      </c>
      <c r="E150">
        <v>18.690999999999999</v>
      </c>
      <c r="F150" t="s">
        <v>350</v>
      </c>
      <c r="G150">
        <v>1</v>
      </c>
      <c r="H150">
        <v>1.5</v>
      </c>
    </row>
    <row r="151" spans="1:8" x14ac:dyDescent="0.25">
      <c r="A151" s="22" t="s">
        <v>181</v>
      </c>
      <c r="B151" s="18">
        <v>151</v>
      </c>
      <c r="C151" t="s">
        <v>181</v>
      </c>
      <c r="D151">
        <v>58.279000000000003</v>
      </c>
      <c r="E151">
        <v>11.443</v>
      </c>
      <c r="F151" t="s">
        <v>342</v>
      </c>
      <c r="G151">
        <v>3</v>
      </c>
      <c r="H151">
        <v>0.9</v>
      </c>
    </row>
    <row r="152" spans="1:8" x14ac:dyDescent="0.25">
      <c r="A152" s="22" t="s">
        <v>400</v>
      </c>
      <c r="B152" s="18">
        <v>152</v>
      </c>
      <c r="C152" t="s">
        <v>400</v>
      </c>
      <c r="D152">
        <v>65.183999999999997</v>
      </c>
      <c r="E152">
        <v>18.748999999999999</v>
      </c>
      <c r="F152" t="s">
        <v>350</v>
      </c>
      <c r="G152">
        <v>1</v>
      </c>
      <c r="H152">
        <v>1.6</v>
      </c>
    </row>
    <row r="153" spans="1:8" x14ac:dyDescent="0.25">
      <c r="A153" s="22" t="s">
        <v>395</v>
      </c>
      <c r="B153" s="18">
        <v>153</v>
      </c>
      <c r="C153" t="s">
        <v>395</v>
      </c>
      <c r="D153">
        <v>58.072000000000003</v>
      </c>
      <c r="E153">
        <v>15.236000000000001</v>
      </c>
      <c r="F153" t="s">
        <v>368</v>
      </c>
      <c r="G153">
        <v>3</v>
      </c>
      <c r="H153">
        <v>1</v>
      </c>
    </row>
    <row r="154" spans="1:8" x14ac:dyDescent="0.25">
      <c r="A154" s="22" t="s">
        <v>184</v>
      </c>
      <c r="B154" s="18">
        <v>154</v>
      </c>
      <c r="C154" t="s">
        <v>184</v>
      </c>
      <c r="D154">
        <v>55.591999999999999</v>
      </c>
      <c r="E154">
        <v>13.025</v>
      </c>
      <c r="F154" t="s">
        <v>351</v>
      </c>
      <c r="G154">
        <v>4</v>
      </c>
      <c r="H154">
        <v>0.8</v>
      </c>
    </row>
    <row r="155" spans="1:8" x14ac:dyDescent="0.25">
      <c r="A155" s="22" t="s">
        <v>185</v>
      </c>
      <c r="B155" s="18">
        <v>155</v>
      </c>
      <c r="C155" t="s">
        <v>185</v>
      </c>
      <c r="D155">
        <v>60.680999999999997</v>
      </c>
      <c r="E155">
        <v>13.709</v>
      </c>
      <c r="F155" t="s">
        <v>349</v>
      </c>
      <c r="G155">
        <v>2</v>
      </c>
      <c r="H155">
        <v>1.4</v>
      </c>
    </row>
    <row r="156" spans="1:8" x14ac:dyDescent="0.25">
      <c r="A156" s="22" t="s">
        <v>186</v>
      </c>
      <c r="B156" s="18">
        <v>156</v>
      </c>
      <c r="C156" t="s">
        <v>186</v>
      </c>
      <c r="D156">
        <v>58.704000000000001</v>
      </c>
      <c r="E156">
        <v>13.835000000000001</v>
      </c>
      <c r="F156" t="s">
        <v>342</v>
      </c>
      <c r="G156">
        <v>3</v>
      </c>
      <c r="H156">
        <v>1</v>
      </c>
    </row>
    <row r="157" spans="1:8" x14ac:dyDescent="0.25">
      <c r="A157" s="22" t="s">
        <v>187</v>
      </c>
      <c r="B157" s="18">
        <v>157</v>
      </c>
      <c r="C157" t="s">
        <v>187</v>
      </c>
      <c r="D157">
        <v>56.46</v>
      </c>
      <c r="E157">
        <v>13.601000000000001</v>
      </c>
      <c r="F157" t="s">
        <v>343</v>
      </c>
      <c r="G157">
        <v>3</v>
      </c>
      <c r="H157">
        <v>1</v>
      </c>
    </row>
    <row r="158" spans="1:8" x14ac:dyDescent="0.25">
      <c r="A158" s="22" t="s">
        <v>188</v>
      </c>
      <c r="B158" s="18">
        <v>158</v>
      </c>
      <c r="C158" t="s">
        <v>188</v>
      </c>
      <c r="D158">
        <v>59.87</v>
      </c>
      <c r="E158">
        <v>17.722999999999999</v>
      </c>
      <c r="F158" t="s">
        <v>341</v>
      </c>
      <c r="G158">
        <v>3</v>
      </c>
      <c r="H158">
        <v>1</v>
      </c>
    </row>
    <row r="159" spans="1:8" x14ac:dyDescent="0.25">
      <c r="A159" s="22" t="s">
        <v>189</v>
      </c>
      <c r="B159" s="18">
        <v>159</v>
      </c>
      <c r="C159" t="s">
        <v>189</v>
      </c>
      <c r="D159">
        <v>58.698999999999998</v>
      </c>
      <c r="E159">
        <v>12.462</v>
      </c>
      <c r="F159" t="s">
        <v>342</v>
      </c>
      <c r="G159">
        <v>3</v>
      </c>
      <c r="H159">
        <v>1</v>
      </c>
    </row>
    <row r="160" spans="1:8" x14ac:dyDescent="0.25">
      <c r="A160" s="22" t="s">
        <v>190</v>
      </c>
      <c r="B160" s="18">
        <v>160</v>
      </c>
      <c r="C160" t="s">
        <v>190</v>
      </c>
      <c r="D160">
        <v>58.328000000000003</v>
      </c>
      <c r="E160">
        <v>15.134</v>
      </c>
      <c r="F160" t="s">
        <v>368</v>
      </c>
      <c r="G160">
        <v>3</v>
      </c>
      <c r="H160">
        <v>1</v>
      </c>
    </row>
    <row r="161" spans="1:8" x14ac:dyDescent="0.25">
      <c r="A161" s="22" t="s">
        <v>191</v>
      </c>
      <c r="B161" s="18">
        <v>161</v>
      </c>
      <c r="C161" t="s">
        <v>191</v>
      </c>
      <c r="D161">
        <v>57.654000000000003</v>
      </c>
      <c r="E161">
        <v>12.019</v>
      </c>
      <c r="F161" t="s">
        <v>342</v>
      </c>
      <c r="G161">
        <v>4</v>
      </c>
      <c r="H161">
        <v>0.9</v>
      </c>
    </row>
    <row r="162" spans="1:8" x14ac:dyDescent="0.25">
      <c r="A162" s="22" t="s">
        <v>192</v>
      </c>
      <c r="B162" s="18">
        <v>162</v>
      </c>
      <c r="C162" t="s">
        <v>192</v>
      </c>
      <c r="D162">
        <v>57.04</v>
      </c>
      <c r="E162">
        <v>16.442</v>
      </c>
      <c r="F162" t="s">
        <v>354</v>
      </c>
      <c r="G162">
        <v>4</v>
      </c>
      <c r="H162">
        <v>0.9</v>
      </c>
    </row>
    <row r="163" spans="1:8" x14ac:dyDescent="0.25">
      <c r="A163" s="22" t="s">
        <v>193</v>
      </c>
      <c r="B163" s="18">
        <v>163</v>
      </c>
      <c r="C163" t="s">
        <v>193</v>
      </c>
      <c r="D163">
        <v>61.008000000000003</v>
      </c>
      <c r="E163">
        <v>14.545</v>
      </c>
      <c r="F163" t="s">
        <v>349</v>
      </c>
      <c r="G163">
        <v>2</v>
      </c>
      <c r="H163">
        <v>1.2</v>
      </c>
    </row>
    <row r="164" spans="1:8" x14ac:dyDescent="0.25">
      <c r="A164" s="22" t="s">
        <v>194</v>
      </c>
      <c r="B164" s="18">
        <v>164</v>
      </c>
      <c r="C164" t="s">
        <v>194</v>
      </c>
      <c r="D164">
        <v>56.524000000000001</v>
      </c>
      <c r="E164">
        <v>16.384</v>
      </c>
      <c r="F164" t="s">
        <v>354</v>
      </c>
      <c r="G164">
        <v>4</v>
      </c>
      <c r="H164">
        <v>0.9</v>
      </c>
    </row>
    <row r="165" spans="1:8" x14ac:dyDescent="0.25">
      <c r="A165" s="22" t="s">
        <v>195</v>
      </c>
      <c r="B165" s="18">
        <v>165</v>
      </c>
      <c r="C165" t="s">
        <v>195</v>
      </c>
      <c r="D165">
        <v>58.545000000000002</v>
      </c>
      <c r="E165">
        <v>15.042</v>
      </c>
      <c r="F165" t="s">
        <v>368</v>
      </c>
      <c r="G165">
        <v>3</v>
      </c>
      <c r="H165">
        <v>1</v>
      </c>
    </row>
    <row r="166" spans="1:8" x14ac:dyDescent="0.25">
      <c r="A166" s="22" t="s">
        <v>196</v>
      </c>
      <c r="B166" s="18">
        <v>166</v>
      </c>
      <c r="C166" t="s">
        <v>196</v>
      </c>
      <c r="D166">
        <v>58.473999999999997</v>
      </c>
      <c r="E166">
        <v>11.685</v>
      </c>
      <c r="F166" t="s">
        <v>342</v>
      </c>
      <c r="G166">
        <v>3</v>
      </c>
      <c r="H166">
        <v>1</v>
      </c>
    </row>
    <row r="167" spans="1:8" x14ac:dyDescent="0.25">
      <c r="A167" s="22" t="s">
        <v>197</v>
      </c>
      <c r="B167" s="18">
        <v>167</v>
      </c>
      <c r="C167" t="s">
        <v>197</v>
      </c>
      <c r="D167">
        <v>59.832999999999998</v>
      </c>
      <c r="E167">
        <v>13.532999999999999</v>
      </c>
      <c r="F167" t="s">
        <v>347</v>
      </c>
      <c r="G167">
        <v>2</v>
      </c>
      <c r="H167">
        <v>1.1000000000000001</v>
      </c>
    </row>
    <row r="168" spans="1:8" x14ac:dyDescent="0.25">
      <c r="A168" s="22" t="s">
        <v>198</v>
      </c>
      <c r="B168" s="18">
        <v>168</v>
      </c>
      <c r="C168" t="s">
        <v>198</v>
      </c>
      <c r="D168">
        <v>59.31</v>
      </c>
      <c r="E168">
        <v>18.164000000000001</v>
      </c>
      <c r="F168" t="s">
        <v>341</v>
      </c>
      <c r="G168">
        <v>3</v>
      </c>
      <c r="H168">
        <v>1</v>
      </c>
    </row>
    <row r="169" spans="1:8" x14ac:dyDescent="0.25">
      <c r="A169" s="22" t="s">
        <v>406</v>
      </c>
      <c r="B169" s="18">
        <v>169</v>
      </c>
      <c r="C169" t="s">
        <v>406</v>
      </c>
      <c r="D169">
        <v>57.655000000000001</v>
      </c>
      <c r="E169">
        <v>14.696999999999999</v>
      </c>
      <c r="F169" t="s">
        <v>345</v>
      </c>
      <c r="G169">
        <v>3</v>
      </c>
      <c r="H169">
        <v>1.1000000000000001</v>
      </c>
    </row>
    <row r="170" spans="1:8" x14ac:dyDescent="0.25">
      <c r="A170" s="22" t="s">
        <v>200</v>
      </c>
      <c r="B170" s="18">
        <v>170</v>
      </c>
      <c r="C170" t="s">
        <v>200</v>
      </c>
      <c r="D170">
        <v>59.517000000000003</v>
      </c>
      <c r="E170">
        <v>15.032999999999999</v>
      </c>
      <c r="F170" t="s">
        <v>348</v>
      </c>
      <c r="G170">
        <v>3</v>
      </c>
      <c r="H170">
        <v>1.1000000000000001</v>
      </c>
    </row>
    <row r="171" spans="1:8" x14ac:dyDescent="0.25">
      <c r="A171" s="22" t="s">
        <v>201</v>
      </c>
      <c r="B171" s="18">
        <v>171</v>
      </c>
      <c r="C171" t="s">
        <v>201</v>
      </c>
      <c r="D171">
        <v>60.353000000000002</v>
      </c>
      <c r="E171">
        <v>15.553000000000001</v>
      </c>
      <c r="F171" t="s">
        <v>346</v>
      </c>
      <c r="G171">
        <v>3</v>
      </c>
      <c r="H171">
        <v>1.1000000000000001</v>
      </c>
    </row>
    <row r="172" spans="1:8" x14ac:dyDescent="0.25">
      <c r="A172" s="22" t="s">
        <v>202</v>
      </c>
      <c r="B172" s="18">
        <v>172</v>
      </c>
      <c r="C172" t="s">
        <v>202</v>
      </c>
      <c r="D172">
        <v>61.982999999999997</v>
      </c>
      <c r="E172">
        <v>17.067</v>
      </c>
      <c r="F172" t="s">
        <v>352</v>
      </c>
      <c r="G172">
        <v>2</v>
      </c>
      <c r="H172">
        <v>1.2</v>
      </c>
    </row>
    <row r="173" spans="1:8" x14ac:dyDescent="0.25">
      <c r="A173" s="22" t="s">
        <v>203</v>
      </c>
      <c r="B173" s="18">
        <v>173</v>
      </c>
      <c r="C173" t="s">
        <v>203</v>
      </c>
      <c r="D173">
        <v>63.572000000000003</v>
      </c>
      <c r="E173">
        <v>19.512</v>
      </c>
      <c r="F173" t="s">
        <v>350</v>
      </c>
      <c r="G173">
        <v>1</v>
      </c>
      <c r="H173">
        <v>1.3</v>
      </c>
    </row>
    <row r="174" spans="1:8" x14ac:dyDescent="0.25">
      <c r="A174" s="22" t="s">
        <v>204</v>
      </c>
      <c r="B174" s="18">
        <v>174</v>
      </c>
      <c r="C174" t="s">
        <v>204</v>
      </c>
      <c r="D174">
        <v>58.591999999999999</v>
      </c>
      <c r="E174">
        <v>16.193000000000001</v>
      </c>
      <c r="F174" t="s">
        <v>368</v>
      </c>
      <c r="G174">
        <v>3</v>
      </c>
      <c r="H174">
        <v>1</v>
      </c>
    </row>
    <row r="175" spans="1:8" x14ac:dyDescent="0.25">
      <c r="A175" s="22" t="s">
        <v>205</v>
      </c>
      <c r="B175" s="18">
        <v>175</v>
      </c>
      <c r="C175" t="s">
        <v>205</v>
      </c>
      <c r="D175">
        <v>59.759</v>
      </c>
      <c r="E175">
        <v>18.702999999999999</v>
      </c>
      <c r="F175" t="s">
        <v>341</v>
      </c>
      <c r="G175">
        <v>3</v>
      </c>
      <c r="H175">
        <v>1</v>
      </c>
    </row>
    <row r="176" spans="1:8" x14ac:dyDescent="0.25">
      <c r="A176" s="22" t="s">
        <v>404</v>
      </c>
      <c r="B176" s="18">
        <v>176</v>
      </c>
      <c r="C176" t="s">
        <v>404</v>
      </c>
      <c r="D176">
        <v>64.926000000000002</v>
      </c>
      <c r="E176">
        <v>19.378</v>
      </c>
      <c r="F176" t="s">
        <v>350</v>
      </c>
      <c r="G176">
        <v>1</v>
      </c>
      <c r="H176">
        <v>1.6</v>
      </c>
    </row>
    <row r="177" spans="1:8" x14ac:dyDescent="0.25">
      <c r="A177" s="22" t="s">
        <v>207</v>
      </c>
      <c r="B177" s="18">
        <v>177</v>
      </c>
      <c r="C177" t="s">
        <v>207</v>
      </c>
      <c r="D177">
        <v>56.746000000000002</v>
      </c>
      <c r="E177">
        <v>15.906000000000001</v>
      </c>
      <c r="F177" t="s">
        <v>354</v>
      </c>
      <c r="G177">
        <v>4</v>
      </c>
      <c r="H177">
        <v>0.9</v>
      </c>
    </row>
    <row r="178" spans="1:8" x14ac:dyDescent="0.25">
      <c r="A178" s="22" t="s">
        <v>208</v>
      </c>
      <c r="B178" s="18">
        <v>178</v>
      </c>
      <c r="C178" t="s">
        <v>208</v>
      </c>
      <c r="D178">
        <v>58.759</v>
      </c>
      <c r="E178">
        <v>17.015000000000001</v>
      </c>
      <c r="F178" t="s">
        <v>364</v>
      </c>
      <c r="G178">
        <v>3</v>
      </c>
      <c r="H178">
        <v>1</v>
      </c>
    </row>
    <row r="179" spans="1:8" x14ac:dyDescent="0.25">
      <c r="A179" s="22" t="s">
        <v>209</v>
      </c>
      <c r="B179" s="18">
        <v>179</v>
      </c>
      <c r="C179" t="s">
        <v>209</v>
      </c>
      <c r="D179">
        <v>59.167000000000002</v>
      </c>
      <c r="E179">
        <v>17.433</v>
      </c>
      <c r="F179" t="s">
        <v>341</v>
      </c>
      <c r="G179">
        <v>3</v>
      </c>
      <c r="H179">
        <v>1</v>
      </c>
    </row>
    <row r="180" spans="1:8" x14ac:dyDescent="0.25">
      <c r="A180" s="22" t="s">
        <v>210</v>
      </c>
      <c r="B180" s="18">
        <v>180</v>
      </c>
      <c r="C180" t="s">
        <v>210</v>
      </c>
      <c r="D180">
        <v>58.902999999999999</v>
      </c>
      <c r="E180">
        <v>17.948</v>
      </c>
      <c r="F180" t="s">
        <v>341</v>
      </c>
      <c r="G180">
        <v>3</v>
      </c>
      <c r="H180">
        <v>1</v>
      </c>
    </row>
    <row r="181" spans="1:8" x14ac:dyDescent="0.25">
      <c r="A181" s="22" t="s">
        <v>211</v>
      </c>
      <c r="B181" s="18">
        <v>181</v>
      </c>
      <c r="C181" t="s">
        <v>211</v>
      </c>
      <c r="D181">
        <v>60.896999999999998</v>
      </c>
      <c r="E181">
        <v>16.722999999999999</v>
      </c>
      <c r="F181" t="s">
        <v>352</v>
      </c>
      <c r="G181">
        <v>2</v>
      </c>
      <c r="H181">
        <v>1.1000000000000001</v>
      </c>
    </row>
    <row r="182" spans="1:8" x14ac:dyDescent="0.25">
      <c r="A182" s="22" t="s">
        <v>212</v>
      </c>
      <c r="B182" s="18">
        <v>182</v>
      </c>
      <c r="C182" t="s">
        <v>212</v>
      </c>
      <c r="D182">
        <v>57.710999999999999</v>
      </c>
      <c r="E182">
        <v>11.647</v>
      </c>
      <c r="F182" t="s">
        <v>342</v>
      </c>
      <c r="G182">
        <v>4</v>
      </c>
      <c r="H182">
        <v>0.9</v>
      </c>
    </row>
    <row r="183" spans="1:8" x14ac:dyDescent="0.25">
      <c r="A183" s="22" t="s">
        <v>213</v>
      </c>
      <c r="B183" s="18">
        <v>183</v>
      </c>
      <c r="C183" t="s">
        <v>213</v>
      </c>
      <c r="D183">
        <v>58.23</v>
      </c>
      <c r="E183">
        <v>14.657999999999999</v>
      </c>
      <c r="F183" t="s">
        <v>368</v>
      </c>
      <c r="G183">
        <v>3</v>
      </c>
      <c r="H183">
        <v>1</v>
      </c>
    </row>
    <row r="184" spans="1:8" x14ac:dyDescent="0.25">
      <c r="A184" s="22" t="s">
        <v>214</v>
      </c>
      <c r="B184" s="18">
        <v>184</v>
      </c>
      <c r="C184" t="s">
        <v>214</v>
      </c>
      <c r="D184">
        <v>56.280999999999999</v>
      </c>
      <c r="E184">
        <v>14.523999999999999</v>
      </c>
      <c r="F184" t="s">
        <v>386</v>
      </c>
      <c r="G184">
        <v>4</v>
      </c>
      <c r="H184">
        <v>0.9</v>
      </c>
    </row>
    <row r="185" spans="1:8" x14ac:dyDescent="0.25">
      <c r="A185" s="22" t="s">
        <v>215</v>
      </c>
      <c r="B185" s="18">
        <v>185</v>
      </c>
      <c r="C185" t="s">
        <v>215</v>
      </c>
      <c r="D185">
        <v>59.273000000000003</v>
      </c>
      <c r="E185">
        <v>15.211</v>
      </c>
      <c r="F185" t="s">
        <v>348</v>
      </c>
      <c r="G185">
        <v>3</v>
      </c>
      <c r="H185">
        <v>1</v>
      </c>
    </row>
    <row r="186" spans="1:8" x14ac:dyDescent="0.25">
      <c r="A186" s="22" t="s">
        <v>216</v>
      </c>
      <c r="B186" s="18">
        <v>186</v>
      </c>
      <c r="C186" t="s">
        <v>216</v>
      </c>
      <c r="D186">
        <v>56.280999999999999</v>
      </c>
      <c r="E186">
        <v>13.282999999999999</v>
      </c>
      <c r="F186" t="s">
        <v>351</v>
      </c>
      <c r="G186">
        <v>4</v>
      </c>
      <c r="H186">
        <v>1</v>
      </c>
    </row>
    <row r="187" spans="1:8" x14ac:dyDescent="0.25">
      <c r="A187" s="22" t="s">
        <v>430</v>
      </c>
      <c r="B187" s="18">
        <v>187</v>
      </c>
      <c r="C187" t="s">
        <v>430</v>
      </c>
      <c r="D187">
        <v>63.284999999999997</v>
      </c>
      <c r="E187">
        <v>18.695</v>
      </c>
      <c r="F187" t="s">
        <v>379</v>
      </c>
      <c r="G187">
        <v>2</v>
      </c>
      <c r="H187">
        <v>1.3</v>
      </c>
    </row>
    <row r="188" spans="1:8" x14ac:dyDescent="0.25">
      <c r="A188" s="22" t="s">
        <v>218</v>
      </c>
      <c r="B188" s="18">
        <v>188</v>
      </c>
      <c r="C188" t="s">
        <v>218</v>
      </c>
      <c r="D188">
        <v>61.12</v>
      </c>
      <c r="E188">
        <v>14.609</v>
      </c>
      <c r="F188" t="s">
        <v>349</v>
      </c>
      <c r="G188">
        <v>2</v>
      </c>
      <c r="H188">
        <v>1.2</v>
      </c>
    </row>
    <row r="189" spans="1:8" x14ac:dyDescent="0.25">
      <c r="A189" s="22" t="s">
        <v>219</v>
      </c>
      <c r="B189" s="18">
        <v>189</v>
      </c>
      <c r="C189" t="s">
        <v>219</v>
      </c>
      <c r="D189">
        <v>58.235999999999997</v>
      </c>
      <c r="E189">
        <v>11.664</v>
      </c>
      <c r="F189" t="s">
        <v>342</v>
      </c>
      <c r="G189">
        <v>3</v>
      </c>
      <c r="H189">
        <v>0.9</v>
      </c>
    </row>
    <row r="190" spans="1:8" x14ac:dyDescent="0.25">
      <c r="A190" s="22" t="s">
        <v>220</v>
      </c>
      <c r="B190" s="18">
        <v>190</v>
      </c>
      <c r="C190" t="s">
        <v>220</v>
      </c>
      <c r="D190">
        <v>56.377000000000002</v>
      </c>
      <c r="E190">
        <v>14.004</v>
      </c>
      <c r="F190" t="s">
        <v>351</v>
      </c>
      <c r="G190">
        <v>4</v>
      </c>
      <c r="H190">
        <v>1</v>
      </c>
    </row>
    <row r="191" spans="1:8" x14ac:dyDescent="0.25">
      <c r="A191" s="22" t="s">
        <v>221</v>
      </c>
      <c r="B191" s="18">
        <v>191</v>
      </c>
      <c r="C191" t="s">
        <v>221</v>
      </c>
      <c r="D191">
        <v>57.265999999999998</v>
      </c>
      <c r="E191">
        <v>16.451000000000001</v>
      </c>
      <c r="F191" t="s">
        <v>354</v>
      </c>
      <c r="G191">
        <v>4</v>
      </c>
      <c r="H191">
        <v>0.9</v>
      </c>
    </row>
    <row r="192" spans="1:8" x14ac:dyDescent="0.25">
      <c r="A192" s="22" t="s">
        <v>222</v>
      </c>
      <c r="B192" s="18">
        <v>192</v>
      </c>
      <c r="C192" t="s">
        <v>222</v>
      </c>
      <c r="D192">
        <v>59.466999999999999</v>
      </c>
      <c r="E192">
        <v>18.317</v>
      </c>
      <c r="F192" t="s">
        <v>341</v>
      </c>
      <c r="G192">
        <v>3</v>
      </c>
      <c r="H192">
        <v>1</v>
      </c>
    </row>
    <row r="193" spans="1:8" x14ac:dyDescent="0.25">
      <c r="A193" s="22" t="s">
        <v>222</v>
      </c>
      <c r="B193" s="18">
        <v>193</v>
      </c>
      <c r="C193" t="s">
        <v>222</v>
      </c>
      <c r="D193">
        <v>59.404000000000003</v>
      </c>
      <c r="E193">
        <v>18.338000000000001</v>
      </c>
      <c r="F193" t="s">
        <v>341</v>
      </c>
      <c r="G193">
        <v>3</v>
      </c>
      <c r="H193">
        <v>1</v>
      </c>
    </row>
    <row r="194" spans="1:8" x14ac:dyDescent="0.25">
      <c r="A194" s="22" t="s">
        <v>223</v>
      </c>
      <c r="B194" s="18">
        <v>194</v>
      </c>
      <c r="C194" t="s">
        <v>223</v>
      </c>
      <c r="D194">
        <v>63.18</v>
      </c>
      <c r="E194">
        <v>14.629</v>
      </c>
      <c r="F194" t="s">
        <v>357</v>
      </c>
      <c r="G194">
        <v>1</v>
      </c>
      <c r="H194">
        <v>1.4</v>
      </c>
    </row>
    <row r="195" spans="1:8" x14ac:dyDescent="0.25">
      <c r="A195" s="22" t="s">
        <v>433</v>
      </c>
      <c r="B195" s="18">
        <v>195</v>
      </c>
      <c r="C195" t="s">
        <v>433</v>
      </c>
      <c r="D195">
        <v>60.256</v>
      </c>
      <c r="E195">
        <v>18.367000000000001</v>
      </c>
      <c r="F195" t="s">
        <v>361</v>
      </c>
      <c r="G195">
        <v>3</v>
      </c>
      <c r="H195">
        <v>1.1000000000000001</v>
      </c>
    </row>
    <row r="196" spans="1:8" x14ac:dyDescent="0.25">
      <c r="A196" s="22" t="s">
        <v>225</v>
      </c>
      <c r="B196" s="18">
        <v>196</v>
      </c>
      <c r="C196" t="s">
        <v>226</v>
      </c>
      <c r="D196">
        <v>66.320999999999998</v>
      </c>
      <c r="E196">
        <v>22.847999999999999</v>
      </c>
      <c r="F196" t="s">
        <v>340</v>
      </c>
      <c r="G196">
        <v>1</v>
      </c>
      <c r="H196">
        <v>1.6</v>
      </c>
    </row>
    <row r="197" spans="1:8" x14ac:dyDescent="0.25">
      <c r="A197" s="22" t="s">
        <v>226</v>
      </c>
      <c r="B197" s="18">
        <v>197</v>
      </c>
      <c r="C197" t="s">
        <v>227</v>
      </c>
      <c r="D197">
        <v>66.382999999999996</v>
      </c>
      <c r="E197">
        <v>23.667000000000002</v>
      </c>
      <c r="F197" t="s">
        <v>340</v>
      </c>
      <c r="G197">
        <v>1</v>
      </c>
      <c r="H197">
        <v>1.6</v>
      </c>
    </row>
    <row r="198" spans="1:8" x14ac:dyDescent="0.25">
      <c r="A198" s="22" t="s">
        <v>227</v>
      </c>
      <c r="B198" s="18">
        <v>198</v>
      </c>
      <c r="C198" t="s">
        <v>408</v>
      </c>
      <c r="D198">
        <v>58.673000000000002</v>
      </c>
      <c r="E198">
        <v>17.097999999999999</v>
      </c>
      <c r="F198" t="s">
        <v>364</v>
      </c>
      <c r="G198">
        <v>3</v>
      </c>
      <c r="H198">
        <v>1</v>
      </c>
    </row>
    <row r="199" spans="1:8" x14ac:dyDescent="0.25">
      <c r="A199" s="22" t="s">
        <v>408</v>
      </c>
      <c r="B199" s="18">
        <v>199</v>
      </c>
      <c r="C199" s="17"/>
      <c r="D199" s="17"/>
      <c r="E199" s="17"/>
      <c r="F199" s="17"/>
      <c r="G199" s="17"/>
      <c r="H199" s="20">
        <v>1</v>
      </c>
    </row>
    <row r="200" spans="1:8" x14ac:dyDescent="0.25">
      <c r="A200" s="22" t="s">
        <v>229</v>
      </c>
      <c r="B200" s="18">
        <v>200</v>
      </c>
      <c r="C200" t="s">
        <v>229</v>
      </c>
      <c r="D200">
        <v>67.213999999999999</v>
      </c>
      <c r="E200">
        <v>23.373000000000001</v>
      </c>
      <c r="F200" t="s">
        <v>340</v>
      </c>
      <c r="G200">
        <v>1</v>
      </c>
      <c r="H200">
        <v>1.7</v>
      </c>
    </row>
    <row r="201" spans="1:8" x14ac:dyDescent="0.25">
      <c r="A201" s="22" t="s">
        <v>230</v>
      </c>
      <c r="B201" s="18">
        <v>201</v>
      </c>
      <c r="C201" t="s">
        <v>230</v>
      </c>
      <c r="D201">
        <v>57.738999999999997</v>
      </c>
      <c r="E201">
        <v>12.106</v>
      </c>
      <c r="F201" t="s">
        <v>342</v>
      </c>
      <c r="G201">
        <v>4</v>
      </c>
      <c r="H201">
        <v>0.9</v>
      </c>
    </row>
    <row r="202" spans="1:8" x14ac:dyDescent="0.25">
      <c r="A202" s="22" t="s">
        <v>410</v>
      </c>
      <c r="B202" s="18">
        <v>202</v>
      </c>
      <c r="H202" s="20">
        <v>1.4</v>
      </c>
    </row>
    <row r="203" spans="1:8" x14ac:dyDescent="0.25">
      <c r="A203" s="22" t="s">
        <v>411</v>
      </c>
      <c r="B203" s="18">
        <v>203</v>
      </c>
      <c r="C203" t="s">
        <v>411</v>
      </c>
      <c r="D203">
        <v>60.884999999999998</v>
      </c>
      <c r="E203">
        <v>15.112</v>
      </c>
      <c r="F203" t="s">
        <v>349</v>
      </c>
      <c r="G203">
        <v>2</v>
      </c>
      <c r="H203">
        <v>1.2</v>
      </c>
    </row>
    <row r="204" spans="1:8" x14ac:dyDescent="0.25">
      <c r="A204" s="22" t="s">
        <v>233</v>
      </c>
      <c r="B204" s="18">
        <v>204</v>
      </c>
      <c r="C204" s="17"/>
      <c r="D204" s="17"/>
      <c r="E204" s="17"/>
      <c r="F204" s="17"/>
      <c r="G204" s="17"/>
      <c r="H204" s="20">
        <v>1.9</v>
      </c>
    </row>
    <row r="205" spans="1:8" x14ac:dyDescent="0.25">
      <c r="A205" s="22" t="s">
        <v>234</v>
      </c>
      <c r="B205" s="18">
        <v>205</v>
      </c>
      <c r="C205" t="s">
        <v>234</v>
      </c>
      <c r="D205">
        <v>64.191999999999993</v>
      </c>
      <c r="E205">
        <v>20.853000000000002</v>
      </c>
      <c r="F205" t="s">
        <v>350</v>
      </c>
      <c r="G205">
        <v>1</v>
      </c>
      <c r="H205">
        <v>1.4</v>
      </c>
    </row>
    <row r="206" spans="1:8" x14ac:dyDescent="0.25">
      <c r="A206" s="22" t="s">
        <v>235</v>
      </c>
      <c r="B206" s="18">
        <v>206</v>
      </c>
      <c r="C206" t="s">
        <v>235</v>
      </c>
      <c r="D206">
        <v>56.207999999999998</v>
      </c>
      <c r="E206">
        <v>15.278</v>
      </c>
      <c r="F206" t="s">
        <v>386</v>
      </c>
      <c r="G206">
        <v>4</v>
      </c>
      <c r="H206">
        <v>0.9</v>
      </c>
    </row>
    <row r="207" spans="1:8" x14ac:dyDescent="0.25">
      <c r="A207" s="22" t="s">
        <v>236</v>
      </c>
      <c r="B207" s="18">
        <v>207</v>
      </c>
      <c r="C207" t="s">
        <v>236</v>
      </c>
      <c r="D207">
        <v>59.134999999999998</v>
      </c>
      <c r="E207">
        <v>12.923</v>
      </c>
      <c r="F207" t="s">
        <v>347</v>
      </c>
      <c r="G207">
        <v>2</v>
      </c>
      <c r="H207">
        <v>1</v>
      </c>
    </row>
    <row r="208" spans="1:8" x14ac:dyDescent="0.25">
      <c r="A208" s="22" t="s">
        <v>237</v>
      </c>
      <c r="B208" s="18">
        <v>208</v>
      </c>
      <c r="C208" t="s">
        <v>237</v>
      </c>
      <c r="D208">
        <v>59.917000000000002</v>
      </c>
      <c r="E208">
        <v>16.585999999999999</v>
      </c>
      <c r="F208" t="s">
        <v>346</v>
      </c>
      <c r="G208">
        <v>3</v>
      </c>
      <c r="H208">
        <v>1.1000000000000001</v>
      </c>
    </row>
    <row r="209" spans="1:8" x14ac:dyDescent="0.25">
      <c r="A209" s="22" t="s">
        <v>238</v>
      </c>
      <c r="B209" s="18">
        <v>209</v>
      </c>
      <c r="C209" t="s">
        <v>238</v>
      </c>
      <c r="D209">
        <v>59.238999999999997</v>
      </c>
      <c r="E209">
        <v>17.690000000000001</v>
      </c>
      <c r="F209" t="s">
        <v>341</v>
      </c>
      <c r="G209">
        <v>3</v>
      </c>
      <c r="H209">
        <v>1</v>
      </c>
    </row>
    <row r="210" spans="1:8" x14ac:dyDescent="0.25">
      <c r="A210" s="24" t="s">
        <v>1216</v>
      </c>
      <c r="B210" s="18">
        <v>210</v>
      </c>
      <c r="C210" s="17"/>
      <c r="D210" s="17"/>
      <c r="E210" s="17"/>
      <c r="F210" s="17"/>
      <c r="G210" s="17"/>
      <c r="H210" s="20">
        <v>1.4</v>
      </c>
    </row>
    <row r="211" spans="1:8" x14ac:dyDescent="0.25">
      <c r="A211" s="22" t="s">
        <v>240</v>
      </c>
      <c r="B211" s="18">
        <v>211</v>
      </c>
      <c r="C211" t="s">
        <v>240</v>
      </c>
      <c r="D211">
        <v>60.616999999999997</v>
      </c>
      <c r="E211">
        <v>16.78</v>
      </c>
      <c r="F211" t="s">
        <v>352</v>
      </c>
      <c r="G211">
        <v>2</v>
      </c>
      <c r="H211">
        <v>1.1000000000000001</v>
      </c>
    </row>
    <row r="212" spans="1:8" x14ac:dyDescent="0.25">
      <c r="A212" s="22" t="s">
        <v>241</v>
      </c>
      <c r="B212" s="18">
        <v>212</v>
      </c>
      <c r="C212" s="17"/>
      <c r="D212" s="17"/>
      <c r="E212" s="17"/>
      <c r="F212" s="17"/>
      <c r="G212" s="17"/>
      <c r="H212" s="20">
        <v>1.4</v>
      </c>
    </row>
    <row r="213" spans="1:8" x14ac:dyDescent="0.25">
      <c r="A213" s="22" t="s">
        <v>242</v>
      </c>
      <c r="B213" s="18">
        <v>213</v>
      </c>
      <c r="C213" t="s">
        <v>242</v>
      </c>
      <c r="D213">
        <v>58.436</v>
      </c>
      <c r="E213">
        <v>12.708</v>
      </c>
      <c r="F213" t="s">
        <v>342</v>
      </c>
      <c r="G213">
        <v>3</v>
      </c>
      <c r="H213">
        <v>1</v>
      </c>
    </row>
    <row r="214" spans="1:8" x14ac:dyDescent="0.25">
      <c r="A214" s="22" t="s">
        <v>243</v>
      </c>
      <c r="B214" s="18">
        <v>214</v>
      </c>
      <c r="C214" t="s">
        <v>243</v>
      </c>
      <c r="D214">
        <v>60.345999999999997</v>
      </c>
      <c r="E214">
        <v>15.743</v>
      </c>
      <c r="F214" t="s">
        <v>349</v>
      </c>
      <c r="G214">
        <v>2</v>
      </c>
      <c r="H214">
        <v>1.1000000000000001</v>
      </c>
    </row>
    <row r="215" spans="1:8" x14ac:dyDescent="0.25">
      <c r="A215" s="22" t="s">
        <v>244</v>
      </c>
      <c r="B215" s="18">
        <v>215</v>
      </c>
      <c r="C215" t="s">
        <v>244</v>
      </c>
      <c r="D215">
        <v>57.398000000000003</v>
      </c>
      <c r="E215">
        <v>14.664999999999999</v>
      </c>
      <c r="F215" t="s">
        <v>345</v>
      </c>
      <c r="G215">
        <v>3</v>
      </c>
      <c r="H215">
        <v>1.1000000000000001</v>
      </c>
    </row>
    <row r="216" spans="1:8" x14ac:dyDescent="0.25">
      <c r="A216" s="22" t="s">
        <v>245</v>
      </c>
      <c r="B216" s="18">
        <v>216</v>
      </c>
      <c r="C216" t="s">
        <v>245</v>
      </c>
      <c r="D216">
        <v>59.616999999999997</v>
      </c>
      <c r="E216">
        <v>17.716999999999999</v>
      </c>
      <c r="F216" t="s">
        <v>341</v>
      </c>
      <c r="G216">
        <v>3</v>
      </c>
      <c r="H216">
        <v>1</v>
      </c>
    </row>
    <row r="217" spans="1:8" x14ac:dyDescent="0.25">
      <c r="A217" s="22" t="s">
        <v>246</v>
      </c>
      <c r="B217" s="18">
        <v>217</v>
      </c>
      <c r="C217" t="s">
        <v>246</v>
      </c>
      <c r="D217">
        <v>55.557000000000002</v>
      </c>
      <c r="E217">
        <v>14.345000000000001</v>
      </c>
      <c r="F217" t="s">
        <v>351</v>
      </c>
      <c r="G217">
        <v>4</v>
      </c>
      <c r="H217">
        <v>0.9</v>
      </c>
    </row>
    <row r="218" spans="1:8" x14ac:dyDescent="0.25">
      <c r="A218" s="22" t="s">
        <v>247</v>
      </c>
      <c r="B218" s="18">
        <v>218</v>
      </c>
      <c r="C218" t="s">
        <v>247</v>
      </c>
      <c r="D218">
        <v>55.633000000000003</v>
      </c>
      <c r="E218">
        <v>13.708</v>
      </c>
      <c r="F218" t="s">
        <v>351</v>
      </c>
      <c r="G218">
        <v>4</v>
      </c>
      <c r="H218">
        <v>0.9</v>
      </c>
    </row>
    <row r="219" spans="1:8" x14ac:dyDescent="0.25">
      <c r="A219" s="22" t="s">
        <v>248</v>
      </c>
      <c r="B219" s="18">
        <v>219</v>
      </c>
      <c r="C219" t="s">
        <v>248</v>
      </c>
      <c r="D219">
        <v>58.381999999999998</v>
      </c>
      <c r="E219">
        <v>13.44</v>
      </c>
      <c r="F219" t="s">
        <v>342</v>
      </c>
      <c r="G219">
        <v>3</v>
      </c>
      <c r="H219">
        <v>1</v>
      </c>
    </row>
    <row r="220" spans="1:8" x14ac:dyDescent="0.25">
      <c r="A220" s="22" t="s">
        <v>249</v>
      </c>
      <c r="B220" s="18">
        <v>220</v>
      </c>
      <c r="C220" t="s">
        <v>249</v>
      </c>
      <c r="D220">
        <v>64.754000000000005</v>
      </c>
      <c r="E220">
        <v>20.96</v>
      </c>
      <c r="F220" t="s">
        <v>350</v>
      </c>
      <c r="G220">
        <v>1</v>
      </c>
      <c r="H220">
        <v>1.4</v>
      </c>
    </row>
    <row r="221" spans="1:8" x14ac:dyDescent="0.25">
      <c r="A221" s="22" t="s">
        <v>250</v>
      </c>
      <c r="B221" s="18">
        <v>221</v>
      </c>
      <c r="C221" t="s">
        <v>250</v>
      </c>
      <c r="D221">
        <v>59.832000000000001</v>
      </c>
      <c r="E221">
        <v>15.694000000000001</v>
      </c>
      <c r="F221" t="s">
        <v>346</v>
      </c>
      <c r="G221">
        <v>3</v>
      </c>
      <c r="H221">
        <v>1.1000000000000001</v>
      </c>
    </row>
    <row r="222" spans="1:8" x14ac:dyDescent="0.25">
      <c r="A222" s="22" t="s">
        <v>251</v>
      </c>
      <c r="B222" s="18">
        <v>222</v>
      </c>
      <c r="C222" t="s">
        <v>251</v>
      </c>
      <c r="D222">
        <v>58.398000000000003</v>
      </c>
      <c r="E222">
        <v>13.856999999999999</v>
      </c>
      <c r="F222" t="s">
        <v>342</v>
      </c>
      <c r="G222">
        <v>3</v>
      </c>
      <c r="H222">
        <v>1</v>
      </c>
    </row>
    <row r="223" spans="1:8" x14ac:dyDescent="0.25">
      <c r="A223" s="22" t="s">
        <v>252</v>
      </c>
      <c r="B223" s="18">
        <v>223</v>
      </c>
      <c r="C223" t="s">
        <v>252</v>
      </c>
      <c r="D223">
        <v>55.482999999999997</v>
      </c>
      <c r="E223">
        <v>13.5</v>
      </c>
      <c r="F223" t="s">
        <v>351</v>
      </c>
      <c r="G223">
        <v>4</v>
      </c>
      <c r="H223">
        <v>0.9</v>
      </c>
    </row>
    <row r="224" spans="1:8" x14ac:dyDescent="0.25">
      <c r="A224" s="22" t="s">
        <v>253</v>
      </c>
      <c r="B224" s="18">
        <v>224</v>
      </c>
      <c r="C224" s="17"/>
      <c r="D224" s="17"/>
      <c r="E224" s="17"/>
      <c r="F224" s="17"/>
      <c r="G224" s="17"/>
      <c r="H224" s="20">
        <v>1.1000000000000001</v>
      </c>
    </row>
    <row r="225" spans="1:8" x14ac:dyDescent="0.25">
      <c r="A225" s="22" t="s">
        <v>254</v>
      </c>
      <c r="B225" s="18">
        <v>225</v>
      </c>
      <c r="C225" t="s">
        <v>254</v>
      </c>
      <c r="D225">
        <v>60.142000000000003</v>
      </c>
      <c r="E225">
        <v>15.413</v>
      </c>
      <c r="F225" t="s">
        <v>349</v>
      </c>
      <c r="G225">
        <v>2</v>
      </c>
      <c r="H225">
        <v>1.2</v>
      </c>
    </row>
    <row r="226" spans="1:8" x14ac:dyDescent="0.25">
      <c r="A226" s="22" t="s">
        <v>255</v>
      </c>
      <c r="B226" s="18">
        <v>226</v>
      </c>
      <c r="C226" t="s">
        <v>255</v>
      </c>
      <c r="D226">
        <v>61.305</v>
      </c>
      <c r="E226">
        <v>17.077999999999999</v>
      </c>
      <c r="F226" t="s">
        <v>352</v>
      </c>
      <c r="G226">
        <v>2</v>
      </c>
      <c r="H226">
        <v>1.2</v>
      </c>
    </row>
    <row r="227" spans="1:8" x14ac:dyDescent="0.25">
      <c r="A227" s="22" t="s">
        <v>256</v>
      </c>
      <c r="B227" s="18">
        <v>227</v>
      </c>
      <c r="C227" t="s">
        <v>256</v>
      </c>
      <c r="D227">
        <v>58.472000000000001</v>
      </c>
      <c r="E227">
        <v>16.341000000000001</v>
      </c>
      <c r="F227" t="s">
        <v>368</v>
      </c>
      <c r="G227">
        <v>3</v>
      </c>
      <c r="H227">
        <v>1</v>
      </c>
    </row>
    <row r="228" spans="1:8" x14ac:dyDescent="0.25">
      <c r="A228" s="22" t="s">
        <v>257</v>
      </c>
      <c r="B228" s="18">
        <v>228</v>
      </c>
      <c r="C228" t="s">
        <v>257</v>
      </c>
      <c r="D228">
        <v>59.192999999999998</v>
      </c>
      <c r="E228">
        <v>17.632999999999999</v>
      </c>
      <c r="F228" t="s">
        <v>341</v>
      </c>
      <c r="G228">
        <v>3</v>
      </c>
      <c r="H228">
        <v>1</v>
      </c>
    </row>
    <row r="229" spans="1:8" x14ac:dyDescent="0.25">
      <c r="A229" s="22" t="s">
        <v>258</v>
      </c>
      <c r="B229" s="18">
        <v>229</v>
      </c>
      <c r="C229" t="s">
        <v>258</v>
      </c>
      <c r="D229">
        <v>63.167000000000002</v>
      </c>
      <c r="E229">
        <v>17.279</v>
      </c>
      <c r="F229" t="s">
        <v>379</v>
      </c>
      <c r="G229">
        <v>2</v>
      </c>
      <c r="H229">
        <v>1.4</v>
      </c>
    </row>
    <row r="230" spans="1:8" x14ac:dyDescent="0.25">
      <c r="A230" s="22" t="s">
        <v>259</v>
      </c>
      <c r="B230" s="18">
        <v>230</v>
      </c>
      <c r="C230" t="s">
        <v>259</v>
      </c>
      <c r="D230">
        <v>59.445</v>
      </c>
      <c r="E230">
        <v>17.942</v>
      </c>
      <c r="F230" t="s">
        <v>341</v>
      </c>
      <c r="G230">
        <v>3</v>
      </c>
      <c r="H230">
        <v>1</v>
      </c>
    </row>
    <row r="231" spans="1:8" x14ac:dyDescent="0.25">
      <c r="A231" s="22" t="s">
        <v>260</v>
      </c>
      <c r="B231" s="18">
        <v>231</v>
      </c>
      <c r="C231" t="s">
        <v>260</v>
      </c>
      <c r="D231">
        <v>59.359000000000002</v>
      </c>
      <c r="E231">
        <v>18.001999999999999</v>
      </c>
      <c r="F231" t="s">
        <v>341</v>
      </c>
      <c r="G231">
        <v>3</v>
      </c>
      <c r="H231">
        <v>1</v>
      </c>
    </row>
    <row r="232" spans="1:8" x14ac:dyDescent="0.25">
      <c r="A232" s="22" t="s">
        <v>261</v>
      </c>
      <c r="B232" s="18">
        <v>232</v>
      </c>
      <c r="C232" t="s">
        <v>261</v>
      </c>
      <c r="D232">
        <v>56.05</v>
      </c>
      <c r="E232">
        <v>14.595000000000001</v>
      </c>
      <c r="F232" t="s">
        <v>386</v>
      </c>
      <c r="G232">
        <v>4</v>
      </c>
      <c r="H232">
        <v>0.9</v>
      </c>
    </row>
    <row r="233" spans="1:8" x14ac:dyDescent="0.25">
      <c r="A233" s="22" t="s">
        <v>262</v>
      </c>
      <c r="B233" s="18">
        <v>233</v>
      </c>
      <c r="C233" t="s">
        <v>262</v>
      </c>
      <c r="D233">
        <v>65.534999999999997</v>
      </c>
      <c r="E233">
        <v>17.533999999999999</v>
      </c>
      <c r="F233" t="s">
        <v>350</v>
      </c>
      <c r="G233">
        <v>1</v>
      </c>
      <c r="H233">
        <v>1.7</v>
      </c>
    </row>
    <row r="234" spans="1:8" x14ac:dyDescent="0.25">
      <c r="A234" s="22" t="s">
        <v>263</v>
      </c>
      <c r="B234" s="18">
        <v>234</v>
      </c>
      <c r="C234" t="s">
        <v>263</v>
      </c>
      <c r="D234">
        <v>58.357999999999997</v>
      </c>
      <c r="E234">
        <v>11.257999999999999</v>
      </c>
      <c r="F234" t="s">
        <v>342</v>
      </c>
      <c r="G234">
        <v>3</v>
      </c>
      <c r="H234">
        <v>0.9</v>
      </c>
    </row>
    <row r="235" spans="1:8" x14ac:dyDescent="0.25">
      <c r="A235" s="22" t="s">
        <v>264</v>
      </c>
      <c r="B235" s="18">
        <v>235</v>
      </c>
      <c r="C235" t="s">
        <v>264</v>
      </c>
      <c r="D235">
        <v>55.65</v>
      </c>
      <c r="E235">
        <v>13.217000000000001</v>
      </c>
      <c r="F235" t="s">
        <v>351</v>
      </c>
      <c r="G235">
        <v>4</v>
      </c>
      <c r="H235">
        <v>0.9</v>
      </c>
    </row>
    <row r="236" spans="1:8" x14ac:dyDescent="0.25">
      <c r="A236" s="22" t="s">
        <v>265</v>
      </c>
      <c r="B236" s="18">
        <v>236</v>
      </c>
      <c r="C236" t="s">
        <v>265</v>
      </c>
      <c r="D236">
        <v>58.073</v>
      </c>
      <c r="E236">
        <v>11.833</v>
      </c>
      <c r="F236" t="s">
        <v>342</v>
      </c>
      <c r="G236">
        <v>3</v>
      </c>
      <c r="H236">
        <v>0.9</v>
      </c>
    </row>
    <row r="237" spans="1:8" x14ac:dyDescent="0.25">
      <c r="A237" s="22" t="s">
        <v>267</v>
      </c>
      <c r="B237" s="18">
        <v>238</v>
      </c>
      <c r="C237" t="s">
        <v>267</v>
      </c>
      <c r="D237">
        <v>59.283000000000001</v>
      </c>
      <c r="E237">
        <v>18.04</v>
      </c>
      <c r="F237" t="s">
        <v>341</v>
      </c>
      <c r="G237">
        <v>3</v>
      </c>
      <c r="H237">
        <v>1</v>
      </c>
    </row>
    <row r="238" spans="1:8" x14ac:dyDescent="0.25">
      <c r="A238" s="22" t="s">
        <v>266</v>
      </c>
      <c r="B238" s="18">
        <v>237</v>
      </c>
      <c r="C238" t="s">
        <v>266</v>
      </c>
      <c r="D238">
        <v>59.353999999999999</v>
      </c>
      <c r="E238">
        <v>17.951000000000001</v>
      </c>
      <c r="F238" t="s">
        <v>341</v>
      </c>
      <c r="G238">
        <v>3</v>
      </c>
      <c r="H238">
        <v>1</v>
      </c>
    </row>
    <row r="239" spans="1:8" x14ac:dyDescent="0.25">
      <c r="A239" s="22" t="s">
        <v>268</v>
      </c>
      <c r="B239" s="18">
        <v>239</v>
      </c>
      <c r="C239" t="s">
        <v>268</v>
      </c>
      <c r="D239">
        <v>59.533000000000001</v>
      </c>
      <c r="E239">
        <v>14.266999999999999</v>
      </c>
      <c r="F239" t="s">
        <v>347</v>
      </c>
      <c r="G239">
        <v>2</v>
      </c>
      <c r="H239">
        <v>1.1000000000000001</v>
      </c>
    </row>
    <row r="240" spans="1:8" x14ac:dyDescent="0.25">
      <c r="A240" s="22" t="s">
        <v>269</v>
      </c>
      <c r="B240" s="18">
        <v>240</v>
      </c>
      <c r="C240" s="17"/>
      <c r="D240" s="17"/>
      <c r="E240" s="17"/>
      <c r="F240" s="17"/>
      <c r="G240" s="17"/>
      <c r="H240" s="20">
        <v>1.6</v>
      </c>
    </row>
    <row r="241" spans="1:8" x14ac:dyDescent="0.25">
      <c r="A241" s="22" t="s">
        <v>270</v>
      </c>
      <c r="B241" s="18">
        <v>241</v>
      </c>
      <c r="C241" t="s">
        <v>270</v>
      </c>
      <c r="D241">
        <v>65.102000000000004</v>
      </c>
      <c r="E241">
        <v>17.114000000000001</v>
      </c>
      <c r="F241" t="s">
        <v>350</v>
      </c>
      <c r="G241">
        <v>1</v>
      </c>
      <c r="H241">
        <v>1.8</v>
      </c>
    </row>
    <row r="242" spans="1:8" x14ac:dyDescent="0.25">
      <c r="A242" s="22" t="s">
        <v>271</v>
      </c>
      <c r="B242" s="18">
        <v>242</v>
      </c>
      <c r="C242" t="s">
        <v>271</v>
      </c>
      <c r="D242">
        <v>59.374000000000002</v>
      </c>
      <c r="E242">
        <v>17.023</v>
      </c>
      <c r="F242" t="s">
        <v>364</v>
      </c>
      <c r="G242">
        <v>3</v>
      </c>
      <c r="H242">
        <v>1</v>
      </c>
    </row>
    <row r="243" spans="1:8" x14ac:dyDescent="0.25">
      <c r="A243" s="22" t="s">
        <v>272</v>
      </c>
      <c r="B243" s="18">
        <v>243</v>
      </c>
      <c r="C243" t="s">
        <v>272</v>
      </c>
      <c r="D243">
        <v>58.94</v>
      </c>
      <c r="E243">
        <v>11.185</v>
      </c>
      <c r="F243" t="s">
        <v>342</v>
      </c>
      <c r="G243">
        <v>3</v>
      </c>
      <c r="H243">
        <v>0.9</v>
      </c>
    </row>
    <row r="244" spans="1:8" x14ac:dyDescent="0.25">
      <c r="A244" s="22" t="s">
        <v>273</v>
      </c>
      <c r="B244" s="18">
        <v>244</v>
      </c>
      <c r="C244" t="s">
        <v>273</v>
      </c>
      <c r="D244">
        <v>63.853000000000002</v>
      </c>
      <c r="E244">
        <v>15.565</v>
      </c>
      <c r="F244" t="s">
        <v>357</v>
      </c>
      <c r="G244">
        <v>1</v>
      </c>
      <c r="H244">
        <v>1.5</v>
      </c>
    </row>
    <row r="245" spans="1:8" x14ac:dyDescent="0.25">
      <c r="A245" s="22" t="s">
        <v>274</v>
      </c>
      <c r="B245" s="18">
        <v>245</v>
      </c>
      <c r="C245" t="s">
        <v>274</v>
      </c>
      <c r="D245">
        <v>59.377000000000002</v>
      </c>
      <c r="E245">
        <v>17.960999999999999</v>
      </c>
      <c r="F245" t="s">
        <v>341</v>
      </c>
      <c r="G245">
        <v>3</v>
      </c>
      <c r="H245">
        <v>1</v>
      </c>
    </row>
    <row r="246" spans="1:8" x14ac:dyDescent="0.25">
      <c r="A246" s="22" t="s">
        <v>275</v>
      </c>
      <c r="B246" s="18">
        <v>246</v>
      </c>
      <c r="C246" t="s">
        <v>275</v>
      </c>
      <c r="D246">
        <v>62.387999999999998</v>
      </c>
      <c r="E246">
        <v>17.311</v>
      </c>
      <c r="F246" t="s">
        <v>379</v>
      </c>
      <c r="G246">
        <v>2</v>
      </c>
      <c r="H246">
        <v>1.3</v>
      </c>
    </row>
    <row r="247" spans="1:8" x14ac:dyDescent="0.25">
      <c r="A247" s="22" t="s">
        <v>276</v>
      </c>
      <c r="B247" s="18">
        <v>247</v>
      </c>
      <c r="C247" t="s">
        <v>276</v>
      </c>
      <c r="D247">
        <v>59.838999999999999</v>
      </c>
      <c r="E247">
        <v>13.147</v>
      </c>
      <c r="F247" t="s">
        <v>347</v>
      </c>
      <c r="G247">
        <v>2</v>
      </c>
      <c r="H247">
        <v>1.1000000000000001</v>
      </c>
    </row>
    <row r="248" spans="1:8" x14ac:dyDescent="0.25">
      <c r="A248" s="22" t="s">
        <v>277</v>
      </c>
      <c r="B248" s="18">
        <v>248</v>
      </c>
      <c r="C248" t="s">
        <v>277</v>
      </c>
      <c r="D248">
        <v>59.707000000000001</v>
      </c>
      <c r="E248">
        <v>16.222000000000001</v>
      </c>
      <c r="F248" t="s">
        <v>346</v>
      </c>
      <c r="G248">
        <v>3</v>
      </c>
      <c r="H248">
        <v>1</v>
      </c>
    </row>
    <row r="249" spans="1:8" x14ac:dyDescent="0.25">
      <c r="A249" s="22" t="s">
        <v>278</v>
      </c>
      <c r="B249" s="18">
        <v>249</v>
      </c>
      <c r="C249" t="s">
        <v>278</v>
      </c>
      <c r="D249">
        <v>55.911000000000001</v>
      </c>
      <c r="E249">
        <v>13.109</v>
      </c>
      <c r="F249" t="s">
        <v>351</v>
      </c>
      <c r="G249">
        <v>4</v>
      </c>
      <c r="H249">
        <v>0.9</v>
      </c>
    </row>
    <row r="250" spans="1:8" x14ac:dyDescent="0.25">
      <c r="A250" s="22" t="s">
        <v>279</v>
      </c>
      <c r="B250" s="18">
        <v>250</v>
      </c>
      <c r="C250" t="s">
        <v>279</v>
      </c>
      <c r="D250">
        <v>55.511000000000003</v>
      </c>
      <c r="E250">
        <v>13.243</v>
      </c>
      <c r="F250" t="s">
        <v>351</v>
      </c>
      <c r="G250">
        <v>4</v>
      </c>
      <c r="H250">
        <v>0.9</v>
      </c>
    </row>
    <row r="251" spans="1:8" x14ac:dyDescent="0.25">
      <c r="A251" s="22" t="s">
        <v>280</v>
      </c>
      <c r="B251" s="18">
        <v>251</v>
      </c>
      <c r="C251" s="17"/>
      <c r="D251" s="17"/>
      <c r="E251" s="17"/>
      <c r="F251" s="17"/>
      <c r="G251" s="17"/>
      <c r="H251" s="20">
        <v>1.5</v>
      </c>
    </row>
    <row r="252" spans="1:8" x14ac:dyDescent="0.25">
      <c r="A252" s="22" t="s">
        <v>281</v>
      </c>
      <c r="B252" s="18">
        <v>252</v>
      </c>
      <c r="C252" t="s">
        <v>281</v>
      </c>
      <c r="D252">
        <v>57.5</v>
      </c>
      <c r="E252">
        <v>13.117000000000001</v>
      </c>
      <c r="F252" t="s">
        <v>342</v>
      </c>
      <c r="G252">
        <v>3</v>
      </c>
      <c r="H252">
        <v>1</v>
      </c>
    </row>
    <row r="253" spans="1:8" x14ac:dyDescent="0.25">
      <c r="A253" s="22" t="s">
        <v>282</v>
      </c>
      <c r="B253" s="18">
        <v>253</v>
      </c>
      <c r="C253" s="17"/>
      <c r="D253" s="17"/>
      <c r="E253" s="17"/>
      <c r="F253" s="17"/>
      <c r="G253" s="17"/>
      <c r="H253" s="20">
        <v>1.5</v>
      </c>
    </row>
    <row r="254" spans="1:8" x14ac:dyDescent="0.25">
      <c r="A254" s="22" t="s">
        <v>283</v>
      </c>
      <c r="B254" s="18">
        <v>254</v>
      </c>
      <c r="C254" t="s">
        <v>283</v>
      </c>
      <c r="D254">
        <v>59.447000000000003</v>
      </c>
      <c r="E254">
        <v>18.087</v>
      </c>
      <c r="F254" t="s">
        <v>341</v>
      </c>
      <c r="G254">
        <v>3</v>
      </c>
      <c r="H254">
        <v>1</v>
      </c>
    </row>
    <row r="255" spans="1:8" x14ac:dyDescent="0.25">
      <c r="A255" s="24" t="s">
        <v>419</v>
      </c>
      <c r="B255" s="18">
        <v>255</v>
      </c>
      <c r="C255" s="17"/>
      <c r="D255" s="17"/>
      <c r="E255" s="17"/>
      <c r="F255" s="17"/>
      <c r="G255" s="17"/>
      <c r="H255" s="20">
        <v>1.5</v>
      </c>
    </row>
    <row r="256" spans="1:8" x14ac:dyDescent="0.25">
      <c r="A256" s="22" t="s">
        <v>285</v>
      </c>
      <c r="B256" s="18">
        <v>256</v>
      </c>
      <c r="C256" t="s">
        <v>285</v>
      </c>
      <c r="D256">
        <v>58.732999999999997</v>
      </c>
      <c r="E256">
        <v>11.333</v>
      </c>
      <c r="F256" t="s">
        <v>342</v>
      </c>
      <c r="G256">
        <v>3</v>
      </c>
      <c r="H256">
        <v>0.9</v>
      </c>
    </row>
    <row r="257" spans="1:8" x14ac:dyDescent="0.25">
      <c r="A257" s="22" t="s">
        <v>286</v>
      </c>
      <c r="B257" s="18">
        <v>257</v>
      </c>
      <c r="C257" t="s">
        <v>286</v>
      </c>
      <c r="D257">
        <v>60.16</v>
      </c>
      <c r="E257">
        <v>16.920000000000002</v>
      </c>
      <c r="F257" t="s">
        <v>361</v>
      </c>
      <c r="G257">
        <v>3</v>
      </c>
      <c r="H257">
        <v>1</v>
      </c>
    </row>
    <row r="258" spans="1:8" x14ac:dyDescent="0.25">
      <c r="A258" s="22" t="s">
        <v>287</v>
      </c>
      <c r="B258" s="18">
        <v>258</v>
      </c>
      <c r="C258" t="s">
        <v>287</v>
      </c>
      <c r="D258">
        <v>58.417000000000002</v>
      </c>
      <c r="E258">
        <v>14.167</v>
      </c>
      <c r="F258" t="s">
        <v>342</v>
      </c>
      <c r="G258">
        <v>3</v>
      </c>
      <c r="H258">
        <v>1</v>
      </c>
    </row>
    <row r="259" spans="1:8" x14ac:dyDescent="0.25">
      <c r="A259" s="22" t="s">
        <v>288</v>
      </c>
      <c r="B259" s="18">
        <v>259</v>
      </c>
      <c r="C259" t="s">
        <v>288</v>
      </c>
      <c r="D259">
        <v>58.183</v>
      </c>
      <c r="E259">
        <v>13.95</v>
      </c>
      <c r="F259" t="s">
        <v>342</v>
      </c>
      <c r="G259">
        <v>3</v>
      </c>
      <c r="H259">
        <v>1</v>
      </c>
    </row>
    <row r="260" spans="1:8" x14ac:dyDescent="0.25">
      <c r="A260" s="22" t="s">
        <v>289</v>
      </c>
      <c r="B260" s="18">
        <v>260</v>
      </c>
      <c r="C260" t="s">
        <v>289</v>
      </c>
      <c r="D260">
        <v>60.348999999999997</v>
      </c>
      <c r="E260">
        <v>17.521000000000001</v>
      </c>
      <c r="F260" t="s">
        <v>361</v>
      </c>
      <c r="G260">
        <v>3</v>
      </c>
      <c r="H260">
        <v>1.1000000000000001</v>
      </c>
    </row>
    <row r="261" spans="1:8" x14ac:dyDescent="0.25">
      <c r="A261" s="22" t="s">
        <v>290</v>
      </c>
      <c r="B261" s="18">
        <v>261</v>
      </c>
      <c r="C261" t="s">
        <v>290</v>
      </c>
      <c r="D261">
        <v>62.5</v>
      </c>
      <c r="E261">
        <v>17.332999999999998</v>
      </c>
      <c r="F261" t="s">
        <v>379</v>
      </c>
      <c r="G261">
        <v>2</v>
      </c>
      <c r="H261">
        <v>1.3</v>
      </c>
    </row>
    <row r="262" spans="1:8" x14ac:dyDescent="0.25">
      <c r="A262" s="22" t="s">
        <v>291</v>
      </c>
      <c r="B262" s="18">
        <v>262</v>
      </c>
      <c r="C262" t="s">
        <v>291</v>
      </c>
      <c r="D262">
        <v>56.527999999999999</v>
      </c>
      <c r="E262">
        <v>14.97</v>
      </c>
      <c r="F262" t="s">
        <v>343</v>
      </c>
      <c r="G262">
        <v>3</v>
      </c>
      <c r="H262">
        <v>1</v>
      </c>
    </row>
    <row r="263" spans="1:8" x14ac:dyDescent="0.25">
      <c r="A263" s="22" t="s">
        <v>292</v>
      </c>
      <c r="B263" s="18">
        <v>263</v>
      </c>
      <c r="C263" t="s">
        <v>292</v>
      </c>
      <c r="D263" t="s">
        <v>416</v>
      </c>
      <c r="E263">
        <v>11.55</v>
      </c>
      <c r="F263" t="s">
        <v>342</v>
      </c>
      <c r="G263">
        <v>3</v>
      </c>
      <c r="H263">
        <v>0.9</v>
      </c>
    </row>
    <row r="264" spans="1:8" x14ac:dyDescent="0.25">
      <c r="A264" s="22" t="s">
        <v>293</v>
      </c>
      <c r="B264" s="18">
        <v>264</v>
      </c>
      <c r="C264" t="s">
        <v>293</v>
      </c>
      <c r="D264">
        <v>55.55</v>
      </c>
      <c r="E264">
        <v>13.944000000000001</v>
      </c>
      <c r="F264" t="s">
        <v>351</v>
      </c>
      <c r="G264">
        <v>4</v>
      </c>
      <c r="H264">
        <v>0.9</v>
      </c>
    </row>
    <row r="265" spans="1:8" x14ac:dyDescent="0.25">
      <c r="A265" s="22" t="s">
        <v>294</v>
      </c>
      <c r="B265" s="18">
        <v>265</v>
      </c>
      <c r="C265" t="s">
        <v>294</v>
      </c>
      <c r="D265">
        <v>58.716999999999999</v>
      </c>
      <c r="E265">
        <v>14.132999999999999</v>
      </c>
      <c r="F265" t="s">
        <v>342</v>
      </c>
      <c r="G265">
        <v>3</v>
      </c>
      <c r="H265">
        <v>1</v>
      </c>
    </row>
    <row r="266" spans="1:8" x14ac:dyDescent="0.25">
      <c r="A266" s="22" t="s">
        <v>295</v>
      </c>
      <c r="B266" s="18">
        <v>266</v>
      </c>
      <c r="C266" t="s">
        <v>295</v>
      </c>
      <c r="D266">
        <v>56.411000000000001</v>
      </c>
      <c r="E266">
        <v>16.003</v>
      </c>
      <c r="F266" t="s">
        <v>354</v>
      </c>
      <c r="G266">
        <v>4</v>
      </c>
      <c r="H266">
        <v>0.9</v>
      </c>
    </row>
    <row r="267" spans="1:8" x14ac:dyDescent="0.25">
      <c r="A267" s="22" t="s">
        <v>296</v>
      </c>
      <c r="B267" s="18">
        <v>267</v>
      </c>
      <c r="C267" t="s">
        <v>296</v>
      </c>
      <c r="D267">
        <v>60.133000000000003</v>
      </c>
      <c r="E267">
        <v>13.007</v>
      </c>
      <c r="F267" t="s">
        <v>347</v>
      </c>
      <c r="G267">
        <v>2</v>
      </c>
      <c r="H267">
        <v>1.2</v>
      </c>
    </row>
    <row r="268" spans="1:8" x14ac:dyDescent="0.25">
      <c r="A268" s="22" t="s">
        <v>297</v>
      </c>
      <c r="B268" s="18">
        <v>268</v>
      </c>
      <c r="C268" t="s">
        <v>297</v>
      </c>
      <c r="D268">
        <v>58.033999999999999</v>
      </c>
      <c r="E268">
        <v>14.978999999999999</v>
      </c>
      <c r="F268" t="s">
        <v>345</v>
      </c>
      <c r="G268">
        <v>3</v>
      </c>
      <c r="H268">
        <v>1</v>
      </c>
    </row>
    <row r="269" spans="1:8" x14ac:dyDescent="0.25">
      <c r="A269" s="22" t="s">
        <v>298</v>
      </c>
      <c r="B269" s="18">
        <v>269</v>
      </c>
      <c r="C269" t="s">
        <v>298</v>
      </c>
      <c r="D269">
        <v>57.482999999999997</v>
      </c>
      <c r="E269">
        <v>13.35</v>
      </c>
      <c r="F269" t="s">
        <v>342</v>
      </c>
      <c r="G269">
        <v>3</v>
      </c>
      <c r="H269">
        <v>1.1000000000000001</v>
      </c>
    </row>
    <row r="270" spans="1:8" x14ac:dyDescent="0.25">
      <c r="A270" s="22" t="s">
        <v>299</v>
      </c>
      <c r="B270" s="18">
        <v>270</v>
      </c>
      <c r="C270" t="s">
        <v>299</v>
      </c>
      <c r="D270">
        <v>55.375999999999998</v>
      </c>
      <c r="E270">
        <v>13.169</v>
      </c>
      <c r="F270" t="s">
        <v>351</v>
      </c>
      <c r="G270">
        <v>4</v>
      </c>
      <c r="H270">
        <v>0.9</v>
      </c>
    </row>
    <row r="271" spans="1:8" x14ac:dyDescent="0.25">
      <c r="A271" s="22" t="s">
        <v>300</v>
      </c>
      <c r="B271" s="18">
        <v>271</v>
      </c>
      <c r="C271" t="s">
        <v>300</v>
      </c>
      <c r="D271">
        <v>58.280999999999999</v>
      </c>
      <c r="E271">
        <v>12.297000000000001</v>
      </c>
      <c r="F271" t="s">
        <v>342</v>
      </c>
      <c r="G271">
        <v>3</v>
      </c>
      <c r="H271">
        <v>1</v>
      </c>
    </row>
    <row r="272" spans="1:8" x14ac:dyDescent="0.25">
      <c r="A272" s="22" t="s">
        <v>301</v>
      </c>
      <c r="B272" s="18">
        <v>272</v>
      </c>
      <c r="C272" t="s">
        <v>301</v>
      </c>
      <c r="D272">
        <v>58.9</v>
      </c>
      <c r="E272">
        <v>17.555</v>
      </c>
      <c r="F272" t="s">
        <v>364</v>
      </c>
      <c r="G272">
        <v>3</v>
      </c>
      <c r="H272">
        <v>1</v>
      </c>
    </row>
    <row r="273" spans="1:8" x14ac:dyDescent="0.25">
      <c r="A273" s="22" t="s">
        <v>302</v>
      </c>
      <c r="B273" s="18">
        <v>273</v>
      </c>
      <c r="C273" t="s">
        <v>302</v>
      </c>
      <c r="D273">
        <v>59.249000000000002</v>
      </c>
      <c r="E273">
        <v>18.277000000000001</v>
      </c>
      <c r="F273" t="s">
        <v>341</v>
      </c>
      <c r="G273">
        <v>3</v>
      </c>
      <c r="H273">
        <v>1</v>
      </c>
    </row>
    <row r="274" spans="1:8" x14ac:dyDescent="0.25">
      <c r="A274" s="22" t="s">
        <v>303</v>
      </c>
      <c r="B274" s="18">
        <v>274</v>
      </c>
      <c r="C274" t="s">
        <v>303</v>
      </c>
      <c r="D274">
        <v>58.347000000000001</v>
      </c>
      <c r="E274">
        <v>11.798999999999999</v>
      </c>
      <c r="F274" t="s">
        <v>342</v>
      </c>
      <c r="G274">
        <v>3</v>
      </c>
      <c r="H274">
        <v>0.9</v>
      </c>
    </row>
    <row r="275" spans="1:8" x14ac:dyDescent="0.25">
      <c r="A275" s="22" t="s">
        <v>304</v>
      </c>
      <c r="B275" s="18">
        <v>275</v>
      </c>
      <c r="C275" s="17"/>
      <c r="D275" s="17"/>
      <c r="E275" s="17"/>
      <c r="F275" s="17"/>
      <c r="G275" s="17"/>
      <c r="H275" s="20">
        <v>0.9</v>
      </c>
    </row>
    <row r="276" spans="1:8" x14ac:dyDescent="0.25">
      <c r="A276" s="22" t="s">
        <v>305</v>
      </c>
      <c r="B276" s="18">
        <v>276</v>
      </c>
      <c r="C276" t="s">
        <v>305</v>
      </c>
      <c r="D276">
        <v>57.795999999999999</v>
      </c>
      <c r="E276">
        <v>13.413</v>
      </c>
      <c r="F276" t="s">
        <v>342</v>
      </c>
      <c r="G276">
        <v>3</v>
      </c>
      <c r="H276">
        <v>1.1000000000000001</v>
      </c>
    </row>
    <row r="277" spans="1:8" x14ac:dyDescent="0.25">
      <c r="A277" s="22" t="s">
        <v>306</v>
      </c>
      <c r="B277" s="18">
        <v>277</v>
      </c>
      <c r="C277" t="s">
        <v>306</v>
      </c>
      <c r="D277">
        <v>63.826000000000001</v>
      </c>
      <c r="E277">
        <v>20.260999999999999</v>
      </c>
      <c r="F277" t="s">
        <v>350</v>
      </c>
      <c r="G277">
        <v>1</v>
      </c>
      <c r="H277">
        <v>1.3</v>
      </c>
    </row>
    <row r="278" spans="1:8" x14ac:dyDescent="0.25">
      <c r="A278" s="22" t="s">
        <v>307</v>
      </c>
      <c r="B278" s="18">
        <v>278</v>
      </c>
      <c r="C278" t="s">
        <v>307</v>
      </c>
      <c r="D278">
        <v>59.518999999999998</v>
      </c>
      <c r="E278">
        <v>17.64</v>
      </c>
      <c r="F278" t="s">
        <v>341</v>
      </c>
      <c r="G278">
        <v>3</v>
      </c>
      <c r="H278">
        <v>1</v>
      </c>
    </row>
    <row r="279" spans="1:8" x14ac:dyDescent="0.25">
      <c r="A279" s="22" t="s">
        <v>308</v>
      </c>
      <c r="B279" s="18">
        <v>279</v>
      </c>
      <c r="C279" t="s">
        <v>308</v>
      </c>
      <c r="D279">
        <v>59.517000000000003</v>
      </c>
      <c r="E279">
        <v>17.917000000000002</v>
      </c>
      <c r="F279" t="s">
        <v>341</v>
      </c>
      <c r="G279">
        <v>3</v>
      </c>
      <c r="H279">
        <v>1</v>
      </c>
    </row>
    <row r="280" spans="1:8" x14ac:dyDescent="0.25">
      <c r="A280" s="22" t="s">
        <v>309</v>
      </c>
      <c r="B280" s="18">
        <v>280</v>
      </c>
      <c r="C280" t="s">
        <v>309</v>
      </c>
      <c r="D280">
        <v>59.84</v>
      </c>
      <c r="E280">
        <v>17.640999999999998</v>
      </c>
      <c r="F280" t="s">
        <v>361</v>
      </c>
      <c r="G280">
        <v>3</v>
      </c>
      <c r="H280">
        <v>1</v>
      </c>
    </row>
    <row r="281" spans="1:8" x14ac:dyDescent="0.25">
      <c r="A281" s="22" t="s">
        <v>310</v>
      </c>
      <c r="B281" s="18">
        <v>281</v>
      </c>
      <c r="C281" t="s">
        <v>310</v>
      </c>
      <c r="D281">
        <v>58.445999999999998</v>
      </c>
      <c r="E281">
        <v>14.901</v>
      </c>
      <c r="F281" t="s">
        <v>368</v>
      </c>
      <c r="G281">
        <v>3</v>
      </c>
      <c r="H281">
        <v>1</v>
      </c>
    </row>
    <row r="282" spans="1:8" x14ac:dyDescent="0.25">
      <c r="A282" s="22" t="s">
        <v>311</v>
      </c>
      <c r="B282" s="18">
        <v>282</v>
      </c>
      <c r="C282" t="s">
        <v>311</v>
      </c>
      <c r="D282">
        <v>57.496000000000002</v>
      </c>
      <c r="E282">
        <v>14.141999999999999</v>
      </c>
      <c r="F282" t="s">
        <v>345</v>
      </c>
      <c r="G282">
        <v>3</v>
      </c>
      <c r="H282">
        <v>1</v>
      </c>
    </row>
    <row r="283" spans="1:8" x14ac:dyDescent="0.25">
      <c r="A283" s="22" t="s">
        <v>312</v>
      </c>
      <c r="B283" s="18">
        <v>283</v>
      </c>
      <c r="C283" t="s">
        <v>312</v>
      </c>
      <c r="D283">
        <v>58.204999999999998</v>
      </c>
      <c r="E283">
        <v>16.600999999999999</v>
      </c>
      <c r="F283" t="s">
        <v>368</v>
      </c>
      <c r="G283">
        <v>3</v>
      </c>
      <c r="H283">
        <v>1</v>
      </c>
    </row>
    <row r="284" spans="1:8" x14ac:dyDescent="0.25">
      <c r="A284" s="22" t="s">
        <v>313</v>
      </c>
      <c r="B284" s="18">
        <v>284</v>
      </c>
      <c r="C284" t="s">
        <v>313</v>
      </c>
      <c r="D284">
        <v>59.588000000000001</v>
      </c>
      <c r="E284">
        <v>18.198</v>
      </c>
      <c r="F284" t="s">
        <v>341</v>
      </c>
      <c r="G284">
        <v>3</v>
      </c>
      <c r="H284">
        <v>1</v>
      </c>
    </row>
    <row r="285" spans="1:8" x14ac:dyDescent="0.25">
      <c r="A285" s="22" t="s">
        <v>314</v>
      </c>
      <c r="B285" s="18">
        <v>285</v>
      </c>
      <c r="C285" t="s">
        <v>314</v>
      </c>
      <c r="D285">
        <v>58.366999999999997</v>
      </c>
      <c r="E285">
        <v>12.323</v>
      </c>
      <c r="F285" t="s">
        <v>342</v>
      </c>
      <c r="G285">
        <v>3</v>
      </c>
      <c r="H285">
        <v>1</v>
      </c>
    </row>
    <row r="286" spans="1:8" x14ac:dyDescent="0.25">
      <c r="A286" s="22" t="s">
        <v>423</v>
      </c>
      <c r="B286" s="18">
        <v>286</v>
      </c>
      <c r="C286" t="s">
        <v>423</v>
      </c>
      <c r="D286">
        <v>63.905000000000001</v>
      </c>
      <c r="E286">
        <v>19.745999999999999</v>
      </c>
      <c r="F286" t="s">
        <v>350</v>
      </c>
      <c r="G286">
        <v>1</v>
      </c>
      <c r="H286">
        <v>1.4</v>
      </c>
    </row>
    <row r="287" spans="1:8" x14ac:dyDescent="0.25">
      <c r="A287" s="22" t="s">
        <v>316</v>
      </c>
      <c r="B287" s="18">
        <v>287</v>
      </c>
      <c r="C287" t="s">
        <v>316</v>
      </c>
      <c r="D287">
        <v>60.509</v>
      </c>
      <c r="E287">
        <v>14.224</v>
      </c>
      <c r="F287" t="s">
        <v>349</v>
      </c>
      <c r="G287">
        <v>2</v>
      </c>
      <c r="H287">
        <v>1.2</v>
      </c>
    </row>
    <row r="288" spans="1:8" x14ac:dyDescent="0.25">
      <c r="A288" s="22" t="s">
        <v>317</v>
      </c>
      <c r="B288" s="18">
        <v>288</v>
      </c>
      <c r="C288" t="s">
        <v>317</v>
      </c>
      <c r="D288">
        <v>58.322000000000003</v>
      </c>
      <c r="E288">
        <v>13.041</v>
      </c>
      <c r="F288" t="s">
        <v>342</v>
      </c>
      <c r="G288">
        <v>3</v>
      </c>
      <c r="H288">
        <v>1</v>
      </c>
    </row>
    <row r="289" spans="1:8" x14ac:dyDescent="0.25">
      <c r="A289" s="22" t="s">
        <v>318</v>
      </c>
      <c r="B289" s="18">
        <v>289</v>
      </c>
      <c r="C289" s="17"/>
      <c r="D289" s="17"/>
      <c r="E289" s="17"/>
      <c r="F289" s="17"/>
      <c r="G289" s="17"/>
      <c r="H289" s="20">
        <v>0.9</v>
      </c>
    </row>
    <row r="290" spans="1:8" x14ac:dyDescent="0.25">
      <c r="A290" s="22" t="s">
        <v>319</v>
      </c>
      <c r="B290" s="18">
        <v>290</v>
      </c>
      <c r="C290" t="s">
        <v>319</v>
      </c>
      <c r="D290">
        <v>58.033000000000001</v>
      </c>
      <c r="E290">
        <v>12.8</v>
      </c>
      <c r="F290" t="s">
        <v>342</v>
      </c>
      <c r="G290">
        <v>3</v>
      </c>
      <c r="H290">
        <v>1</v>
      </c>
    </row>
    <row r="291" spans="1:8" x14ac:dyDescent="0.25">
      <c r="A291" s="22" t="s">
        <v>320</v>
      </c>
      <c r="B291" s="18">
        <v>291</v>
      </c>
      <c r="C291" t="s">
        <v>320</v>
      </c>
      <c r="D291">
        <v>59.326999999999998</v>
      </c>
      <c r="E291">
        <v>18.39</v>
      </c>
      <c r="F291" t="s">
        <v>341</v>
      </c>
      <c r="G291">
        <v>3</v>
      </c>
      <c r="H291">
        <v>1</v>
      </c>
    </row>
    <row r="292" spans="1:8" x14ac:dyDescent="0.25">
      <c r="A292" s="22" t="s">
        <v>321</v>
      </c>
      <c r="B292" s="18">
        <v>292</v>
      </c>
      <c r="C292" t="s">
        <v>321</v>
      </c>
      <c r="D292">
        <v>57.186999999999998</v>
      </c>
      <c r="E292">
        <v>14.045999999999999</v>
      </c>
      <c r="F292" t="s">
        <v>345</v>
      </c>
      <c r="G292">
        <v>3</v>
      </c>
      <c r="H292">
        <v>1</v>
      </c>
    </row>
    <row r="293" spans="1:8" x14ac:dyDescent="0.25">
      <c r="A293" s="22" t="s">
        <v>322</v>
      </c>
      <c r="B293" s="18">
        <v>293</v>
      </c>
      <c r="C293" t="s">
        <v>322</v>
      </c>
      <c r="D293">
        <v>59.61</v>
      </c>
      <c r="E293">
        <v>16.542999999999999</v>
      </c>
      <c r="F293" t="s">
        <v>346</v>
      </c>
      <c r="G293">
        <v>3</v>
      </c>
      <c r="H293">
        <v>1</v>
      </c>
    </row>
    <row r="294" spans="1:8" x14ac:dyDescent="0.25">
      <c r="A294" s="22" t="s">
        <v>323</v>
      </c>
      <c r="B294" s="18">
        <v>294</v>
      </c>
      <c r="C294" t="s">
        <v>323</v>
      </c>
      <c r="D294">
        <v>57.755000000000003</v>
      </c>
      <c r="E294">
        <v>16.641999999999999</v>
      </c>
      <c r="F294" t="s">
        <v>354</v>
      </c>
      <c r="G294">
        <v>4</v>
      </c>
      <c r="H294">
        <v>0.9</v>
      </c>
    </row>
    <row r="295" spans="1:8" x14ac:dyDescent="0.25">
      <c r="A295" s="22" t="s">
        <v>324</v>
      </c>
      <c r="B295" s="18">
        <v>295</v>
      </c>
      <c r="C295" t="s">
        <v>324</v>
      </c>
      <c r="D295">
        <v>56.883000000000003</v>
      </c>
      <c r="E295">
        <v>14.787000000000001</v>
      </c>
      <c r="F295" t="s">
        <v>343</v>
      </c>
      <c r="G295">
        <v>3</v>
      </c>
      <c r="H295">
        <v>1</v>
      </c>
    </row>
    <row r="296" spans="1:8" x14ac:dyDescent="0.25">
      <c r="A296" s="22" t="s">
        <v>325</v>
      </c>
      <c r="B296" s="18">
        <v>296</v>
      </c>
      <c r="C296" t="s">
        <v>325</v>
      </c>
      <c r="D296">
        <v>57.418999999999997</v>
      </c>
      <c r="E296">
        <v>15.086</v>
      </c>
      <c r="F296" t="s">
        <v>345</v>
      </c>
      <c r="G296">
        <v>3</v>
      </c>
      <c r="H296">
        <v>1</v>
      </c>
    </row>
    <row r="297" spans="1:8" x14ac:dyDescent="0.25">
      <c r="A297" s="22" t="s">
        <v>326</v>
      </c>
      <c r="B297" s="18">
        <v>297</v>
      </c>
      <c r="C297" t="s">
        <v>326</v>
      </c>
      <c r="D297">
        <v>64.626000000000005</v>
      </c>
      <c r="E297">
        <v>16.655999999999999</v>
      </c>
      <c r="F297" t="s">
        <v>350</v>
      </c>
      <c r="G297">
        <v>1</v>
      </c>
      <c r="H297">
        <v>1.6</v>
      </c>
    </row>
    <row r="298" spans="1:8" x14ac:dyDescent="0.25">
      <c r="A298" s="22" t="s">
        <v>327</v>
      </c>
      <c r="B298" s="18">
        <v>298</v>
      </c>
      <c r="C298" t="s">
        <v>327</v>
      </c>
      <c r="D298">
        <v>57.667999999999999</v>
      </c>
      <c r="E298">
        <v>15.859</v>
      </c>
      <c r="F298" t="s">
        <v>354</v>
      </c>
      <c r="G298">
        <v>4</v>
      </c>
      <c r="H298">
        <v>1</v>
      </c>
    </row>
    <row r="299" spans="1:8" x14ac:dyDescent="0.25">
      <c r="A299" s="22" t="s">
        <v>328</v>
      </c>
      <c r="B299" s="18">
        <v>299</v>
      </c>
      <c r="C299" t="s">
        <v>328</v>
      </c>
      <c r="D299">
        <v>64.2</v>
      </c>
      <c r="E299">
        <v>19.722000000000001</v>
      </c>
      <c r="F299" t="s">
        <v>350</v>
      </c>
      <c r="G299">
        <v>1</v>
      </c>
      <c r="H299">
        <v>1.5</v>
      </c>
    </row>
    <row r="300" spans="1:8" x14ac:dyDescent="0.25">
      <c r="A300" s="22" t="s">
        <v>329</v>
      </c>
      <c r="B300" s="18">
        <v>300</v>
      </c>
      <c r="C300" t="s">
        <v>329</v>
      </c>
      <c r="D300">
        <v>59.048999999999999</v>
      </c>
      <c r="E300">
        <v>15.875</v>
      </c>
      <c r="F300" t="s">
        <v>364</v>
      </c>
      <c r="G300">
        <v>3</v>
      </c>
      <c r="H300">
        <v>1</v>
      </c>
    </row>
    <row r="301" spans="1:8" x14ac:dyDescent="0.25">
      <c r="A301" s="22" t="s">
        <v>330</v>
      </c>
      <c r="B301" s="18">
        <v>301</v>
      </c>
      <c r="C301" t="s">
        <v>330</v>
      </c>
      <c r="D301">
        <v>57.627000000000002</v>
      </c>
      <c r="E301">
        <v>18.306000000000001</v>
      </c>
      <c r="F301" t="s">
        <v>375</v>
      </c>
      <c r="G301">
        <v>3</v>
      </c>
      <c r="H301">
        <v>0.9</v>
      </c>
    </row>
    <row r="302" spans="1:8" x14ac:dyDescent="0.25">
      <c r="A302" s="22" t="s">
        <v>331</v>
      </c>
      <c r="B302" s="18">
        <v>302</v>
      </c>
      <c r="C302" t="s">
        <v>331</v>
      </c>
      <c r="D302">
        <v>57.826999999999998</v>
      </c>
      <c r="E302">
        <v>15.273999999999999</v>
      </c>
      <c r="F302" t="s">
        <v>368</v>
      </c>
      <c r="G302">
        <v>3</v>
      </c>
      <c r="H302">
        <v>1</v>
      </c>
    </row>
    <row r="303" spans="1:8" x14ac:dyDescent="0.25">
      <c r="A303" s="22" t="s">
        <v>332</v>
      </c>
      <c r="B303" s="18">
        <v>303</v>
      </c>
      <c r="C303" t="s">
        <v>332</v>
      </c>
      <c r="D303">
        <v>55.432000000000002</v>
      </c>
      <c r="E303">
        <v>13.824</v>
      </c>
      <c r="F303" t="s">
        <v>351</v>
      </c>
      <c r="G303">
        <v>4</v>
      </c>
      <c r="H303">
        <v>0.9</v>
      </c>
    </row>
    <row r="304" spans="1:8" x14ac:dyDescent="0.25">
      <c r="A304" s="17"/>
      <c r="B304" s="17"/>
    </row>
    <row r="312" spans="3:8" x14ac:dyDescent="0.25">
      <c r="C312" t="s">
        <v>38</v>
      </c>
      <c r="D312">
        <v>65.676000000000002</v>
      </c>
      <c r="E312">
        <v>21.010999999999999</v>
      </c>
      <c r="F312" t="s">
        <v>340</v>
      </c>
      <c r="G312">
        <v>1</v>
      </c>
      <c r="H312">
        <v>1.5</v>
      </c>
    </row>
    <row r="313" spans="3:8" x14ac:dyDescent="0.25">
      <c r="C313" t="s">
        <v>344</v>
      </c>
      <c r="D313">
        <v>57.838999999999999</v>
      </c>
      <c r="E313">
        <v>14.816000000000001</v>
      </c>
      <c r="F313" t="s">
        <v>345</v>
      </c>
      <c r="G313">
        <v>3</v>
      </c>
      <c r="H313">
        <v>1</v>
      </c>
    </row>
    <row r="314" spans="3:8" x14ac:dyDescent="0.25">
      <c r="C314" t="s">
        <v>427</v>
      </c>
      <c r="D314">
        <v>63.14</v>
      </c>
      <c r="E314">
        <v>14.33</v>
      </c>
      <c r="F314" t="s">
        <v>357</v>
      </c>
      <c r="G314">
        <v>1</v>
      </c>
      <c r="H314">
        <v>0.9</v>
      </c>
    </row>
    <row r="315" spans="3:8" x14ac:dyDescent="0.25">
      <c r="C315" t="s">
        <v>428</v>
      </c>
      <c r="D315">
        <v>56.134</v>
      </c>
      <c r="E315">
        <v>12.949</v>
      </c>
      <c r="F315" t="s">
        <v>351</v>
      </c>
      <c r="G315">
        <v>4</v>
      </c>
      <c r="H315">
        <v>0.9</v>
      </c>
    </row>
    <row r="316" spans="3:8" x14ac:dyDescent="0.25">
      <c r="C316" t="s">
        <v>353</v>
      </c>
      <c r="D316">
        <v>59.191600000000001</v>
      </c>
      <c r="E316">
        <v>18.144100000000002</v>
      </c>
      <c r="F316" t="s">
        <v>341</v>
      </c>
      <c r="G316">
        <v>3</v>
      </c>
      <c r="H316">
        <v>1</v>
      </c>
    </row>
    <row r="317" spans="3:8" x14ac:dyDescent="0.25">
      <c r="C317" t="s">
        <v>359</v>
      </c>
      <c r="D317">
        <v>58.55</v>
      </c>
      <c r="E317">
        <v>11.55</v>
      </c>
      <c r="F317" t="s">
        <v>342</v>
      </c>
      <c r="G317">
        <v>3</v>
      </c>
      <c r="H317">
        <v>1</v>
      </c>
    </row>
    <row r="318" spans="3:8" x14ac:dyDescent="0.25">
      <c r="C318" t="s">
        <v>371</v>
      </c>
      <c r="D318">
        <v>57.356999999999999</v>
      </c>
      <c r="E318">
        <v>13.734</v>
      </c>
      <c r="F318" t="s">
        <v>345</v>
      </c>
      <c r="G318">
        <v>3</v>
      </c>
      <c r="H318">
        <v>1</v>
      </c>
    </row>
    <row r="319" spans="3:8" x14ac:dyDescent="0.25">
      <c r="C319" t="s">
        <v>372</v>
      </c>
      <c r="D319">
        <v>59.35</v>
      </c>
      <c r="E319">
        <v>13.1</v>
      </c>
      <c r="F319" t="s">
        <v>347</v>
      </c>
      <c r="G319">
        <v>2</v>
      </c>
      <c r="H319">
        <v>1</v>
      </c>
    </row>
    <row r="320" spans="3:8" x14ac:dyDescent="0.25">
      <c r="C320" t="s">
        <v>374</v>
      </c>
      <c r="D320">
        <v>59.56</v>
      </c>
      <c r="E320">
        <v>16.53</v>
      </c>
      <c r="F320" t="s">
        <v>361</v>
      </c>
      <c r="G320">
        <v>3</v>
      </c>
      <c r="H320">
        <v>1</v>
      </c>
    </row>
    <row r="321" spans="3:8" x14ac:dyDescent="0.25">
      <c r="C321" t="s">
        <v>390</v>
      </c>
      <c r="D321">
        <v>56.145899999999997</v>
      </c>
      <c r="E321">
        <v>15.165800000000001</v>
      </c>
      <c r="F321" t="s">
        <v>386</v>
      </c>
      <c r="G321">
        <v>4</v>
      </c>
      <c r="H321">
        <v>0.9</v>
      </c>
    </row>
    <row r="322" spans="3:8" x14ac:dyDescent="0.25">
      <c r="C322" t="s">
        <v>387</v>
      </c>
      <c r="D322">
        <v>63.19</v>
      </c>
      <c r="E322">
        <v>14.3</v>
      </c>
      <c r="F322" t="s">
        <v>357</v>
      </c>
      <c r="G322">
        <v>1</v>
      </c>
      <c r="H322">
        <v>1.5</v>
      </c>
    </row>
    <row r="323" spans="3:8" x14ac:dyDescent="0.25">
      <c r="C323" t="s">
        <v>393</v>
      </c>
      <c r="D323">
        <v>58.302999999999997</v>
      </c>
      <c r="E323">
        <v>15.301</v>
      </c>
      <c r="F323" t="s">
        <v>368</v>
      </c>
      <c r="G323">
        <v>3</v>
      </c>
      <c r="H323">
        <v>1</v>
      </c>
    </row>
    <row r="324" spans="3:8" x14ac:dyDescent="0.25">
      <c r="C324" t="s">
        <v>394</v>
      </c>
      <c r="D324">
        <v>59.52</v>
      </c>
      <c r="E324">
        <v>14.59</v>
      </c>
      <c r="F324" t="s">
        <v>348</v>
      </c>
      <c r="G324">
        <v>3</v>
      </c>
      <c r="H324">
        <v>1</v>
      </c>
    </row>
    <row r="325" spans="3:8" x14ac:dyDescent="0.25">
      <c r="C325" t="s">
        <v>399</v>
      </c>
      <c r="D325">
        <v>58.25</v>
      </c>
      <c r="E325">
        <v>15.31</v>
      </c>
      <c r="F325" t="s">
        <v>368</v>
      </c>
      <c r="G325">
        <v>3</v>
      </c>
      <c r="H325">
        <v>1</v>
      </c>
    </row>
    <row r="326" spans="3:8" x14ac:dyDescent="0.25">
      <c r="C326" t="s">
        <v>401</v>
      </c>
      <c r="D326">
        <v>57.31</v>
      </c>
      <c r="E326">
        <v>12.41</v>
      </c>
      <c r="F326" t="s">
        <v>342</v>
      </c>
      <c r="G326">
        <v>3</v>
      </c>
      <c r="H326">
        <v>1</v>
      </c>
    </row>
    <row r="327" spans="3:8" x14ac:dyDescent="0.25">
      <c r="C327" t="s">
        <v>403</v>
      </c>
      <c r="D327">
        <v>56.11</v>
      </c>
      <c r="E327">
        <v>14.44</v>
      </c>
      <c r="F327" t="s">
        <v>386</v>
      </c>
      <c r="G327">
        <v>4</v>
      </c>
      <c r="H327">
        <v>0.9</v>
      </c>
    </row>
    <row r="328" spans="3:8" x14ac:dyDescent="0.25">
      <c r="C328" t="s">
        <v>402</v>
      </c>
      <c r="D328">
        <v>57.917000000000002</v>
      </c>
      <c r="E328">
        <v>13.879</v>
      </c>
      <c r="F328" t="s">
        <v>345</v>
      </c>
      <c r="G328">
        <v>3</v>
      </c>
      <c r="H328">
        <v>1</v>
      </c>
    </row>
    <row r="329" spans="3:8" x14ac:dyDescent="0.25">
      <c r="C329" t="s">
        <v>409</v>
      </c>
      <c r="D329">
        <v>56.137999999999998</v>
      </c>
      <c r="E329">
        <v>13.395</v>
      </c>
      <c r="F329" t="s">
        <v>351</v>
      </c>
      <c r="G329">
        <v>4</v>
      </c>
      <c r="H329">
        <v>0.9</v>
      </c>
    </row>
    <row r="330" spans="3:8" x14ac:dyDescent="0.25">
      <c r="C330" t="s">
        <v>412</v>
      </c>
      <c r="D330">
        <v>56.15</v>
      </c>
      <c r="E330">
        <v>15.37</v>
      </c>
      <c r="F330" t="s">
        <v>386</v>
      </c>
      <c r="G330">
        <v>4</v>
      </c>
      <c r="H330">
        <v>0.9</v>
      </c>
    </row>
    <row r="331" spans="3:8" x14ac:dyDescent="0.25">
      <c r="C331" t="s">
        <v>417</v>
      </c>
      <c r="D331">
        <v>59.25</v>
      </c>
      <c r="E331">
        <v>16.28</v>
      </c>
      <c r="F331" t="s">
        <v>364</v>
      </c>
      <c r="G331">
        <v>3</v>
      </c>
      <c r="H331">
        <v>1</v>
      </c>
    </row>
    <row r="332" spans="3:8" x14ac:dyDescent="0.25">
      <c r="C332" t="s">
        <v>418</v>
      </c>
      <c r="D332">
        <v>59.12</v>
      </c>
      <c r="E332">
        <v>17.489999999999998</v>
      </c>
      <c r="F332" t="s">
        <v>341</v>
      </c>
      <c r="G332">
        <v>3</v>
      </c>
      <c r="H332">
        <v>1</v>
      </c>
    </row>
  </sheetData>
  <sortState xmlns:xlrd2="http://schemas.microsoft.com/office/spreadsheetml/2017/richdata2" ref="A1:AQ332">
    <sortCondition ref="A1:A332" customList="A,a,B,b,C,c,D,d,E,e,F,f,G,g,H,h,I,i,J,j,K,k,L,l,M,m,N,n,O,o,P,p,Q,q,R,r,S,s,T,t,U,u,V,v,W,w,X,x,Y,y,Z,z,Å,å,Ä,ä,Ö,ö"/>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48E58-8FDC-462F-BCA4-5753971A6AD9}">
  <sheetPr codeName="Sheet7"/>
  <dimension ref="A1:S77"/>
  <sheetViews>
    <sheetView workbookViewId="0">
      <selection activeCell="F2" sqref="F2"/>
    </sheetView>
  </sheetViews>
  <sheetFormatPr defaultRowHeight="15" x14ac:dyDescent="0.25"/>
  <cols>
    <col min="4" max="4" width="20.85546875" customWidth="1"/>
    <col min="8" max="8" width="18.140625" customWidth="1"/>
    <col min="10" max="10" width="14.42578125" customWidth="1"/>
    <col min="12" max="12" width="9.140625" style="8"/>
    <col min="13" max="13" width="16" customWidth="1"/>
    <col min="14" max="14" width="9.140625" style="8"/>
    <col min="15" max="15" width="15.42578125" customWidth="1"/>
  </cols>
  <sheetData>
    <row r="1" spans="1:19" x14ac:dyDescent="0.25">
      <c r="A1" s="8"/>
      <c r="B1" s="8"/>
      <c r="C1" s="8" t="s">
        <v>333</v>
      </c>
      <c r="D1" s="11" t="str">
        <f>F1</f>
        <v>Ale</v>
      </c>
      <c r="E1" s="8"/>
      <c r="F1" s="8" t="str">
        <f>LOOKUP('Indata byggnad och BBR krav'!$C$15,Ortlista!A1:A303)</f>
        <v>Ale</v>
      </c>
      <c r="G1" s="8">
        <f>LOOKUP(D1,Ortlista!A1:A303,Ortlista!B1:B303)</f>
        <v>3</v>
      </c>
      <c r="H1" s="8" t="str">
        <f>ADDRESS(1,7,4)</f>
        <v>G1</v>
      </c>
      <c r="I1" s="8"/>
      <c r="J1" s="8"/>
      <c r="K1" s="8"/>
      <c r="M1" s="8" t="str">
        <f>F1</f>
        <v>Ale</v>
      </c>
      <c r="O1" s="8"/>
    </row>
    <row r="3" spans="1:19" x14ac:dyDescent="0.25">
      <c r="O3">
        <v>4</v>
      </c>
    </row>
    <row r="4" spans="1:19" x14ac:dyDescent="0.25">
      <c r="A4" s="8" t="s">
        <v>9</v>
      </c>
      <c r="B4" s="8" t="s">
        <v>19</v>
      </c>
      <c r="C4" s="8"/>
      <c r="D4" s="8" t="s">
        <v>334</v>
      </c>
      <c r="E4" s="8" t="s">
        <v>335</v>
      </c>
      <c r="F4" s="8"/>
      <c r="G4" s="8"/>
      <c r="H4" s="8" t="str">
        <f>"Ortdata!"&amp;ADDRESS(15,$G$1+2,3)</f>
        <v>Ortdata!$E15</v>
      </c>
      <c r="I4" s="8" t="str">
        <f ca="1">INDIRECT(H4)</f>
        <v>Ale</v>
      </c>
      <c r="J4" s="17" t="str">
        <f>"Ortdata!"&amp;ADDRESS(1,$G$1+2,3)</f>
        <v>Ortdata!$E1</v>
      </c>
      <c r="K4" s="17" t="str">
        <f ca="1">INDIRECT(J4)</f>
        <v>Ale</v>
      </c>
      <c r="L4" s="8" t="s">
        <v>19</v>
      </c>
      <c r="M4" s="9" t="s">
        <v>336</v>
      </c>
      <c r="N4" s="9"/>
      <c r="O4" s="9" t="s">
        <v>337</v>
      </c>
      <c r="R4" t="s">
        <v>1113</v>
      </c>
      <c r="S4" t="s">
        <v>1114</v>
      </c>
    </row>
    <row r="5" spans="1:19" x14ac:dyDescent="0.25">
      <c r="A5" s="8">
        <v>2015</v>
      </c>
      <c r="B5" s="8">
        <v>1</v>
      </c>
      <c r="C5" s="8"/>
      <c r="D5" s="8">
        <v>10</v>
      </c>
      <c r="E5" s="12">
        <v>10.914818704058311</v>
      </c>
      <c r="F5" s="12">
        <v>10.914818704058311</v>
      </c>
      <c r="G5" s="8"/>
      <c r="H5" s="8" t="str">
        <f>"Ortdata!"&amp;ADDRESS(16,$G$1+2,4)</f>
        <v>Ortdata!E16</v>
      </c>
      <c r="I5" s="8">
        <f ca="1">INDIRECT(H5)</f>
        <v>1.911</v>
      </c>
      <c r="J5" s="8" t="str">
        <f>"Ortdata!"&amp;ADDRESS(ROW(G6)-4,$G$1+2,4)</f>
        <v>Ortdata!E2</v>
      </c>
      <c r="K5" s="8">
        <f ca="1">INDIRECT(J5)</f>
        <v>1.774</v>
      </c>
      <c r="L5" s="8">
        <f>B5</f>
        <v>1</v>
      </c>
      <c r="M5" s="10">
        <f ca="1">(17-K5)/(17-I5)</f>
        <v>1.0090794618596328</v>
      </c>
      <c r="N5" s="10">
        <f ca="1">17-K5</f>
        <v>15.225999999999999</v>
      </c>
      <c r="O5" s="10">
        <f ca="1">IF(P5=0,M5,P5)</f>
        <v>1.0090794618596328</v>
      </c>
      <c r="P5">
        <v>0</v>
      </c>
      <c r="R5" s="23" t="str">
        <f>A5 &amp; TEXT(B5,"00")</f>
        <v>201501</v>
      </c>
      <c r="S5" s="21">
        <f ca="1">O5</f>
        <v>1.0090794618596328</v>
      </c>
    </row>
    <row r="6" spans="1:19" x14ac:dyDescent="0.25">
      <c r="A6" s="8">
        <v>2015</v>
      </c>
      <c r="B6" s="8">
        <v>2</v>
      </c>
      <c r="C6" s="8"/>
      <c r="D6" s="8">
        <v>10</v>
      </c>
      <c r="E6" s="12">
        <v>9.378089219796033</v>
      </c>
      <c r="F6" s="12">
        <v>9.378089219796033</v>
      </c>
      <c r="G6" s="8"/>
      <c r="H6" s="8" t="str">
        <f>"Ortdata!"&amp;ADDRESS(ROW(G6)+11,$G$1+2,4)</f>
        <v>Ortdata!E17</v>
      </c>
      <c r="I6" s="8">
        <f t="shared" ref="I6:I69" ca="1" si="0">INDIRECT(H6)</f>
        <v>1.4179999999999999</v>
      </c>
      <c r="J6" s="17" t="str">
        <f t="shared" ref="J6:J16" si="1">"Ortdata!"&amp;ADDRESS(ROW(G7)-4,$G$1+2,4)</f>
        <v>Ortdata!E3</v>
      </c>
      <c r="K6" s="8">
        <f t="shared" ref="K6:K16" ca="1" si="2">INDIRECT(J6)</f>
        <v>-0.622</v>
      </c>
      <c r="L6" s="8">
        <f t="shared" ref="L6:L69" si="3">B6</f>
        <v>2</v>
      </c>
      <c r="M6" s="10">
        <f t="shared" ref="M6:M69" ca="1" si="4">(17-K6)/(17-I6)</f>
        <v>1.1309202926453599</v>
      </c>
      <c r="N6" s="10">
        <f t="shared" ref="N6:N69" ca="1" si="5">17-K6</f>
        <v>17.622</v>
      </c>
      <c r="O6" s="10">
        <f ca="1">IF(P6=0,M6,P6)</f>
        <v>1.1309202926453599</v>
      </c>
      <c r="P6" s="8">
        <v>0</v>
      </c>
      <c r="R6" s="23" t="str">
        <f t="shared" ref="R6:R69" si="6">A6 &amp; TEXT(B6,"00")</f>
        <v>201502</v>
      </c>
      <c r="S6" s="21">
        <f t="shared" ref="S6:S69" ca="1" si="7">O6</f>
        <v>1.1309202926453599</v>
      </c>
    </row>
    <row r="7" spans="1:19" x14ac:dyDescent="0.25">
      <c r="A7" s="8">
        <v>2015</v>
      </c>
      <c r="B7" s="8">
        <v>3</v>
      </c>
      <c r="C7" s="8"/>
      <c r="D7" s="8">
        <v>10</v>
      </c>
      <c r="E7" s="12">
        <v>12.96963533343019</v>
      </c>
      <c r="F7" s="12">
        <v>12.96963533343019</v>
      </c>
      <c r="G7" s="8"/>
      <c r="H7" s="17" t="str">
        <f t="shared" ref="H7:H70" si="8">"Ortdata!"&amp;ADDRESS(ROW(G7)+11,$G$1+2,4)</f>
        <v>Ortdata!E18</v>
      </c>
      <c r="I7" s="8">
        <f t="shared" ca="1" si="0"/>
        <v>3.9380000000000002</v>
      </c>
      <c r="J7" s="17" t="str">
        <f t="shared" si="1"/>
        <v>Ortdata!E4</v>
      </c>
      <c r="K7" s="8">
        <f t="shared" ca="1" si="2"/>
        <v>2.0630000000000002</v>
      </c>
      <c r="L7" s="8">
        <f t="shared" si="3"/>
        <v>3</v>
      </c>
      <c r="M7" s="10">
        <f t="shared" ca="1" si="4"/>
        <v>1.1435461644464859</v>
      </c>
      <c r="N7" s="10">
        <f t="shared" ca="1" si="5"/>
        <v>14.936999999999999</v>
      </c>
      <c r="O7" s="10">
        <f t="shared" ref="O7:O16" ca="1" si="9">IF(P7=0,M7,P7)</f>
        <v>1.1435461644464859</v>
      </c>
      <c r="P7" s="8">
        <v>0</v>
      </c>
      <c r="R7" s="23" t="str">
        <f t="shared" si="6"/>
        <v>201503</v>
      </c>
      <c r="S7" s="21">
        <f t="shared" ca="1" si="7"/>
        <v>1.1435461644464859</v>
      </c>
    </row>
    <row r="8" spans="1:19" x14ac:dyDescent="0.25">
      <c r="A8" s="8">
        <v>2015</v>
      </c>
      <c r="B8" s="8">
        <v>4</v>
      </c>
      <c r="C8" s="8"/>
      <c r="D8" s="8">
        <v>10</v>
      </c>
      <c r="E8" s="12">
        <v>11.733386709367492</v>
      </c>
      <c r="F8" s="12">
        <v>11.733386709367492</v>
      </c>
      <c r="G8" s="8"/>
      <c r="H8" s="17" t="str">
        <f t="shared" si="8"/>
        <v>Ortdata!E19</v>
      </c>
      <c r="I8" s="8">
        <f t="shared" ca="1" si="0"/>
        <v>6.6070000000000002</v>
      </c>
      <c r="J8" s="17" t="str">
        <f t="shared" si="1"/>
        <v>Ortdata!E5</v>
      </c>
      <c r="K8" s="8">
        <f t="shared" ca="1" si="2"/>
        <v>6.04</v>
      </c>
      <c r="L8" s="8">
        <f t="shared" si="3"/>
        <v>4</v>
      </c>
      <c r="M8" s="10">
        <f t="shared" ca="1" si="4"/>
        <v>1.0545559511209468</v>
      </c>
      <c r="N8" s="10">
        <f t="shared" ca="1" si="5"/>
        <v>10.96</v>
      </c>
      <c r="O8" s="10">
        <f t="shared" ca="1" si="9"/>
        <v>1.0545559511209468</v>
      </c>
      <c r="P8" s="8">
        <v>0</v>
      </c>
      <c r="R8" s="23" t="str">
        <f t="shared" si="6"/>
        <v>201504</v>
      </c>
      <c r="S8" s="21">
        <f t="shared" ca="1" si="7"/>
        <v>1.0545559511209468</v>
      </c>
    </row>
    <row r="9" spans="1:19" x14ac:dyDescent="0.25">
      <c r="A9" s="8">
        <v>2015</v>
      </c>
      <c r="B9" s="8">
        <v>5</v>
      </c>
      <c r="C9" s="8"/>
      <c r="D9" s="8">
        <v>10</v>
      </c>
      <c r="E9" s="12">
        <v>10.237264480111657</v>
      </c>
      <c r="F9" s="12">
        <v>10.237264480111657</v>
      </c>
      <c r="G9" s="8"/>
      <c r="H9" s="17" t="str">
        <f t="shared" si="8"/>
        <v>Ortdata!E20</v>
      </c>
      <c r="I9" s="8">
        <f t="shared" ca="1" si="0"/>
        <v>9.5760000000000005</v>
      </c>
      <c r="J9" s="17" t="str">
        <f t="shared" si="1"/>
        <v>Ortdata!E6</v>
      </c>
      <c r="K9" s="8">
        <f t="shared" ca="1" si="2"/>
        <v>10.403</v>
      </c>
      <c r="L9" s="8">
        <f t="shared" si="3"/>
        <v>5</v>
      </c>
      <c r="M9" s="10">
        <f t="shared" ca="1" si="4"/>
        <v>0.88860452586206895</v>
      </c>
      <c r="N9" s="10">
        <f t="shared" ca="1" si="5"/>
        <v>6.5969999999999995</v>
      </c>
      <c r="O9" s="10">
        <f t="shared" ca="1" si="9"/>
        <v>0.97978030821898909</v>
      </c>
      <c r="P9" s="2">
        <f ca="1">(SUM(M5:M8)+SUM(M14:M16))/8</f>
        <v>0.97978030821898909</v>
      </c>
      <c r="R9" s="23" t="str">
        <f t="shared" si="6"/>
        <v>201505</v>
      </c>
      <c r="S9" s="21">
        <f t="shared" ca="1" si="7"/>
        <v>0.97978030821898909</v>
      </c>
    </row>
    <row r="10" spans="1:19" x14ac:dyDescent="0.25">
      <c r="A10" s="8">
        <v>2015</v>
      </c>
      <c r="B10" s="8">
        <v>6</v>
      </c>
      <c r="C10" s="8"/>
      <c r="D10" s="8">
        <v>10</v>
      </c>
      <c r="E10" s="12">
        <v>7.8839088905216794</v>
      </c>
      <c r="F10" s="12">
        <v>10</v>
      </c>
      <c r="G10" s="8"/>
      <c r="H10" s="17" t="str">
        <f t="shared" si="8"/>
        <v>Ortdata!E21</v>
      </c>
      <c r="I10" s="8">
        <f t="shared" ca="1" si="0"/>
        <v>12.946</v>
      </c>
      <c r="J10" s="17" t="str">
        <f t="shared" si="1"/>
        <v>Ortdata!E7</v>
      </c>
      <c r="K10" s="8">
        <f t="shared" ca="1" si="2"/>
        <v>13.762</v>
      </c>
      <c r="L10" s="8">
        <f t="shared" si="3"/>
        <v>6</v>
      </c>
      <c r="M10" s="10">
        <f t="shared" ca="1" si="4"/>
        <v>0.79871731623088293</v>
      </c>
      <c r="N10" s="10">
        <f t="shared" ca="1" si="5"/>
        <v>3.2379999999999995</v>
      </c>
      <c r="O10" s="10">
        <f t="shared" ca="1" si="9"/>
        <v>0.97978030821898909</v>
      </c>
      <c r="P10" s="2">
        <f ca="1">P9</f>
        <v>0.97978030821898909</v>
      </c>
      <c r="R10" s="23" t="str">
        <f t="shared" si="6"/>
        <v>201506</v>
      </c>
      <c r="S10" s="21">
        <f t="shared" ca="1" si="7"/>
        <v>0.97978030821898909</v>
      </c>
    </row>
    <row r="11" spans="1:19" x14ac:dyDescent="0.25">
      <c r="A11" s="8">
        <v>2015</v>
      </c>
      <c r="B11" s="8">
        <v>7</v>
      </c>
      <c r="C11" s="8"/>
      <c r="D11" s="8">
        <v>10</v>
      </c>
      <c r="E11" s="12">
        <v>-28.242424242424178</v>
      </c>
      <c r="F11" s="12">
        <v>10</v>
      </c>
      <c r="G11" s="8"/>
      <c r="H11" s="17" t="str">
        <f t="shared" si="8"/>
        <v>Ortdata!E22</v>
      </c>
      <c r="I11" s="8">
        <f t="shared" ca="1" si="0"/>
        <v>15.617000000000001</v>
      </c>
      <c r="J11" s="17" t="str">
        <f t="shared" si="1"/>
        <v>Ortdata!E8</v>
      </c>
      <c r="K11" s="8">
        <f t="shared" ca="1" si="2"/>
        <v>17.084</v>
      </c>
      <c r="L11" s="8">
        <f t="shared" si="3"/>
        <v>7</v>
      </c>
      <c r="M11" s="10">
        <f t="shared" ca="1" si="4"/>
        <v>-6.0737527114967237E-2</v>
      </c>
      <c r="N11" s="10">
        <f t="shared" ca="1" si="5"/>
        <v>-8.3999999999999631E-2</v>
      </c>
      <c r="O11" s="10">
        <f t="shared" ca="1" si="9"/>
        <v>0.97978030821898909</v>
      </c>
      <c r="P11" s="2">
        <f ca="1">P10</f>
        <v>0.97978030821898909</v>
      </c>
      <c r="R11" s="23" t="str">
        <f t="shared" si="6"/>
        <v>201507</v>
      </c>
      <c r="S11" s="21">
        <f t="shared" ca="1" si="7"/>
        <v>0.97978030821898909</v>
      </c>
    </row>
    <row r="12" spans="1:19" x14ac:dyDescent="0.25">
      <c r="A12" s="8">
        <v>2015</v>
      </c>
      <c r="B12" s="8">
        <v>8</v>
      </c>
      <c r="C12" s="8"/>
      <c r="D12" s="8">
        <v>10</v>
      </c>
      <c r="E12" s="12">
        <v>194.88888888888127</v>
      </c>
      <c r="F12" s="12">
        <v>10</v>
      </c>
      <c r="G12" s="8"/>
      <c r="H12" s="17" t="str">
        <f t="shared" si="8"/>
        <v>Ortdata!E23</v>
      </c>
      <c r="I12" s="8">
        <f t="shared" ca="1" si="0"/>
        <v>17.146999999999998</v>
      </c>
      <c r="J12" s="17" t="str">
        <f t="shared" si="1"/>
        <v>Ortdata!E9</v>
      </c>
      <c r="K12" s="8">
        <f t="shared" ca="1" si="2"/>
        <v>16.867000000000001</v>
      </c>
      <c r="L12" s="8">
        <f t="shared" si="3"/>
        <v>8</v>
      </c>
      <c r="M12" s="10">
        <f t="shared" ca="1" si="4"/>
        <v>-0.90476190476190821</v>
      </c>
      <c r="N12" s="10">
        <f t="shared" ca="1" si="5"/>
        <v>0.13299999999999912</v>
      </c>
      <c r="O12" s="10">
        <f t="shared" ca="1" si="9"/>
        <v>0.97978030821898909</v>
      </c>
      <c r="P12" s="2">
        <f ca="1">P11</f>
        <v>0.97978030821898909</v>
      </c>
      <c r="R12" s="23" t="str">
        <f t="shared" si="6"/>
        <v>201508</v>
      </c>
      <c r="S12" s="21">
        <f t="shared" ca="1" si="7"/>
        <v>0.97978030821898909</v>
      </c>
    </row>
    <row r="13" spans="1:19" x14ac:dyDescent="0.25">
      <c r="A13" s="8">
        <v>2015</v>
      </c>
      <c r="B13" s="8">
        <v>9</v>
      </c>
      <c r="C13" s="8"/>
      <c r="D13" s="8">
        <v>10</v>
      </c>
      <c r="E13" s="12">
        <v>12.055541780312424</v>
      </c>
      <c r="F13" s="12">
        <v>12.055541780312424</v>
      </c>
      <c r="G13" s="8"/>
      <c r="H13" s="17" t="str">
        <f t="shared" si="8"/>
        <v>Ortdata!E24</v>
      </c>
      <c r="I13" s="8">
        <f t="shared" ca="1" si="0"/>
        <v>12.67</v>
      </c>
      <c r="J13" s="17" t="str">
        <f t="shared" si="1"/>
        <v>Ortdata!E10</v>
      </c>
      <c r="K13" s="8">
        <f t="shared" ca="1" si="2"/>
        <v>11.388</v>
      </c>
      <c r="L13" s="8">
        <f t="shared" si="3"/>
        <v>9</v>
      </c>
      <c r="M13" s="10">
        <f t="shared" ca="1" si="4"/>
        <v>1.2960739030023094</v>
      </c>
      <c r="N13" s="10">
        <f t="shared" ca="1" si="5"/>
        <v>5.6120000000000001</v>
      </c>
      <c r="O13" s="10">
        <f t="shared" ca="1" si="9"/>
        <v>0.97978030821898909</v>
      </c>
      <c r="P13" s="2">
        <f ca="1">P12</f>
        <v>0.97978030821898909</v>
      </c>
      <c r="R13" s="23" t="str">
        <f t="shared" si="6"/>
        <v>201509</v>
      </c>
      <c r="S13" s="21">
        <f t="shared" ca="1" si="7"/>
        <v>0.97978030821898909</v>
      </c>
    </row>
    <row r="14" spans="1:19" x14ac:dyDescent="0.25">
      <c r="A14" s="8">
        <v>2015</v>
      </c>
      <c r="B14" s="8">
        <v>10</v>
      </c>
      <c r="C14" s="8"/>
      <c r="D14" s="8">
        <v>10</v>
      </c>
      <c r="E14" s="12">
        <v>9.9796885578876093</v>
      </c>
      <c r="F14" s="12">
        <v>9.9796885578876093</v>
      </c>
      <c r="G14" s="8"/>
      <c r="H14" s="17" t="str">
        <f t="shared" si="8"/>
        <v>Ortdata!E25</v>
      </c>
      <c r="I14" s="8">
        <f t="shared" ca="1" si="0"/>
        <v>8.2129999999999992</v>
      </c>
      <c r="J14" s="17" t="str">
        <f t="shared" si="1"/>
        <v>Ortdata!E11</v>
      </c>
      <c r="K14" s="8">
        <f t="shared" ca="1" si="2"/>
        <v>7.835</v>
      </c>
      <c r="L14" s="8">
        <f t="shared" si="3"/>
        <v>10</v>
      </c>
      <c r="M14" s="10">
        <f t="shared" ca="1" si="4"/>
        <v>1.0430180949129393</v>
      </c>
      <c r="N14" s="10">
        <f t="shared" ca="1" si="5"/>
        <v>9.1649999999999991</v>
      </c>
      <c r="O14" s="10">
        <f t="shared" ca="1" si="9"/>
        <v>1.0430180949129393</v>
      </c>
      <c r="P14" s="8">
        <v>0</v>
      </c>
      <c r="R14" s="23" t="str">
        <f t="shared" si="6"/>
        <v>201510</v>
      </c>
      <c r="S14" s="21">
        <f t="shared" ca="1" si="7"/>
        <v>1.0430180949129393</v>
      </c>
    </row>
    <row r="15" spans="1:19" x14ac:dyDescent="0.25">
      <c r="A15" s="8">
        <v>2015</v>
      </c>
      <c r="B15" s="8">
        <v>11</v>
      </c>
      <c r="C15" s="8"/>
      <c r="D15" s="8">
        <v>10</v>
      </c>
      <c r="E15" s="12">
        <v>11.091645318568714</v>
      </c>
      <c r="F15" s="12">
        <v>11.091645318568714</v>
      </c>
      <c r="G15" s="8"/>
      <c r="H15" s="17" t="str">
        <f t="shared" si="8"/>
        <v>Ortdata!E26</v>
      </c>
      <c r="I15" s="8">
        <f t="shared" ca="1" si="0"/>
        <v>6.2549999999999999</v>
      </c>
      <c r="J15" s="17" t="str">
        <f t="shared" si="1"/>
        <v>Ortdata!E12</v>
      </c>
      <c r="K15" s="8">
        <f t="shared" ca="1" si="2"/>
        <v>3.4350000000000001</v>
      </c>
      <c r="L15" s="8">
        <f t="shared" si="3"/>
        <v>11</v>
      </c>
      <c r="M15" s="10">
        <f t="shared" ca="1" si="4"/>
        <v>1.2624476500697996</v>
      </c>
      <c r="N15" s="10">
        <f t="shared" ca="1" si="5"/>
        <v>13.565</v>
      </c>
      <c r="O15" s="10">
        <f t="shared" ca="1" si="9"/>
        <v>1.2624476500697996</v>
      </c>
      <c r="P15" s="8">
        <v>0</v>
      </c>
      <c r="R15" s="23" t="str">
        <f t="shared" si="6"/>
        <v>201511</v>
      </c>
      <c r="S15" s="21">
        <f t="shared" ca="1" si="7"/>
        <v>1.2624476500697996</v>
      </c>
    </row>
    <row r="16" spans="1:19" x14ac:dyDescent="0.25">
      <c r="A16" s="8">
        <v>2015</v>
      </c>
      <c r="B16" s="8">
        <v>12</v>
      </c>
      <c r="C16" s="8"/>
      <c r="D16" s="8">
        <v>10</v>
      </c>
      <c r="E16" s="12">
        <v>13.840511860174782</v>
      </c>
      <c r="F16" s="12">
        <v>13.840511860174782</v>
      </c>
      <c r="G16" s="8"/>
      <c r="H16" s="17" t="str">
        <f t="shared" si="8"/>
        <v>Ortdata!E27</v>
      </c>
      <c r="I16" s="8">
        <f t="shared" ca="1" si="0"/>
        <v>4.944</v>
      </c>
      <c r="J16" s="17" t="str">
        <f t="shared" si="1"/>
        <v>Ortdata!E13</v>
      </c>
      <c r="K16" s="8">
        <f t="shared" ca="1" si="2"/>
        <v>2.597</v>
      </c>
      <c r="L16" s="8">
        <f t="shared" si="3"/>
        <v>12</v>
      </c>
      <c r="M16" s="10">
        <f t="shared" ca="1" si="4"/>
        <v>1.1946748506967484</v>
      </c>
      <c r="N16" s="10">
        <f t="shared" ca="1" si="5"/>
        <v>14.403</v>
      </c>
      <c r="O16" s="10">
        <f t="shared" ca="1" si="9"/>
        <v>1.1946748506967484</v>
      </c>
      <c r="P16" s="8">
        <v>0</v>
      </c>
      <c r="R16" s="23" t="str">
        <f t="shared" si="6"/>
        <v>201512</v>
      </c>
      <c r="S16" s="21">
        <f t="shared" ca="1" si="7"/>
        <v>1.1946748506967484</v>
      </c>
    </row>
    <row r="17" spans="1:19" x14ac:dyDescent="0.25">
      <c r="A17" s="8">
        <v>2016</v>
      </c>
      <c r="B17" s="8">
        <v>1</v>
      </c>
      <c r="C17" s="8"/>
      <c r="D17" s="8">
        <v>10</v>
      </c>
      <c r="E17" s="12">
        <v>8.3207760406856295</v>
      </c>
      <c r="F17" s="12">
        <v>8.3207760406856295</v>
      </c>
      <c r="G17" s="8"/>
      <c r="H17" s="17" t="str">
        <f t="shared" si="8"/>
        <v>Ortdata!E28</v>
      </c>
      <c r="I17" s="8">
        <f t="shared" ca="1" si="0"/>
        <v>-2.7970000000000002</v>
      </c>
      <c r="J17" s="8" t="str">
        <f>"Ortdata!"&amp;ADDRESS(ROW(G18)-16,$G$1,4)</f>
        <v>Ortdata!C2</v>
      </c>
      <c r="K17" s="8">
        <f ca="1">K5</f>
        <v>1.774</v>
      </c>
      <c r="L17" s="8">
        <f t="shared" si="3"/>
        <v>1</v>
      </c>
      <c r="M17" s="10">
        <f t="shared" ca="1" si="4"/>
        <v>0.76910643026721215</v>
      </c>
      <c r="N17" s="10">
        <f t="shared" ca="1" si="5"/>
        <v>15.225999999999999</v>
      </c>
      <c r="O17" s="10">
        <f t="shared" ref="O17:O69" ca="1" si="10">IF(P17=0,M17,1)</f>
        <v>0.76910643026721215</v>
      </c>
      <c r="P17" s="8">
        <v>0</v>
      </c>
      <c r="R17" s="23" t="str">
        <f t="shared" si="6"/>
        <v>201601</v>
      </c>
      <c r="S17" s="21">
        <f t="shared" ca="1" si="7"/>
        <v>0.76910643026721215</v>
      </c>
    </row>
    <row r="18" spans="1:19" x14ac:dyDescent="0.25">
      <c r="A18" s="8">
        <v>2016</v>
      </c>
      <c r="B18" s="8">
        <v>2</v>
      </c>
      <c r="C18" s="8"/>
      <c r="D18" s="8">
        <v>10</v>
      </c>
      <c r="E18" s="12">
        <v>8.7737063919456801</v>
      </c>
      <c r="F18" s="12">
        <v>8.7737063919456801</v>
      </c>
      <c r="G18" s="8"/>
      <c r="H18" s="17" t="str">
        <f t="shared" si="8"/>
        <v>Ortdata!E29</v>
      </c>
      <c r="I18" s="8">
        <f t="shared" ca="1" si="0"/>
        <v>0.495</v>
      </c>
      <c r="J18" s="8" t="str">
        <f t="shared" ref="J18:J28" si="11">"Ortdata!"&amp;ADDRESS(ROW(G19)-16,$G$1,4)</f>
        <v>Ortdata!C3</v>
      </c>
      <c r="K18" s="17">
        <f t="shared" ref="K18:K76" ca="1" si="12">K6</f>
        <v>-0.622</v>
      </c>
      <c r="L18" s="8">
        <f t="shared" si="3"/>
        <v>2</v>
      </c>
      <c r="M18" s="10">
        <f t="shared" ca="1" si="4"/>
        <v>1.0676764616782795</v>
      </c>
      <c r="N18" s="10">
        <f t="shared" ca="1" si="5"/>
        <v>17.622</v>
      </c>
      <c r="O18" s="10">
        <f t="shared" ca="1" si="10"/>
        <v>1.0676764616782795</v>
      </c>
      <c r="P18" s="8">
        <v>0</v>
      </c>
      <c r="R18" s="23" t="str">
        <f t="shared" si="6"/>
        <v>201602</v>
      </c>
      <c r="S18" s="21">
        <f t="shared" ca="1" si="7"/>
        <v>1.0676764616782795</v>
      </c>
    </row>
    <row r="19" spans="1:19" x14ac:dyDescent="0.25">
      <c r="A19" s="8">
        <v>2016</v>
      </c>
      <c r="B19" s="8">
        <v>3</v>
      </c>
      <c r="C19" s="8"/>
      <c r="D19" s="8">
        <v>10</v>
      </c>
      <c r="E19" s="12">
        <v>12.235471491228068</v>
      </c>
      <c r="F19" s="12">
        <v>12.235471491228068</v>
      </c>
      <c r="G19" s="8"/>
      <c r="H19" s="17" t="str">
        <f t="shared" si="8"/>
        <v>Ortdata!E30</v>
      </c>
      <c r="I19" s="8">
        <f t="shared" ca="1" si="0"/>
        <v>3.2170000000000001</v>
      </c>
      <c r="J19" s="8" t="str">
        <f t="shared" si="11"/>
        <v>Ortdata!C4</v>
      </c>
      <c r="K19" s="17">
        <f t="shared" ca="1" si="12"/>
        <v>2.0630000000000002</v>
      </c>
      <c r="L19" s="8">
        <f t="shared" si="3"/>
        <v>3</v>
      </c>
      <c r="M19" s="10">
        <f t="shared" ca="1" si="4"/>
        <v>1.0837263295363855</v>
      </c>
      <c r="N19" s="10">
        <f t="shared" ca="1" si="5"/>
        <v>14.936999999999999</v>
      </c>
      <c r="O19" s="10">
        <f t="shared" ca="1" si="10"/>
        <v>1.0837263295363855</v>
      </c>
      <c r="P19" s="8">
        <v>0</v>
      </c>
      <c r="R19" s="23" t="str">
        <f t="shared" si="6"/>
        <v>201603</v>
      </c>
      <c r="S19" s="21">
        <f t="shared" ca="1" si="7"/>
        <v>1.0837263295363855</v>
      </c>
    </row>
    <row r="20" spans="1:19" x14ac:dyDescent="0.25">
      <c r="A20" s="8">
        <v>2016</v>
      </c>
      <c r="B20" s="8">
        <v>4</v>
      </c>
      <c r="C20" s="8"/>
      <c r="D20" s="8">
        <v>10</v>
      </c>
      <c r="E20" s="12">
        <v>9.8653651969033991</v>
      </c>
      <c r="F20" s="12">
        <v>9.8653651969033991</v>
      </c>
      <c r="G20" s="8"/>
      <c r="H20" s="17" t="str">
        <f t="shared" si="8"/>
        <v>Ortdata!E31</v>
      </c>
      <c r="I20" s="8">
        <f t="shared" ca="1" si="0"/>
        <v>6.37</v>
      </c>
      <c r="J20" s="8" t="str">
        <f t="shared" si="11"/>
        <v>Ortdata!C5</v>
      </c>
      <c r="K20" s="17">
        <f t="shared" ca="1" si="12"/>
        <v>6.04</v>
      </c>
      <c r="L20" s="8">
        <f t="shared" si="3"/>
        <v>4</v>
      </c>
      <c r="M20" s="10">
        <f t="shared" ca="1" si="4"/>
        <v>1.0310442144873002</v>
      </c>
      <c r="N20" s="10">
        <f t="shared" ca="1" si="5"/>
        <v>10.96</v>
      </c>
      <c r="O20" s="10">
        <f t="shared" ca="1" si="10"/>
        <v>1.0310442144873002</v>
      </c>
      <c r="P20" s="8">
        <v>0</v>
      </c>
      <c r="R20" s="23" t="str">
        <f t="shared" si="6"/>
        <v>201604</v>
      </c>
      <c r="S20" s="21">
        <f t="shared" ca="1" si="7"/>
        <v>1.0310442144873002</v>
      </c>
    </row>
    <row r="21" spans="1:19" x14ac:dyDescent="0.25">
      <c r="A21" s="8">
        <v>2016</v>
      </c>
      <c r="B21" s="8">
        <v>5</v>
      </c>
      <c r="C21" s="8"/>
      <c r="D21" s="8">
        <v>10</v>
      </c>
      <c r="E21" s="12">
        <v>12.954786294595548</v>
      </c>
      <c r="F21" s="12">
        <v>12.954786294595548</v>
      </c>
      <c r="G21" s="8"/>
      <c r="H21" s="17" t="str">
        <f t="shared" si="8"/>
        <v>Ortdata!E32</v>
      </c>
      <c r="I21" s="8">
        <f t="shared" ca="1" si="0"/>
        <v>12.831</v>
      </c>
      <c r="J21" s="8" t="str">
        <f t="shared" si="11"/>
        <v>Ortdata!C6</v>
      </c>
      <c r="K21" s="17">
        <f t="shared" ca="1" si="12"/>
        <v>10.403</v>
      </c>
      <c r="L21" s="8">
        <f t="shared" si="3"/>
        <v>5</v>
      </c>
      <c r="M21" s="10">
        <f t="shared" ca="1" si="4"/>
        <v>1.5823938594387141</v>
      </c>
      <c r="N21" s="10">
        <f t="shared" ca="1" si="5"/>
        <v>6.5969999999999995</v>
      </c>
      <c r="O21" s="10">
        <f t="shared" ca="1" si="10"/>
        <v>1</v>
      </c>
      <c r="P21" s="8">
        <f ca="1">(SUM(M17:M20)+SUM(M26:M28))/8</f>
        <v>0.85788111069786399</v>
      </c>
      <c r="R21" s="23" t="str">
        <f t="shared" si="6"/>
        <v>201605</v>
      </c>
      <c r="S21" s="21">
        <f t="shared" ca="1" si="7"/>
        <v>1</v>
      </c>
    </row>
    <row r="22" spans="1:19" x14ac:dyDescent="0.25">
      <c r="A22" s="8">
        <v>2016</v>
      </c>
      <c r="B22" s="8">
        <v>6</v>
      </c>
      <c r="C22" s="8"/>
      <c r="D22" s="8">
        <v>10</v>
      </c>
      <c r="E22" s="12">
        <v>15.372492836676216</v>
      </c>
      <c r="F22" s="12">
        <v>10</v>
      </c>
      <c r="G22" s="8"/>
      <c r="H22" s="17" t="str">
        <f t="shared" si="8"/>
        <v>Ortdata!E33</v>
      </c>
      <c r="I22" s="8">
        <f t="shared" ca="1" si="0"/>
        <v>16.228999999999999</v>
      </c>
      <c r="J22" s="8" t="str">
        <f t="shared" si="11"/>
        <v>Ortdata!C7</v>
      </c>
      <c r="K22" s="17">
        <f t="shared" ca="1" si="12"/>
        <v>13.762</v>
      </c>
      <c r="L22" s="8">
        <f t="shared" si="3"/>
        <v>6</v>
      </c>
      <c r="M22" s="10">
        <f t="shared" ca="1" si="4"/>
        <v>4.199740596627751</v>
      </c>
      <c r="N22" s="10">
        <f t="shared" ca="1" si="5"/>
        <v>3.2379999999999995</v>
      </c>
      <c r="O22" s="10">
        <f t="shared" ca="1" si="10"/>
        <v>1</v>
      </c>
      <c r="P22" s="8">
        <f ca="1">P21</f>
        <v>0.85788111069786399</v>
      </c>
      <c r="R22" s="23" t="str">
        <f t="shared" si="6"/>
        <v>201606</v>
      </c>
      <c r="S22" s="21">
        <f t="shared" ca="1" si="7"/>
        <v>1</v>
      </c>
    </row>
    <row r="23" spans="1:19" x14ac:dyDescent="0.25">
      <c r="A23" s="8">
        <v>2016</v>
      </c>
      <c r="B23" s="8">
        <v>7</v>
      </c>
      <c r="C23" s="8"/>
      <c r="D23" s="8">
        <v>10</v>
      </c>
      <c r="E23" s="12">
        <v>19.745762711864447</v>
      </c>
      <c r="F23" s="12">
        <v>10</v>
      </c>
      <c r="G23" s="8"/>
      <c r="H23" s="17" t="str">
        <f t="shared" si="8"/>
        <v>Ortdata!E34</v>
      </c>
      <c r="I23" s="8">
        <f t="shared" ca="1" si="0"/>
        <v>16.661999999999999</v>
      </c>
      <c r="J23" s="8" t="str">
        <f t="shared" si="11"/>
        <v>Ortdata!C8</v>
      </c>
      <c r="K23" s="17">
        <f t="shared" ca="1" si="12"/>
        <v>17.084</v>
      </c>
      <c r="L23" s="8">
        <f t="shared" si="3"/>
        <v>7</v>
      </c>
      <c r="M23" s="10">
        <f t="shared" ca="1" si="4"/>
        <v>-0.24852071005916979</v>
      </c>
      <c r="N23" s="10">
        <f t="shared" ca="1" si="5"/>
        <v>-8.3999999999999631E-2</v>
      </c>
      <c r="O23" s="10">
        <f t="shared" ca="1" si="10"/>
        <v>1</v>
      </c>
      <c r="P23" s="8">
        <f ca="1">P22</f>
        <v>0.85788111069786399</v>
      </c>
      <c r="R23" s="23" t="str">
        <f t="shared" si="6"/>
        <v>201607</v>
      </c>
      <c r="S23" s="21">
        <f t="shared" ca="1" si="7"/>
        <v>1</v>
      </c>
    </row>
    <row r="24" spans="1:19" x14ac:dyDescent="0.25">
      <c r="A24" s="8">
        <v>2016</v>
      </c>
      <c r="B24" s="8">
        <v>8</v>
      </c>
      <c r="C24" s="8"/>
      <c r="D24" s="8">
        <v>10</v>
      </c>
      <c r="E24" s="12">
        <v>6.5301563663439977</v>
      </c>
      <c r="F24" s="12">
        <v>10</v>
      </c>
      <c r="G24" s="8"/>
      <c r="H24" s="17" t="str">
        <f t="shared" si="8"/>
        <v>Ortdata!E35</v>
      </c>
      <c r="I24" s="8">
        <f t="shared" ca="1" si="0"/>
        <v>15.215999999999999</v>
      </c>
      <c r="J24" s="8" t="str">
        <f t="shared" si="11"/>
        <v>Ortdata!C9</v>
      </c>
      <c r="K24" s="17">
        <f t="shared" ca="1" si="12"/>
        <v>16.867000000000001</v>
      </c>
      <c r="L24" s="8">
        <f t="shared" si="3"/>
        <v>8</v>
      </c>
      <c r="M24" s="10">
        <f t="shared" ca="1" si="4"/>
        <v>7.4551569506725937E-2</v>
      </c>
      <c r="N24" s="10">
        <f t="shared" ca="1" si="5"/>
        <v>0.13299999999999912</v>
      </c>
      <c r="O24" s="10">
        <f t="shared" ca="1" si="10"/>
        <v>1</v>
      </c>
      <c r="P24" s="8">
        <f ca="1">P23</f>
        <v>0.85788111069786399</v>
      </c>
      <c r="R24" s="23" t="str">
        <f t="shared" si="6"/>
        <v>201608</v>
      </c>
      <c r="S24" s="21">
        <f t="shared" ca="1" si="7"/>
        <v>1</v>
      </c>
    </row>
    <row r="25" spans="1:19" x14ac:dyDescent="0.25">
      <c r="A25" s="8">
        <v>2016</v>
      </c>
      <c r="B25" s="8">
        <v>9</v>
      </c>
      <c r="C25" s="8"/>
      <c r="D25" s="8">
        <v>10</v>
      </c>
      <c r="E25" s="12">
        <v>18.216560509554139</v>
      </c>
      <c r="F25" s="12">
        <v>18.216560509554139</v>
      </c>
      <c r="G25" s="8"/>
      <c r="H25" s="17" t="str">
        <f t="shared" si="8"/>
        <v>Ortdata!E36</v>
      </c>
      <c r="I25" s="8">
        <f t="shared" ca="1" si="0"/>
        <v>14.968</v>
      </c>
      <c r="J25" s="8" t="str">
        <f t="shared" si="11"/>
        <v>Ortdata!C10</v>
      </c>
      <c r="K25" s="17">
        <f t="shared" ca="1" si="12"/>
        <v>11.388</v>
      </c>
      <c r="L25" s="8">
        <f t="shared" si="3"/>
        <v>9</v>
      </c>
      <c r="M25" s="10">
        <f t="shared" ca="1" si="4"/>
        <v>2.7618110236220472</v>
      </c>
      <c r="N25" s="10">
        <f t="shared" ca="1" si="5"/>
        <v>5.6120000000000001</v>
      </c>
      <c r="O25" s="10">
        <f t="shared" ca="1" si="10"/>
        <v>1</v>
      </c>
      <c r="P25" s="8">
        <f ca="1">P24</f>
        <v>0.85788111069786399</v>
      </c>
      <c r="R25" s="23" t="str">
        <f t="shared" si="6"/>
        <v>201609</v>
      </c>
      <c r="S25" s="21">
        <f t="shared" ca="1" si="7"/>
        <v>1</v>
      </c>
    </row>
    <row r="26" spans="1:19" x14ac:dyDescent="0.25">
      <c r="A26" s="8">
        <v>2016</v>
      </c>
      <c r="B26" s="8">
        <v>10</v>
      </c>
      <c r="C26" s="8"/>
      <c r="D26" s="8">
        <v>10</v>
      </c>
      <c r="E26" s="12">
        <v>9.4346063580115214</v>
      </c>
      <c r="F26" s="12">
        <v>9.4346063580115214</v>
      </c>
      <c r="G26" s="8"/>
      <c r="H26" s="17" t="str">
        <f t="shared" si="8"/>
        <v>Ortdata!E37</v>
      </c>
      <c r="I26" s="8">
        <f t="shared" ca="1" si="0"/>
        <v>7.1260000000000003</v>
      </c>
      <c r="J26" s="8" t="str">
        <f t="shared" si="11"/>
        <v>Ortdata!C11</v>
      </c>
      <c r="K26" s="17">
        <f t="shared" ca="1" si="12"/>
        <v>7.835</v>
      </c>
      <c r="L26" s="8">
        <f t="shared" si="3"/>
        <v>10</v>
      </c>
      <c r="M26" s="10">
        <f t="shared" ca="1" si="4"/>
        <v>0.92819526027952204</v>
      </c>
      <c r="N26" s="10">
        <f t="shared" ca="1" si="5"/>
        <v>9.1649999999999991</v>
      </c>
      <c r="O26" s="10">
        <f t="shared" ca="1" si="10"/>
        <v>0.92819526027952204</v>
      </c>
      <c r="P26" s="8">
        <v>0</v>
      </c>
      <c r="R26" s="23" t="str">
        <f t="shared" si="6"/>
        <v>201610</v>
      </c>
      <c r="S26" s="21">
        <f t="shared" ca="1" si="7"/>
        <v>0.92819526027952204</v>
      </c>
    </row>
    <row r="27" spans="1:19" x14ac:dyDescent="0.25">
      <c r="A27" s="8">
        <v>2016</v>
      </c>
      <c r="B27" s="8">
        <v>11</v>
      </c>
      <c r="C27" s="8"/>
      <c r="D27" s="8">
        <v>10</v>
      </c>
      <c r="E27" s="12">
        <v>9.0971939812932092</v>
      </c>
      <c r="F27" s="12">
        <v>9.0971939812932092</v>
      </c>
      <c r="G27" s="8"/>
      <c r="H27" s="17" t="str">
        <f t="shared" si="8"/>
        <v>Ortdata!E38</v>
      </c>
      <c r="I27" s="8">
        <f t="shared" ca="1" si="0"/>
        <v>2.4630000000000001</v>
      </c>
      <c r="J27" s="8" t="str">
        <f t="shared" si="11"/>
        <v>Ortdata!C12</v>
      </c>
      <c r="K27" s="17">
        <f t="shared" ca="1" si="12"/>
        <v>3.4350000000000001</v>
      </c>
      <c r="L27" s="8">
        <f t="shared" si="3"/>
        <v>11</v>
      </c>
      <c r="M27" s="10">
        <f t="shared" ca="1" si="4"/>
        <v>0.93313613537868889</v>
      </c>
      <c r="N27" s="10">
        <f t="shared" ca="1" si="5"/>
        <v>13.565</v>
      </c>
      <c r="O27" s="10">
        <f t="shared" ca="1" si="10"/>
        <v>0.93313613537868889</v>
      </c>
      <c r="P27" s="8">
        <v>0</v>
      </c>
      <c r="R27" s="23" t="str">
        <f t="shared" si="6"/>
        <v>201611</v>
      </c>
      <c r="S27" s="21">
        <f t="shared" ca="1" si="7"/>
        <v>0.93313613537868889</v>
      </c>
    </row>
    <row r="28" spans="1:19" x14ac:dyDescent="0.25">
      <c r="A28" s="8">
        <v>2016</v>
      </c>
      <c r="B28" s="8">
        <v>12</v>
      </c>
      <c r="C28" s="8"/>
      <c r="D28" s="8">
        <v>10</v>
      </c>
      <c r="E28" s="12">
        <v>11.925507597149387</v>
      </c>
      <c r="F28" s="12">
        <v>11.925507597149387</v>
      </c>
      <c r="G28" s="8"/>
      <c r="H28" s="17" t="str">
        <f t="shared" si="8"/>
        <v>Ortdata!E39</v>
      </c>
      <c r="I28" s="8">
        <f t="shared" ca="1" si="0"/>
        <v>3.2850000000000001</v>
      </c>
      <c r="J28" s="8" t="str">
        <f t="shared" si="11"/>
        <v>Ortdata!C13</v>
      </c>
      <c r="K28" s="17">
        <f t="shared" ca="1" si="12"/>
        <v>2.597</v>
      </c>
      <c r="L28" s="8">
        <f t="shared" si="3"/>
        <v>12</v>
      </c>
      <c r="M28" s="10">
        <f t="shared" ca="1" si="4"/>
        <v>1.0501640539555233</v>
      </c>
      <c r="N28" s="10">
        <f t="shared" ca="1" si="5"/>
        <v>14.403</v>
      </c>
      <c r="O28" s="10">
        <f t="shared" ca="1" si="10"/>
        <v>1.0501640539555233</v>
      </c>
      <c r="P28" s="8">
        <v>0</v>
      </c>
      <c r="R28" s="23" t="str">
        <f t="shared" si="6"/>
        <v>201612</v>
      </c>
      <c r="S28" s="21">
        <f t="shared" ca="1" si="7"/>
        <v>1.0501640539555233</v>
      </c>
    </row>
    <row r="29" spans="1:19" x14ac:dyDescent="0.25">
      <c r="A29" s="8">
        <v>2017</v>
      </c>
      <c r="B29" s="8">
        <v>1</v>
      </c>
      <c r="C29" s="8"/>
      <c r="D29" s="8">
        <v>10</v>
      </c>
      <c r="E29" s="12">
        <v>10.063215445070902</v>
      </c>
      <c r="F29" s="12">
        <v>10.063215445070902</v>
      </c>
      <c r="G29" s="8"/>
      <c r="H29" s="17" t="str">
        <f t="shared" si="8"/>
        <v>Ortdata!E40</v>
      </c>
      <c r="I29" s="8">
        <f t="shared" ca="1" si="0"/>
        <v>0.255</v>
      </c>
      <c r="J29" s="8" t="str">
        <f>"Ortdata!"&amp;ADDRESS(ROW(G30)-28,$G$1,4)</f>
        <v>Ortdata!C2</v>
      </c>
      <c r="K29" s="17">
        <f t="shared" ca="1" si="12"/>
        <v>1.774</v>
      </c>
      <c r="L29" s="8">
        <f t="shared" si="3"/>
        <v>1</v>
      </c>
      <c r="M29" s="10">
        <f t="shared" ca="1" si="4"/>
        <v>0.90928635413556269</v>
      </c>
      <c r="N29" s="10">
        <f t="shared" ca="1" si="5"/>
        <v>15.225999999999999</v>
      </c>
      <c r="O29" s="10">
        <f t="shared" ca="1" si="10"/>
        <v>0.90928635413556269</v>
      </c>
      <c r="P29" s="8">
        <v>0</v>
      </c>
      <c r="R29" s="23" t="str">
        <f t="shared" si="6"/>
        <v>201701</v>
      </c>
      <c r="S29" s="21">
        <f t="shared" ca="1" si="7"/>
        <v>0.90928635413556269</v>
      </c>
    </row>
    <row r="30" spans="1:19" x14ac:dyDescent="0.25">
      <c r="A30" s="8">
        <v>2017</v>
      </c>
      <c r="B30" s="8">
        <v>2</v>
      </c>
      <c r="C30" s="8"/>
      <c r="D30" s="8">
        <v>10</v>
      </c>
      <c r="E30" s="12">
        <v>9.0121452621452605</v>
      </c>
      <c r="F30" s="12">
        <v>9.0121452621452605</v>
      </c>
      <c r="G30" s="8"/>
      <c r="H30" s="17" t="str">
        <f t="shared" si="8"/>
        <v>Ortdata!E41</v>
      </c>
      <c r="I30" s="8">
        <f t="shared" ca="1" si="0"/>
        <v>0.69</v>
      </c>
      <c r="J30" s="8" t="str">
        <f t="shared" ref="J30:J40" si="13">"Ortdata!"&amp;ADDRESS(ROW(G31)-28,$G$1,4)</f>
        <v>Ortdata!C3</v>
      </c>
      <c r="K30" s="17">
        <f t="shared" ca="1" si="12"/>
        <v>-0.622</v>
      </c>
      <c r="L30" s="8">
        <f t="shared" si="3"/>
        <v>2</v>
      </c>
      <c r="M30" s="10">
        <f t="shared" ca="1" si="4"/>
        <v>1.0804414469650523</v>
      </c>
      <c r="N30" s="10">
        <f t="shared" ca="1" si="5"/>
        <v>17.622</v>
      </c>
      <c r="O30" s="10">
        <f t="shared" ca="1" si="10"/>
        <v>1.0804414469650523</v>
      </c>
      <c r="P30" s="8">
        <v>0</v>
      </c>
      <c r="R30" s="23" t="str">
        <f t="shared" si="6"/>
        <v>201702</v>
      </c>
      <c r="S30" s="21">
        <f t="shared" ca="1" si="7"/>
        <v>1.0804414469650523</v>
      </c>
    </row>
    <row r="31" spans="1:19" x14ac:dyDescent="0.25">
      <c r="A31" s="8">
        <v>2017</v>
      </c>
      <c r="B31" s="8">
        <v>3</v>
      </c>
      <c r="C31" s="8"/>
      <c r="D31" s="8">
        <v>10</v>
      </c>
      <c r="E31" s="12">
        <v>12.753768126294734</v>
      </c>
      <c r="F31" s="12">
        <v>12.753768126294734</v>
      </c>
      <c r="G31" s="8"/>
      <c r="H31" s="17" t="str">
        <f t="shared" si="8"/>
        <v>Ortdata!E42</v>
      </c>
      <c r="I31" s="8">
        <f t="shared" ca="1" si="0"/>
        <v>3.4710000000000001</v>
      </c>
      <c r="J31" s="8" t="str">
        <f t="shared" si="13"/>
        <v>Ortdata!C4</v>
      </c>
      <c r="K31" s="17">
        <f t="shared" ca="1" si="12"/>
        <v>2.0630000000000002</v>
      </c>
      <c r="L31" s="8">
        <f t="shared" si="3"/>
        <v>3</v>
      </c>
      <c r="M31" s="10">
        <f t="shared" ca="1" si="4"/>
        <v>1.104072732648385</v>
      </c>
      <c r="N31" s="10">
        <f t="shared" ca="1" si="5"/>
        <v>14.936999999999999</v>
      </c>
      <c r="O31" s="10">
        <f t="shared" ca="1" si="10"/>
        <v>1.104072732648385</v>
      </c>
      <c r="P31" s="8">
        <v>0</v>
      </c>
      <c r="R31" s="23" t="str">
        <f t="shared" si="6"/>
        <v>201703</v>
      </c>
      <c r="S31" s="21">
        <f t="shared" ca="1" si="7"/>
        <v>1.104072732648385</v>
      </c>
    </row>
    <row r="32" spans="1:19" x14ac:dyDescent="0.25">
      <c r="A32" s="8">
        <v>2017</v>
      </c>
      <c r="B32" s="8">
        <v>4</v>
      </c>
      <c r="C32" s="8"/>
      <c r="D32" s="8">
        <v>10</v>
      </c>
      <c r="E32" s="12">
        <v>9.2679841897233199</v>
      </c>
      <c r="F32" s="12">
        <v>9.2679841897233199</v>
      </c>
      <c r="G32" s="8"/>
      <c r="H32" s="17" t="str">
        <f t="shared" si="8"/>
        <v>Ortdata!E43</v>
      </c>
      <c r="I32" s="8">
        <f t="shared" ca="1" si="0"/>
        <v>5.6440000000000001</v>
      </c>
      <c r="J32" s="8" t="str">
        <f t="shared" si="13"/>
        <v>Ortdata!C5</v>
      </c>
      <c r="K32" s="17">
        <f t="shared" ca="1" si="12"/>
        <v>6.04</v>
      </c>
      <c r="L32" s="8">
        <f t="shared" si="3"/>
        <v>4</v>
      </c>
      <c r="M32" s="10">
        <f t="shared" ca="1" si="4"/>
        <v>0.96512856639661859</v>
      </c>
      <c r="N32" s="10">
        <f t="shared" ca="1" si="5"/>
        <v>10.96</v>
      </c>
      <c r="O32" s="10">
        <f t="shared" ca="1" si="10"/>
        <v>0.96512856639661859</v>
      </c>
      <c r="P32" s="8">
        <v>0</v>
      </c>
      <c r="R32" s="23" t="str">
        <f t="shared" si="6"/>
        <v>201704</v>
      </c>
      <c r="S32" s="21">
        <f t="shared" ca="1" si="7"/>
        <v>0.96512856639661859</v>
      </c>
    </row>
    <row r="33" spans="1:19" x14ac:dyDescent="0.25">
      <c r="A33" s="8">
        <v>2017</v>
      </c>
      <c r="B33" s="8">
        <v>5</v>
      </c>
      <c r="C33" s="8"/>
      <c r="D33" s="8">
        <v>10</v>
      </c>
      <c r="E33" s="12">
        <v>10.297627404183633</v>
      </c>
      <c r="F33" s="12">
        <v>10.297627404183633</v>
      </c>
      <c r="G33" s="8"/>
      <c r="H33" s="17" t="str">
        <f t="shared" si="8"/>
        <v>Ortdata!E44</v>
      </c>
      <c r="I33" s="8">
        <f t="shared" ca="1" si="0"/>
        <v>11.836</v>
      </c>
      <c r="J33" s="8" t="str">
        <f t="shared" si="13"/>
        <v>Ortdata!C6</v>
      </c>
      <c r="K33" s="17">
        <f t="shared" ca="1" si="12"/>
        <v>10.403</v>
      </c>
      <c r="L33" s="8">
        <f t="shared" si="3"/>
        <v>5</v>
      </c>
      <c r="M33" s="10">
        <f t="shared" ca="1" si="4"/>
        <v>1.2774980635166537</v>
      </c>
      <c r="N33" s="10">
        <f t="shared" ca="1" si="5"/>
        <v>6.5969999999999995</v>
      </c>
      <c r="O33" s="10">
        <f t="shared" ca="1" si="10"/>
        <v>1</v>
      </c>
      <c r="P33" s="8">
        <f ca="1">(SUM(M29:M32)+SUM(M38:M40))/8</f>
        <v>0.89952245887575799</v>
      </c>
      <c r="R33" s="23" t="str">
        <f t="shared" si="6"/>
        <v>201705</v>
      </c>
      <c r="S33" s="21">
        <f t="shared" ca="1" si="7"/>
        <v>1</v>
      </c>
    </row>
    <row r="34" spans="1:19" x14ac:dyDescent="0.25">
      <c r="A34" s="8">
        <v>2017</v>
      </c>
      <c r="B34" s="8">
        <v>6</v>
      </c>
      <c r="C34" s="8"/>
      <c r="D34" s="8">
        <v>10</v>
      </c>
      <c r="E34" s="12">
        <v>8.80590890439065</v>
      </c>
      <c r="F34" s="12">
        <v>10</v>
      </c>
      <c r="G34" s="8"/>
      <c r="H34" s="17" t="str">
        <f t="shared" si="8"/>
        <v>Ortdata!E45</v>
      </c>
      <c r="I34" s="8">
        <f t="shared" ca="1" si="0"/>
        <v>15.266999999999999</v>
      </c>
      <c r="J34" s="8" t="str">
        <f t="shared" si="13"/>
        <v>Ortdata!C7</v>
      </c>
      <c r="K34" s="17">
        <f t="shared" ca="1" si="12"/>
        <v>13.762</v>
      </c>
      <c r="L34" s="8">
        <f t="shared" si="3"/>
        <v>6</v>
      </c>
      <c r="M34" s="10">
        <f t="shared" ca="1" si="4"/>
        <v>1.8684362377380257</v>
      </c>
      <c r="N34" s="10">
        <f t="shared" ca="1" si="5"/>
        <v>3.2379999999999995</v>
      </c>
      <c r="O34" s="10">
        <f t="shared" ca="1" si="10"/>
        <v>1</v>
      </c>
      <c r="P34" s="8">
        <f ca="1">P33</f>
        <v>0.89952245887575799</v>
      </c>
      <c r="R34" s="23" t="str">
        <f t="shared" si="6"/>
        <v>201706</v>
      </c>
      <c r="S34" s="21">
        <f t="shared" ca="1" si="7"/>
        <v>1</v>
      </c>
    </row>
    <row r="35" spans="1:19" x14ac:dyDescent="0.25">
      <c r="A35" s="8">
        <v>2017</v>
      </c>
      <c r="B35" s="8">
        <v>7</v>
      </c>
      <c r="C35" s="8"/>
      <c r="D35" s="8">
        <v>10</v>
      </c>
      <c r="E35" s="12">
        <v>-23.897435897435855</v>
      </c>
      <c r="F35" s="12">
        <v>10</v>
      </c>
      <c r="G35" s="8"/>
      <c r="H35" s="17" t="str">
        <f t="shared" si="8"/>
        <v>Ortdata!E46</v>
      </c>
      <c r="I35" s="8">
        <f t="shared" ca="1" si="0"/>
        <v>16.263999999999999</v>
      </c>
      <c r="J35" s="8" t="str">
        <f t="shared" si="13"/>
        <v>Ortdata!C8</v>
      </c>
      <c r="K35" s="17">
        <f t="shared" ca="1" si="12"/>
        <v>17.084</v>
      </c>
      <c r="L35" s="8">
        <f t="shared" si="3"/>
        <v>7</v>
      </c>
      <c r="M35" s="10">
        <f t="shared" ca="1" si="4"/>
        <v>-0.11413043478260809</v>
      </c>
      <c r="N35" s="10">
        <f t="shared" ca="1" si="5"/>
        <v>-8.3999999999999631E-2</v>
      </c>
      <c r="O35" s="10">
        <f t="shared" ca="1" si="10"/>
        <v>1</v>
      </c>
      <c r="P35" s="8">
        <f ca="1">P34</f>
        <v>0.89952245887575799</v>
      </c>
      <c r="R35" s="23" t="str">
        <f t="shared" si="6"/>
        <v>201707</v>
      </c>
      <c r="S35" s="21">
        <f t="shared" ca="1" si="7"/>
        <v>1</v>
      </c>
    </row>
    <row r="36" spans="1:19" x14ac:dyDescent="0.25">
      <c r="A36" s="8">
        <v>2017</v>
      </c>
      <c r="B36" s="8">
        <v>8</v>
      </c>
      <c r="C36" s="8"/>
      <c r="D36" s="8">
        <v>10</v>
      </c>
      <c r="E36" s="12">
        <v>7.5734024179619972</v>
      </c>
      <c r="F36" s="12">
        <v>10</v>
      </c>
      <c r="G36" s="8"/>
      <c r="H36" s="17" t="str">
        <f t="shared" si="8"/>
        <v>Ortdata!E47</v>
      </c>
      <c r="I36" s="8">
        <f t="shared" ca="1" si="0"/>
        <v>15.565</v>
      </c>
      <c r="J36" s="8" t="str">
        <f t="shared" si="13"/>
        <v>Ortdata!C9</v>
      </c>
      <c r="K36" s="17">
        <f t="shared" ca="1" si="12"/>
        <v>16.867000000000001</v>
      </c>
      <c r="L36" s="8">
        <f t="shared" si="3"/>
        <v>8</v>
      </c>
      <c r="M36" s="10">
        <f t="shared" ca="1" si="4"/>
        <v>9.2682926829267653E-2</v>
      </c>
      <c r="N36" s="10">
        <f t="shared" ca="1" si="5"/>
        <v>0.13299999999999912</v>
      </c>
      <c r="O36" s="10">
        <f t="shared" ca="1" si="10"/>
        <v>1</v>
      </c>
      <c r="P36" s="8">
        <f ca="1">P35</f>
        <v>0.89952245887575799</v>
      </c>
      <c r="R36" s="23" t="str">
        <f t="shared" si="6"/>
        <v>201708</v>
      </c>
      <c r="S36" s="21">
        <f t="shared" ca="1" si="7"/>
        <v>1</v>
      </c>
    </row>
    <row r="37" spans="1:19" x14ac:dyDescent="0.25">
      <c r="A37" s="8">
        <v>2017</v>
      </c>
      <c r="B37" s="8">
        <v>9</v>
      </c>
      <c r="C37" s="8"/>
      <c r="D37" s="8">
        <v>10</v>
      </c>
      <c r="E37" s="12">
        <v>12.808219178082194</v>
      </c>
      <c r="F37" s="12">
        <v>12.808219178082194</v>
      </c>
      <c r="G37" s="8"/>
      <c r="H37" s="17" t="str">
        <f t="shared" si="8"/>
        <v>Ortdata!E48</v>
      </c>
      <c r="I37" s="8">
        <f t="shared" ca="1" si="0"/>
        <v>12.608000000000001</v>
      </c>
      <c r="J37" s="8" t="str">
        <f t="shared" si="13"/>
        <v>Ortdata!C10</v>
      </c>
      <c r="K37" s="17">
        <f t="shared" ca="1" si="12"/>
        <v>11.388</v>
      </c>
      <c r="L37" s="8">
        <f t="shared" si="3"/>
        <v>9</v>
      </c>
      <c r="M37" s="10">
        <f t="shared" ca="1" si="4"/>
        <v>1.2777777777777779</v>
      </c>
      <c r="N37" s="10">
        <f t="shared" ca="1" si="5"/>
        <v>5.6120000000000001</v>
      </c>
      <c r="O37" s="10">
        <f t="shared" ca="1" si="10"/>
        <v>1</v>
      </c>
      <c r="P37" s="8">
        <f ca="1">P36</f>
        <v>0.89952245887575799</v>
      </c>
      <c r="R37" s="23" t="str">
        <f t="shared" si="6"/>
        <v>201709</v>
      </c>
      <c r="S37" s="21">
        <f t="shared" ca="1" si="7"/>
        <v>1</v>
      </c>
    </row>
    <row r="38" spans="1:19" x14ac:dyDescent="0.25">
      <c r="A38" s="8">
        <v>2017</v>
      </c>
      <c r="B38" s="8">
        <v>10</v>
      </c>
      <c r="C38" s="8"/>
      <c r="D38" s="8">
        <v>10</v>
      </c>
      <c r="E38" s="12">
        <v>10.381500176077003</v>
      </c>
      <c r="F38" s="12">
        <v>10.381500176077003</v>
      </c>
      <c r="G38" s="8"/>
      <c r="H38" s="17" t="str">
        <f t="shared" si="8"/>
        <v>Ortdata!E49</v>
      </c>
      <c r="I38" s="8">
        <f t="shared" ca="1" si="0"/>
        <v>8.8979999999999997</v>
      </c>
      <c r="J38" s="8" t="str">
        <f t="shared" si="13"/>
        <v>Ortdata!C11</v>
      </c>
      <c r="K38" s="17">
        <f t="shared" ca="1" si="12"/>
        <v>7.835</v>
      </c>
      <c r="L38" s="8">
        <f t="shared" si="3"/>
        <v>10</v>
      </c>
      <c r="M38" s="10">
        <f t="shared" ca="1" si="4"/>
        <v>1.1312021723031349</v>
      </c>
      <c r="N38" s="10">
        <f t="shared" ca="1" si="5"/>
        <v>9.1649999999999991</v>
      </c>
      <c r="O38" s="10">
        <f t="shared" ca="1" si="10"/>
        <v>1.1312021723031349</v>
      </c>
      <c r="P38" s="8">
        <v>0</v>
      </c>
      <c r="R38" s="23" t="str">
        <f t="shared" si="6"/>
        <v>201710</v>
      </c>
      <c r="S38" s="21">
        <f t="shared" ca="1" si="7"/>
        <v>1.1312021723031349</v>
      </c>
    </row>
    <row r="39" spans="1:19" x14ac:dyDescent="0.25">
      <c r="A39" s="8">
        <v>2017</v>
      </c>
      <c r="B39" s="8">
        <v>11</v>
      </c>
      <c r="C39" s="8"/>
      <c r="D39" s="8">
        <v>10</v>
      </c>
      <c r="E39" s="12">
        <v>10.108450067781291</v>
      </c>
      <c r="F39" s="12">
        <v>10.108450067781291</v>
      </c>
      <c r="G39" s="8"/>
      <c r="H39" s="17" t="str">
        <f t="shared" si="8"/>
        <v>Ortdata!E50</v>
      </c>
      <c r="I39" s="8">
        <f t="shared" ca="1" si="0"/>
        <v>3.5920000000000001</v>
      </c>
      <c r="J39" s="8" t="str">
        <f t="shared" si="13"/>
        <v>Ortdata!C12</v>
      </c>
      <c r="K39" s="17">
        <f t="shared" ca="1" si="12"/>
        <v>3.4350000000000001</v>
      </c>
      <c r="L39" s="8">
        <f t="shared" si="3"/>
        <v>11</v>
      </c>
      <c r="M39" s="10">
        <f t="shared" ca="1" si="4"/>
        <v>1.0117094272076372</v>
      </c>
      <c r="N39" s="10">
        <f t="shared" ca="1" si="5"/>
        <v>13.565</v>
      </c>
      <c r="O39" s="10">
        <f t="shared" ca="1" si="10"/>
        <v>1.0117094272076372</v>
      </c>
      <c r="P39" s="8">
        <v>0</v>
      </c>
      <c r="R39" s="23" t="str">
        <f t="shared" si="6"/>
        <v>201711</v>
      </c>
      <c r="S39" s="21">
        <f t="shared" ca="1" si="7"/>
        <v>1.0117094272076372</v>
      </c>
    </row>
    <row r="40" spans="1:19" x14ac:dyDescent="0.25">
      <c r="A40" s="8">
        <v>2017</v>
      </c>
      <c r="B40" s="8">
        <v>12</v>
      </c>
      <c r="C40" s="8"/>
      <c r="D40" s="8">
        <v>10</v>
      </c>
      <c r="E40" s="12">
        <v>11.629187700780175</v>
      </c>
      <c r="F40" s="12">
        <v>11.629187700780175</v>
      </c>
      <c r="G40" s="8"/>
      <c r="H40" s="17" t="str">
        <f t="shared" si="8"/>
        <v>Ortdata!E51</v>
      </c>
      <c r="I40" s="8">
        <f t="shared" ca="1" si="0"/>
        <v>2.5150000000000001</v>
      </c>
      <c r="J40" s="8" t="str">
        <f t="shared" si="13"/>
        <v>Ortdata!C13</v>
      </c>
      <c r="K40" s="17">
        <f t="shared" ca="1" si="12"/>
        <v>2.597</v>
      </c>
      <c r="L40" s="8">
        <f t="shared" si="3"/>
        <v>12</v>
      </c>
      <c r="M40" s="10">
        <f t="shared" ca="1" si="4"/>
        <v>0.9943389713496722</v>
      </c>
      <c r="N40" s="10">
        <f t="shared" ca="1" si="5"/>
        <v>14.403</v>
      </c>
      <c r="O40" s="10">
        <f t="shared" ca="1" si="10"/>
        <v>0.9943389713496722</v>
      </c>
      <c r="P40" s="8">
        <v>0</v>
      </c>
      <c r="R40" s="23" t="str">
        <f t="shared" si="6"/>
        <v>201712</v>
      </c>
      <c r="S40" s="21">
        <f t="shared" ca="1" si="7"/>
        <v>0.9943389713496722</v>
      </c>
    </row>
    <row r="41" spans="1:19" x14ac:dyDescent="0.25">
      <c r="A41" s="8">
        <v>2018</v>
      </c>
      <c r="B41" s="8">
        <v>1</v>
      </c>
      <c r="C41" s="8"/>
      <c r="D41" s="8">
        <v>10</v>
      </c>
      <c r="E41" s="12">
        <v>10.567549787692126</v>
      </c>
      <c r="F41" s="12">
        <v>10.567549787692126</v>
      </c>
      <c r="G41" s="8"/>
      <c r="H41" s="17" t="str">
        <f t="shared" si="8"/>
        <v>Ortdata!E52</v>
      </c>
      <c r="I41" s="8">
        <f t="shared" ca="1" si="0"/>
        <v>1.1539999999999999</v>
      </c>
      <c r="J41" s="8" t="str">
        <f>"Ortdata!"&amp;ADDRESS(ROW(G42)-40,$G$1,4)</f>
        <v>Ortdata!C2</v>
      </c>
      <c r="K41" s="17">
        <f t="shared" ca="1" si="12"/>
        <v>1.774</v>
      </c>
      <c r="L41" s="8">
        <f t="shared" si="3"/>
        <v>1</v>
      </c>
      <c r="M41" s="10">
        <f t="shared" ca="1" si="4"/>
        <v>0.96087340653792752</v>
      </c>
      <c r="N41" s="10">
        <f t="shared" ca="1" si="5"/>
        <v>15.225999999999999</v>
      </c>
      <c r="O41" s="10">
        <f t="shared" ca="1" si="10"/>
        <v>0.96087340653792752</v>
      </c>
      <c r="P41" s="8">
        <v>0</v>
      </c>
      <c r="R41" s="23" t="str">
        <f t="shared" si="6"/>
        <v>201801</v>
      </c>
      <c r="S41" s="21">
        <f t="shared" ca="1" si="7"/>
        <v>0.96087340653792752</v>
      </c>
    </row>
    <row r="42" spans="1:19" x14ac:dyDescent="0.25">
      <c r="A42" s="8">
        <v>2018</v>
      </c>
      <c r="B42" s="8">
        <v>2</v>
      </c>
      <c r="C42" s="8"/>
      <c r="D42" s="8">
        <v>10</v>
      </c>
      <c r="E42" s="12">
        <v>7.3801083210241272</v>
      </c>
      <c r="F42" s="12">
        <v>7.3801083210241272</v>
      </c>
      <c r="G42" s="8"/>
      <c r="H42" s="17" t="str">
        <f t="shared" si="8"/>
        <v>Ortdata!E53</v>
      </c>
      <c r="I42" s="8">
        <f t="shared" ca="1" si="0"/>
        <v>-2.5840000000000001</v>
      </c>
      <c r="J42" s="8" t="str">
        <f t="shared" ref="J42:J52" si="14">"Ortdata!"&amp;ADDRESS(ROW(G43)-40,$G$1,4)</f>
        <v>Ortdata!C3</v>
      </c>
      <c r="K42" s="17">
        <f t="shared" ca="1" si="12"/>
        <v>-0.622</v>
      </c>
      <c r="L42" s="8">
        <f t="shared" si="3"/>
        <v>2</v>
      </c>
      <c r="M42" s="10">
        <f t="shared" ca="1" si="4"/>
        <v>0.8998161764705882</v>
      </c>
      <c r="N42" s="10">
        <f t="shared" ca="1" si="5"/>
        <v>17.622</v>
      </c>
      <c r="O42" s="10">
        <f t="shared" ca="1" si="10"/>
        <v>0.8998161764705882</v>
      </c>
      <c r="P42" s="8">
        <v>0</v>
      </c>
      <c r="R42" s="23" t="str">
        <f t="shared" si="6"/>
        <v>201802</v>
      </c>
      <c r="S42" s="21">
        <f t="shared" ca="1" si="7"/>
        <v>0.8998161764705882</v>
      </c>
    </row>
    <row r="43" spans="1:19" x14ac:dyDescent="0.25">
      <c r="A43" s="8">
        <v>2018</v>
      </c>
      <c r="B43" s="8">
        <v>3</v>
      </c>
      <c r="C43" s="8"/>
      <c r="D43" s="8">
        <v>10</v>
      </c>
      <c r="E43" s="12">
        <v>9.5875845773815911</v>
      </c>
      <c r="F43" s="12">
        <v>9.5875845773815911</v>
      </c>
      <c r="G43" s="8"/>
      <c r="H43" s="17" t="str">
        <f t="shared" si="8"/>
        <v>Ortdata!E54</v>
      </c>
      <c r="I43" s="8">
        <f t="shared" ca="1" si="0"/>
        <v>-1.415</v>
      </c>
      <c r="J43" s="8" t="str">
        <f t="shared" si="14"/>
        <v>Ortdata!C4</v>
      </c>
      <c r="K43" s="17">
        <f t="shared" ca="1" si="12"/>
        <v>2.0630000000000002</v>
      </c>
      <c r="L43" s="8">
        <f t="shared" si="3"/>
        <v>3</v>
      </c>
      <c r="M43" s="10">
        <f t="shared" ca="1" si="4"/>
        <v>0.81113222916101002</v>
      </c>
      <c r="N43" s="10">
        <f t="shared" ca="1" si="5"/>
        <v>14.936999999999999</v>
      </c>
      <c r="O43" s="10">
        <f t="shared" ca="1" si="10"/>
        <v>0.81113222916101002</v>
      </c>
      <c r="P43" s="8">
        <v>0</v>
      </c>
      <c r="R43" s="23" t="str">
        <f t="shared" si="6"/>
        <v>201803</v>
      </c>
      <c r="S43" s="21">
        <f t="shared" ca="1" si="7"/>
        <v>0.81113222916101002</v>
      </c>
    </row>
    <row r="44" spans="1:19" x14ac:dyDescent="0.25">
      <c r="A44" s="8">
        <v>2018</v>
      </c>
      <c r="B44" s="8">
        <v>4</v>
      </c>
      <c r="C44" s="8"/>
      <c r="D44" s="8">
        <v>10</v>
      </c>
      <c r="E44" s="12">
        <v>10.701962574167048</v>
      </c>
      <c r="F44" s="12">
        <v>10.701962574167048</v>
      </c>
      <c r="G44" s="8"/>
      <c r="H44" s="17" t="str">
        <f t="shared" si="8"/>
        <v>Ortdata!E55</v>
      </c>
      <c r="I44" s="8">
        <f t="shared" ca="1" si="0"/>
        <v>7.21</v>
      </c>
      <c r="J44" s="8" t="str">
        <f t="shared" si="14"/>
        <v>Ortdata!C5</v>
      </c>
      <c r="K44" s="17">
        <f t="shared" ca="1" si="12"/>
        <v>6.04</v>
      </c>
      <c r="L44" s="8">
        <f t="shared" si="3"/>
        <v>4</v>
      </c>
      <c r="M44" s="10">
        <f t="shared" ca="1" si="4"/>
        <v>1.1195097037793669</v>
      </c>
      <c r="N44" s="10">
        <f t="shared" ca="1" si="5"/>
        <v>10.96</v>
      </c>
      <c r="O44" s="10">
        <f t="shared" ca="1" si="10"/>
        <v>1.1195097037793669</v>
      </c>
      <c r="P44" s="8">
        <v>0</v>
      </c>
      <c r="R44" s="23" t="str">
        <f t="shared" si="6"/>
        <v>201804</v>
      </c>
      <c r="S44" s="21">
        <f t="shared" ca="1" si="7"/>
        <v>1.1195097037793669</v>
      </c>
    </row>
    <row r="45" spans="1:19" x14ac:dyDescent="0.25">
      <c r="A45" s="8">
        <v>2018</v>
      </c>
      <c r="B45" s="8">
        <v>5</v>
      </c>
      <c r="C45" s="8"/>
      <c r="D45" s="8">
        <v>10</v>
      </c>
      <c r="E45" s="12">
        <v>19.991823385118561</v>
      </c>
      <c r="F45" s="12">
        <v>19.991823385118561</v>
      </c>
      <c r="G45" s="8"/>
      <c r="H45" s="17" t="str">
        <f t="shared" si="8"/>
        <v>Ortdata!E56</v>
      </c>
      <c r="I45" s="8">
        <f t="shared" ca="1" si="0"/>
        <v>16.036000000000001</v>
      </c>
      <c r="J45" s="8" t="str">
        <f t="shared" si="14"/>
        <v>Ortdata!C6</v>
      </c>
      <c r="K45" s="17">
        <f t="shared" ca="1" si="12"/>
        <v>10.403</v>
      </c>
      <c r="L45" s="8">
        <f t="shared" si="3"/>
        <v>5</v>
      </c>
      <c r="M45" s="10">
        <f t="shared" ca="1" si="4"/>
        <v>6.8433609958506318</v>
      </c>
      <c r="N45" s="10">
        <f t="shared" ca="1" si="5"/>
        <v>6.5969999999999995</v>
      </c>
      <c r="O45" s="10">
        <f t="shared" ca="1" si="10"/>
        <v>1</v>
      </c>
      <c r="P45" s="8">
        <f ca="1">(SUM(M41:M44)+SUM(M50:M52))/8</f>
        <v>0.87312433323790428</v>
      </c>
      <c r="R45" s="23" t="str">
        <f t="shared" si="6"/>
        <v>201805</v>
      </c>
      <c r="S45" s="21">
        <f t="shared" ca="1" si="7"/>
        <v>1</v>
      </c>
    </row>
    <row r="46" spans="1:19" x14ac:dyDescent="0.25">
      <c r="A46" s="8">
        <v>2018</v>
      </c>
      <c r="B46" s="8">
        <v>6</v>
      </c>
      <c r="C46" s="8"/>
      <c r="D46" s="8">
        <v>10</v>
      </c>
      <c r="E46" s="12">
        <v>31.982116244411365</v>
      </c>
      <c r="F46" s="12">
        <v>10</v>
      </c>
      <c r="G46" s="8"/>
      <c r="H46" s="17" t="str">
        <f t="shared" si="8"/>
        <v>Ortdata!E57</v>
      </c>
      <c r="I46" s="8">
        <f t="shared" ca="1" si="0"/>
        <v>16.960999999999999</v>
      </c>
      <c r="J46" s="8" t="str">
        <f t="shared" si="14"/>
        <v>Ortdata!C7</v>
      </c>
      <c r="K46" s="17">
        <f t="shared" ca="1" si="12"/>
        <v>13.762</v>
      </c>
      <c r="L46" s="8">
        <f t="shared" si="3"/>
        <v>6</v>
      </c>
      <c r="M46" s="10">
        <f t="shared" ca="1" si="4"/>
        <v>83.025641025637867</v>
      </c>
      <c r="N46" s="10">
        <f t="shared" ca="1" si="5"/>
        <v>3.2379999999999995</v>
      </c>
      <c r="O46" s="10">
        <f t="shared" ca="1" si="10"/>
        <v>1</v>
      </c>
      <c r="P46" s="8">
        <f ca="1">P45</f>
        <v>0.87312433323790428</v>
      </c>
      <c r="R46" s="23" t="str">
        <f t="shared" si="6"/>
        <v>201806</v>
      </c>
      <c r="S46" s="21">
        <f t="shared" ca="1" si="7"/>
        <v>1</v>
      </c>
    </row>
    <row r="47" spans="1:19" x14ac:dyDescent="0.25">
      <c r="A47" s="8">
        <v>2018</v>
      </c>
      <c r="B47" s="8">
        <v>7</v>
      </c>
      <c r="C47" s="8"/>
      <c r="D47" s="8">
        <v>10</v>
      </c>
      <c r="E47" s="12">
        <v>3.7989130434782603</v>
      </c>
      <c r="F47" s="12">
        <v>10</v>
      </c>
      <c r="G47" s="8"/>
      <c r="H47" s="17" t="str">
        <f t="shared" si="8"/>
        <v>Ortdata!E58</v>
      </c>
      <c r="I47" s="8">
        <f t="shared" ca="1" si="0"/>
        <v>20.13</v>
      </c>
      <c r="J47" s="8" t="str">
        <f t="shared" si="14"/>
        <v>Ortdata!C8</v>
      </c>
      <c r="K47" s="17">
        <f t="shared" ca="1" si="12"/>
        <v>17.084</v>
      </c>
      <c r="L47" s="8">
        <f t="shared" si="3"/>
        <v>7</v>
      </c>
      <c r="M47" s="10">
        <f t="shared" ca="1" si="4"/>
        <v>2.6837060702875289E-2</v>
      </c>
      <c r="N47" s="10">
        <f t="shared" ca="1" si="5"/>
        <v>-8.3999999999999631E-2</v>
      </c>
      <c r="O47" s="10">
        <f t="shared" ca="1" si="10"/>
        <v>1</v>
      </c>
      <c r="P47" s="8">
        <f ca="1">P46</f>
        <v>0.87312433323790428</v>
      </c>
      <c r="R47" s="23" t="str">
        <f t="shared" si="6"/>
        <v>201807</v>
      </c>
      <c r="S47" s="21">
        <f t="shared" ca="1" si="7"/>
        <v>1</v>
      </c>
    </row>
    <row r="48" spans="1:19" x14ac:dyDescent="0.25">
      <c r="A48" s="8">
        <v>2018</v>
      </c>
      <c r="B48" s="8">
        <v>8</v>
      </c>
      <c r="C48" s="8"/>
      <c r="D48" s="8">
        <v>10</v>
      </c>
      <c r="E48" s="12">
        <v>-7.6327241079199144</v>
      </c>
      <c r="F48" s="12">
        <v>10</v>
      </c>
      <c r="G48" s="8"/>
      <c r="H48" s="17" t="str">
        <f t="shared" si="8"/>
        <v>Ortdata!E59</v>
      </c>
      <c r="I48" s="8">
        <f t="shared" ca="1" si="0"/>
        <v>16.891999999999999</v>
      </c>
      <c r="J48" s="8" t="str">
        <f t="shared" si="14"/>
        <v>Ortdata!C9</v>
      </c>
      <c r="K48" s="17">
        <f t="shared" ca="1" si="12"/>
        <v>16.867000000000001</v>
      </c>
      <c r="L48" s="8">
        <f t="shared" si="3"/>
        <v>8</v>
      </c>
      <c r="M48" s="10">
        <f t="shared" ca="1" si="4"/>
        <v>1.2314814814814672</v>
      </c>
      <c r="N48" s="10">
        <f t="shared" ca="1" si="5"/>
        <v>0.13299999999999912</v>
      </c>
      <c r="O48" s="10">
        <f t="shared" ca="1" si="10"/>
        <v>1</v>
      </c>
      <c r="P48" s="8">
        <f ca="1">P47</f>
        <v>0.87312433323790428</v>
      </c>
      <c r="R48" s="23" t="str">
        <f t="shared" si="6"/>
        <v>201808</v>
      </c>
      <c r="S48" s="21">
        <f t="shared" ca="1" si="7"/>
        <v>1</v>
      </c>
    </row>
    <row r="49" spans="1:19" x14ac:dyDescent="0.25">
      <c r="A49" s="8">
        <v>2018</v>
      </c>
      <c r="B49" s="8">
        <v>9</v>
      </c>
      <c r="C49" s="8"/>
      <c r="D49" s="8">
        <v>10</v>
      </c>
      <c r="E49" s="12">
        <v>13.554502369668249</v>
      </c>
      <c r="F49" s="12">
        <v>13.554502369668249</v>
      </c>
      <c r="G49" s="8"/>
      <c r="H49" s="17" t="str">
        <f t="shared" si="8"/>
        <v>Ortdata!E60</v>
      </c>
      <c r="I49" s="8">
        <f t="shared" ca="1" si="0"/>
        <v>13.409000000000001</v>
      </c>
      <c r="J49" s="8" t="str">
        <f t="shared" si="14"/>
        <v>Ortdata!C10</v>
      </c>
      <c r="K49" s="17">
        <f t="shared" ca="1" si="12"/>
        <v>11.388</v>
      </c>
      <c r="L49" s="8">
        <f t="shared" si="3"/>
        <v>9</v>
      </c>
      <c r="M49" s="10">
        <f t="shared" ca="1" si="4"/>
        <v>1.5627958785853526</v>
      </c>
      <c r="N49" s="10">
        <f t="shared" ca="1" si="5"/>
        <v>5.6120000000000001</v>
      </c>
      <c r="O49" s="10">
        <f t="shared" ca="1" si="10"/>
        <v>1</v>
      </c>
      <c r="P49" s="8">
        <f ca="1">P48</f>
        <v>0.87312433323790428</v>
      </c>
      <c r="R49" s="23" t="str">
        <f t="shared" si="6"/>
        <v>201809</v>
      </c>
      <c r="S49" s="21">
        <f t="shared" ca="1" si="7"/>
        <v>1</v>
      </c>
    </row>
    <row r="50" spans="1:19" x14ac:dyDescent="0.25">
      <c r="A50" s="8">
        <v>2018</v>
      </c>
      <c r="B50" s="8">
        <v>10</v>
      </c>
      <c r="C50" s="8"/>
      <c r="D50" s="8">
        <v>10</v>
      </c>
      <c r="E50" s="12">
        <v>9.3696366140480976</v>
      </c>
      <c r="F50" s="12">
        <v>9.3696366140480976</v>
      </c>
      <c r="G50" s="8"/>
      <c r="H50" s="17" t="str">
        <f t="shared" si="8"/>
        <v>Ortdata!E61</v>
      </c>
      <c r="I50" s="8">
        <f t="shared" ca="1" si="0"/>
        <v>8.9139999999999997</v>
      </c>
      <c r="J50" s="8" t="str">
        <f t="shared" si="14"/>
        <v>Ortdata!C11</v>
      </c>
      <c r="K50" s="17">
        <f t="shared" ca="1" si="12"/>
        <v>7.835</v>
      </c>
      <c r="L50" s="8">
        <f t="shared" si="3"/>
        <v>10</v>
      </c>
      <c r="M50" s="10">
        <f t="shared" ca="1" si="4"/>
        <v>1.1334405144694533</v>
      </c>
      <c r="N50" s="10">
        <f t="shared" ca="1" si="5"/>
        <v>9.1649999999999991</v>
      </c>
      <c r="O50" s="10">
        <f t="shared" ca="1" si="10"/>
        <v>1.1334405144694533</v>
      </c>
      <c r="P50" s="8">
        <v>0</v>
      </c>
      <c r="R50" s="23" t="str">
        <f t="shared" si="6"/>
        <v>201810</v>
      </c>
      <c r="S50" s="21">
        <f t="shared" ca="1" si="7"/>
        <v>1.1334405144694533</v>
      </c>
    </row>
    <row r="51" spans="1:19" x14ac:dyDescent="0.25">
      <c r="A51" s="8">
        <v>2018</v>
      </c>
      <c r="B51" s="8">
        <v>11</v>
      </c>
      <c r="C51" s="8"/>
      <c r="D51" s="8">
        <v>10</v>
      </c>
      <c r="E51" s="12">
        <v>10.410300162879082</v>
      </c>
      <c r="F51" s="12">
        <v>10.410300162879082</v>
      </c>
      <c r="G51" s="8"/>
      <c r="H51" s="17" t="str">
        <f t="shared" si="8"/>
        <v>Ortdata!E62</v>
      </c>
      <c r="I51" s="8">
        <f t="shared" ca="1" si="0"/>
        <v>4.6669999999999998</v>
      </c>
      <c r="J51" s="8" t="str">
        <f t="shared" si="14"/>
        <v>Ortdata!C12</v>
      </c>
      <c r="K51" s="17">
        <f t="shared" ca="1" si="12"/>
        <v>3.4350000000000001</v>
      </c>
      <c r="L51" s="8">
        <f t="shared" si="3"/>
        <v>11</v>
      </c>
      <c r="M51" s="10">
        <f t="shared" ca="1" si="4"/>
        <v>1.0998945917457228</v>
      </c>
      <c r="N51" s="10">
        <f t="shared" ca="1" si="5"/>
        <v>13.565</v>
      </c>
      <c r="O51" s="10">
        <f t="shared" ca="1" si="10"/>
        <v>1.0998945917457228</v>
      </c>
      <c r="P51" s="8">
        <v>0</v>
      </c>
      <c r="R51" s="23" t="str">
        <f t="shared" si="6"/>
        <v>201811</v>
      </c>
      <c r="S51" s="21">
        <f t="shared" ca="1" si="7"/>
        <v>1.0998945917457228</v>
      </c>
    </row>
    <row r="52" spans="1:19" x14ac:dyDescent="0.25">
      <c r="A52" s="8">
        <v>2018</v>
      </c>
      <c r="B52" s="8">
        <v>12</v>
      </c>
      <c r="C52" s="8"/>
      <c r="D52" s="8">
        <v>10</v>
      </c>
      <c r="E52" s="12">
        <v>11.096653112292774</v>
      </c>
      <c r="F52" s="12">
        <v>11.096653112292774</v>
      </c>
      <c r="G52" s="8"/>
      <c r="H52" s="17" t="str">
        <f t="shared" si="8"/>
        <v>Ortdata!E63</v>
      </c>
      <c r="I52" s="8">
        <f t="shared" ca="1" si="0"/>
        <v>2.0019999999999998</v>
      </c>
      <c r="J52" s="8" t="str">
        <f t="shared" si="14"/>
        <v>Ortdata!C13</v>
      </c>
      <c r="K52" s="17">
        <f t="shared" ca="1" si="12"/>
        <v>2.597</v>
      </c>
      <c r="L52" s="8">
        <f t="shared" si="3"/>
        <v>12</v>
      </c>
      <c r="M52" s="10">
        <f t="shared" ca="1" si="4"/>
        <v>0.96032804373916514</v>
      </c>
      <c r="N52" s="10">
        <f t="shared" ca="1" si="5"/>
        <v>14.403</v>
      </c>
      <c r="O52" s="10">
        <f t="shared" ca="1" si="10"/>
        <v>0.96032804373916514</v>
      </c>
      <c r="P52" s="8">
        <v>0</v>
      </c>
      <c r="R52" s="23" t="str">
        <f t="shared" si="6"/>
        <v>201812</v>
      </c>
      <c r="S52" s="21">
        <f t="shared" ca="1" si="7"/>
        <v>0.96032804373916514</v>
      </c>
    </row>
    <row r="53" spans="1:19" x14ac:dyDescent="0.25">
      <c r="A53" s="8">
        <v>2019</v>
      </c>
      <c r="B53" s="8">
        <v>1</v>
      </c>
      <c r="C53" s="8"/>
      <c r="D53" s="8">
        <v>10</v>
      </c>
      <c r="E53" s="12">
        <v>9.474530831099198</v>
      </c>
      <c r="F53" s="12">
        <v>9.474530831099198</v>
      </c>
      <c r="G53" s="8"/>
      <c r="H53" s="17" t="str">
        <f t="shared" si="8"/>
        <v>Ortdata!E64</v>
      </c>
      <c r="I53" s="8">
        <f t="shared" ca="1" si="0"/>
        <v>-0.84599999999999997</v>
      </c>
      <c r="J53" s="8" t="str">
        <f>"Ortdata!"&amp;ADDRESS(ROW(G54)-52,$G$1,4)</f>
        <v>Ortdata!C2</v>
      </c>
      <c r="K53" s="17">
        <f t="shared" ca="1" si="12"/>
        <v>1.774</v>
      </c>
      <c r="L53" s="8">
        <f t="shared" si="3"/>
        <v>1</v>
      </c>
      <c r="M53" s="10">
        <f t="shared" ca="1" si="4"/>
        <v>0.85318838955508236</v>
      </c>
      <c r="N53" s="10">
        <f t="shared" ca="1" si="5"/>
        <v>15.225999999999999</v>
      </c>
      <c r="O53" s="10">
        <f t="shared" ca="1" si="10"/>
        <v>0.85318838955508236</v>
      </c>
      <c r="P53" s="8">
        <v>0</v>
      </c>
      <c r="R53" s="23" t="str">
        <f t="shared" si="6"/>
        <v>201901</v>
      </c>
      <c r="S53" s="21">
        <f t="shared" ca="1" si="7"/>
        <v>0.85318838955508236</v>
      </c>
    </row>
    <row r="54" spans="1:19" x14ac:dyDescent="0.25">
      <c r="A54" s="8">
        <v>2019</v>
      </c>
      <c r="B54" s="8">
        <v>2</v>
      </c>
      <c r="C54" s="8"/>
      <c r="D54" s="8">
        <v>10</v>
      </c>
      <c r="E54" s="12">
        <v>9.9913344887348359</v>
      </c>
      <c r="F54" s="12">
        <v>9.9913344887348359</v>
      </c>
      <c r="G54" s="8"/>
      <c r="H54" s="17" t="str">
        <f t="shared" si="8"/>
        <v>Ortdata!E65</v>
      </c>
      <c r="I54" s="8">
        <f t="shared" ca="1" si="0"/>
        <v>3.1560000000000001</v>
      </c>
      <c r="J54" s="8" t="str">
        <f t="shared" ref="J54:J64" si="15">"Ortdata!"&amp;ADDRESS(ROW(G55)-52,$G$1,4)</f>
        <v>Ortdata!C3</v>
      </c>
      <c r="K54" s="17">
        <f t="shared" ca="1" si="12"/>
        <v>-0.622</v>
      </c>
      <c r="L54" s="8">
        <f t="shared" si="3"/>
        <v>2</v>
      </c>
      <c r="M54" s="10">
        <f t="shared" ca="1" si="4"/>
        <v>1.2728980063565445</v>
      </c>
      <c r="N54" s="10">
        <f t="shared" ca="1" si="5"/>
        <v>17.622</v>
      </c>
      <c r="O54" s="10">
        <f t="shared" ca="1" si="10"/>
        <v>1.2728980063565445</v>
      </c>
      <c r="P54" s="8">
        <v>0</v>
      </c>
      <c r="R54" s="23" t="str">
        <f t="shared" si="6"/>
        <v>201902</v>
      </c>
      <c r="S54" s="21">
        <f t="shared" ca="1" si="7"/>
        <v>1.2728980063565445</v>
      </c>
    </row>
    <row r="55" spans="1:19" x14ac:dyDescent="0.25">
      <c r="A55" s="8">
        <v>2019</v>
      </c>
      <c r="B55" s="8">
        <v>3</v>
      </c>
      <c r="C55" s="8"/>
      <c r="D55" s="8">
        <v>10</v>
      </c>
      <c r="E55" s="12">
        <v>12.581213445141286</v>
      </c>
      <c r="F55" s="12">
        <v>12.581213445141286</v>
      </c>
      <c r="G55" s="8"/>
      <c r="H55" s="17" t="str">
        <f t="shared" si="8"/>
        <v>Ortdata!E66</v>
      </c>
      <c r="I55" s="8">
        <f t="shared" ca="1" si="0"/>
        <v>3.8980000000000001</v>
      </c>
      <c r="J55" s="8" t="str">
        <f t="shared" si="15"/>
        <v>Ortdata!C4</v>
      </c>
      <c r="K55" s="17">
        <f t="shared" ca="1" si="12"/>
        <v>2.0630000000000002</v>
      </c>
      <c r="L55" s="8">
        <f t="shared" si="3"/>
        <v>3</v>
      </c>
      <c r="M55" s="10">
        <f t="shared" ca="1" si="4"/>
        <v>1.1400549534422224</v>
      </c>
      <c r="N55" s="10">
        <f t="shared" ca="1" si="5"/>
        <v>14.936999999999999</v>
      </c>
      <c r="O55" s="10">
        <f t="shared" ca="1" si="10"/>
        <v>1.1400549534422224</v>
      </c>
      <c r="P55" s="8">
        <v>0</v>
      </c>
      <c r="R55" s="23" t="str">
        <f t="shared" si="6"/>
        <v>201903</v>
      </c>
      <c r="S55" s="21">
        <f t="shared" ca="1" si="7"/>
        <v>1.1400549534422224</v>
      </c>
    </row>
    <row r="56" spans="1:19" x14ac:dyDescent="0.25">
      <c r="A56" s="8">
        <v>2019</v>
      </c>
      <c r="B56" s="8">
        <v>4</v>
      </c>
      <c r="C56" s="8"/>
      <c r="D56" s="8">
        <v>10</v>
      </c>
      <c r="E56" s="12">
        <v>10.354146427625189</v>
      </c>
      <c r="F56" s="12">
        <v>10.354146427625189</v>
      </c>
      <c r="G56" s="8"/>
      <c r="H56" s="17" t="str">
        <f t="shared" si="8"/>
        <v>Ortdata!E67</v>
      </c>
      <c r="I56" s="8">
        <f t="shared" ca="1" si="0"/>
        <v>8.2710000000000008</v>
      </c>
      <c r="J56" s="8" t="str">
        <f t="shared" si="15"/>
        <v>Ortdata!C5</v>
      </c>
      <c r="K56" s="17">
        <f t="shared" ca="1" si="12"/>
        <v>6.04</v>
      </c>
      <c r="L56" s="8">
        <f t="shared" si="3"/>
        <v>4</v>
      </c>
      <c r="M56" s="10">
        <f t="shared" ca="1" si="4"/>
        <v>1.2555848321686336</v>
      </c>
      <c r="N56" s="10">
        <f t="shared" ca="1" si="5"/>
        <v>10.96</v>
      </c>
      <c r="O56" s="10">
        <f t="shared" ca="1" si="10"/>
        <v>1.2555848321686336</v>
      </c>
      <c r="P56" s="8">
        <v>0</v>
      </c>
      <c r="R56" s="23" t="str">
        <f t="shared" si="6"/>
        <v>201904</v>
      </c>
      <c r="S56" s="21">
        <f t="shared" ca="1" si="7"/>
        <v>1.2555848321686336</v>
      </c>
    </row>
    <row r="57" spans="1:19" x14ac:dyDescent="0.25">
      <c r="A57" s="8">
        <v>2019</v>
      </c>
      <c r="B57" s="8">
        <v>5</v>
      </c>
      <c r="C57" s="8"/>
      <c r="D57" s="8">
        <v>10</v>
      </c>
      <c r="E57" s="12">
        <v>9.8377145922746791</v>
      </c>
      <c r="F57" s="12">
        <v>9.8377145922746791</v>
      </c>
      <c r="G57" s="8"/>
      <c r="H57" s="17" t="str">
        <f t="shared" si="8"/>
        <v>Ortdata!E68</v>
      </c>
      <c r="I57" s="8">
        <f t="shared" ca="1" si="0"/>
        <v>10.029999999999999</v>
      </c>
      <c r="J57" s="8" t="str">
        <f t="shared" si="15"/>
        <v>Ortdata!C6</v>
      </c>
      <c r="K57" s="17">
        <f t="shared" ca="1" si="12"/>
        <v>10.403</v>
      </c>
      <c r="L57" s="8">
        <f t="shared" si="3"/>
        <v>5</v>
      </c>
      <c r="M57" s="10">
        <f t="shared" ca="1" si="4"/>
        <v>0.94648493543758949</v>
      </c>
      <c r="N57" s="10">
        <f t="shared" ca="1" si="5"/>
        <v>6.5969999999999995</v>
      </c>
      <c r="O57" s="10">
        <f t="shared" ca="1" si="10"/>
        <v>1</v>
      </c>
      <c r="P57" s="8">
        <f ca="1">(SUM(M53:M56)+SUM(M62:M64))/8</f>
        <v>0.95228784669393951</v>
      </c>
      <c r="R57" s="23" t="str">
        <f t="shared" si="6"/>
        <v>201905</v>
      </c>
      <c r="S57" s="21">
        <f t="shared" ca="1" si="7"/>
        <v>1</v>
      </c>
    </row>
    <row r="58" spans="1:19" x14ac:dyDescent="0.25">
      <c r="A58" s="8">
        <v>2019</v>
      </c>
      <c r="B58" s="8">
        <v>6</v>
      </c>
      <c r="C58" s="8"/>
      <c r="D58" s="8">
        <v>10</v>
      </c>
      <c r="E58" s="12">
        <v>52.727272727272741</v>
      </c>
      <c r="F58" s="12">
        <v>10</v>
      </c>
      <c r="G58" s="8"/>
      <c r="H58" s="17" t="str">
        <f t="shared" si="8"/>
        <v>Ortdata!E69</v>
      </c>
      <c r="I58" s="8">
        <f t="shared" ca="1" si="0"/>
        <v>16.527000000000001</v>
      </c>
      <c r="J58" s="8" t="str">
        <f t="shared" si="15"/>
        <v>Ortdata!C7</v>
      </c>
      <c r="K58" s="17">
        <f t="shared" ca="1" si="12"/>
        <v>13.762</v>
      </c>
      <c r="L58" s="8">
        <f t="shared" si="3"/>
        <v>6</v>
      </c>
      <c r="M58" s="10">
        <f t="shared" ca="1" si="4"/>
        <v>6.8456659619450457</v>
      </c>
      <c r="N58" s="10">
        <f t="shared" ca="1" si="5"/>
        <v>3.2379999999999995</v>
      </c>
      <c r="O58" s="10">
        <f t="shared" ca="1" si="10"/>
        <v>1</v>
      </c>
      <c r="P58" s="8">
        <f ca="1">P57</f>
        <v>0.95228784669393951</v>
      </c>
      <c r="R58" s="23" t="str">
        <f t="shared" si="6"/>
        <v>201906</v>
      </c>
      <c r="S58" s="21">
        <f t="shared" ca="1" si="7"/>
        <v>1</v>
      </c>
    </row>
    <row r="59" spans="1:19" x14ac:dyDescent="0.25">
      <c r="A59" s="8">
        <v>2019</v>
      </c>
      <c r="B59" s="8">
        <v>7</v>
      </c>
      <c r="C59" s="8"/>
      <c r="D59" s="8">
        <v>10</v>
      </c>
      <c r="E59" s="12">
        <v>-36.311688311688158</v>
      </c>
      <c r="F59" s="12">
        <v>10</v>
      </c>
      <c r="G59" s="8"/>
      <c r="H59" s="17" t="str">
        <f t="shared" si="8"/>
        <v>Ortdata!E70</v>
      </c>
      <c r="I59" s="8">
        <f t="shared" ca="1" si="0"/>
        <v>17.475999999999999</v>
      </c>
      <c r="J59" s="8" t="str">
        <f t="shared" si="15"/>
        <v>Ortdata!C8</v>
      </c>
      <c r="K59" s="17">
        <f t="shared" ca="1" si="12"/>
        <v>17.084</v>
      </c>
      <c r="L59" s="8">
        <f t="shared" si="3"/>
        <v>7</v>
      </c>
      <c r="M59" s="10">
        <f t="shared" ca="1" si="4"/>
        <v>0.17647058823529368</v>
      </c>
      <c r="N59" s="10">
        <f t="shared" ca="1" si="5"/>
        <v>-8.3999999999999631E-2</v>
      </c>
      <c r="O59" s="10">
        <f t="shared" ca="1" si="10"/>
        <v>1</v>
      </c>
      <c r="P59" s="8">
        <f ca="1">P58</f>
        <v>0.95228784669393951</v>
      </c>
      <c r="R59" s="23" t="str">
        <f t="shared" si="6"/>
        <v>201907</v>
      </c>
      <c r="S59" s="21">
        <f t="shared" ca="1" si="7"/>
        <v>1</v>
      </c>
    </row>
    <row r="60" spans="1:19" x14ac:dyDescent="0.25">
      <c r="A60" s="8">
        <v>2019</v>
      </c>
      <c r="B60" s="8">
        <v>8</v>
      </c>
      <c r="C60" s="8"/>
      <c r="D60" s="8">
        <v>10</v>
      </c>
      <c r="E60" s="12">
        <v>-20.538641686182665</v>
      </c>
      <c r="F60" s="12">
        <v>10</v>
      </c>
      <c r="G60" s="8"/>
      <c r="H60" s="17" t="str">
        <f t="shared" si="8"/>
        <v>Ortdata!E71</v>
      </c>
      <c r="I60" s="8">
        <f t="shared" ca="1" si="0"/>
        <v>16.777000000000001</v>
      </c>
      <c r="J60" s="8" t="str">
        <f t="shared" si="15"/>
        <v>Ortdata!C9</v>
      </c>
      <c r="K60" s="17">
        <f t="shared" ca="1" si="12"/>
        <v>16.867000000000001</v>
      </c>
      <c r="L60" s="8">
        <f t="shared" si="3"/>
        <v>8</v>
      </c>
      <c r="M60" s="10">
        <f t="shared" ca="1" si="4"/>
        <v>0.59641255605381049</v>
      </c>
      <c r="N60" s="10">
        <f t="shared" ca="1" si="5"/>
        <v>0.13299999999999912</v>
      </c>
      <c r="O60" s="10">
        <f t="shared" ca="1" si="10"/>
        <v>1</v>
      </c>
      <c r="P60" s="8">
        <f ca="1">P59</f>
        <v>0.95228784669393951</v>
      </c>
      <c r="R60" s="23" t="str">
        <f t="shared" si="6"/>
        <v>201908</v>
      </c>
      <c r="S60" s="21">
        <f t="shared" ca="1" si="7"/>
        <v>1</v>
      </c>
    </row>
    <row r="61" spans="1:19" x14ac:dyDescent="0.25">
      <c r="A61" s="8">
        <v>2019</v>
      </c>
      <c r="B61" s="8">
        <v>9</v>
      </c>
      <c r="C61" s="8"/>
      <c r="D61" s="8">
        <v>10</v>
      </c>
      <c r="E61" s="12">
        <v>10.131277349447803</v>
      </c>
      <c r="F61" s="12">
        <v>10.131277349447803</v>
      </c>
      <c r="G61" s="8"/>
      <c r="H61" s="17" t="str">
        <f t="shared" si="8"/>
        <v>Ortdata!E72</v>
      </c>
      <c r="I61" s="8">
        <f t="shared" ca="1" si="0"/>
        <v>12.742000000000001</v>
      </c>
      <c r="J61" s="8" t="str">
        <f t="shared" si="15"/>
        <v>Ortdata!C10</v>
      </c>
      <c r="K61" s="17">
        <f t="shared" ca="1" si="12"/>
        <v>11.388</v>
      </c>
      <c r="L61" s="8">
        <f t="shared" si="3"/>
        <v>9</v>
      </c>
      <c r="M61" s="10">
        <f t="shared" ca="1" si="4"/>
        <v>1.317989666510099</v>
      </c>
      <c r="N61" s="10">
        <f t="shared" ca="1" si="5"/>
        <v>5.6120000000000001</v>
      </c>
      <c r="O61" s="10">
        <f t="shared" ca="1" si="10"/>
        <v>1</v>
      </c>
      <c r="P61" s="8">
        <f ca="1">P60</f>
        <v>0.95228784669393951</v>
      </c>
      <c r="R61" s="23" t="str">
        <f t="shared" si="6"/>
        <v>201909</v>
      </c>
      <c r="S61" s="21">
        <f t="shared" ca="1" si="7"/>
        <v>1</v>
      </c>
    </row>
    <row r="62" spans="1:19" x14ac:dyDescent="0.25">
      <c r="A62" s="8">
        <v>2019</v>
      </c>
      <c r="B62" s="8">
        <v>10</v>
      </c>
      <c r="C62" s="8"/>
      <c r="D62" s="8">
        <v>10</v>
      </c>
      <c r="E62" s="12">
        <v>9.1015745600493982</v>
      </c>
      <c r="F62" s="12">
        <v>9.1015745600493982</v>
      </c>
      <c r="G62" s="8"/>
      <c r="H62" s="17" t="str">
        <f t="shared" si="8"/>
        <v>Ortdata!E73</v>
      </c>
      <c r="I62" s="8">
        <f t="shared" ca="1" si="0"/>
        <v>7.5979999999999999</v>
      </c>
      <c r="J62" s="8" t="str">
        <f t="shared" si="15"/>
        <v>Ortdata!C11</v>
      </c>
      <c r="K62" s="17">
        <f t="shared" ca="1" si="12"/>
        <v>7.835</v>
      </c>
      <c r="L62" s="8">
        <f t="shared" si="3"/>
        <v>10</v>
      </c>
      <c r="M62" s="10">
        <f t="shared" ca="1" si="4"/>
        <v>0.97479259731971901</v>
      </c>
      <c r="N62" s="10">
        <f t="shared" ca="1" si="5"/>
        <v>9.1649999999999991</v>
      </c>
      <c r="O62" s="10">
        <f t="shared" ca="1" si="10"/>
        <v>0.97479259731971901</v>
      </c>
      <c r="P62" s="8">
        <v>0</v>
      </c>
      <c r="R62" s="23" t="str">
        <f t="shared" si="6"/>
        <v>201910</v>
      </c>
      <c r="S62" s="21">
        <f t="shared" ca="1" si="7"/>
        <v>0.97479259731971901</v>
      </c>
    </row>
    <row r="63" spans="1:19" x14ac:dyDescent="0.25">
      <c r="A63" s="8">
        <v>2019</v>
      </c>
      <c r="B63" s="8">
        <v>11</v>
      </c>
      <c r="C63" s="8"/>
      <c r="D63" s="8">
        <v>10</v>
      </c>
      <c r="E63" s="12">
        <v>10.591020279334018</v>
      </c>
      <c r="F63" s="12">
        <v>10.591020279334018</v>
      </c>
      <c r="G63" s="8"/>
      <c r="H63" s="17" t="str">
        <f t="shared" si="8"/>
        <v>Ortdata!E74</v>
      </c>
      <c r="I63" s="8">
        <f t="shared" ca="1" si="0"/>
        <v>4.0549999999999997</v>
      </c>
      <c r="J63" s="8" t="str">
        <f t="shared" si="15"/>
        <v>Ortdata!C12</v>
      </c>
      <c r="K63" s="17">
        <f t="shared" ca="1" si="12"/>
        <v>3.4350000000000001</v>
      </c>
      <c r="L63" s="8">
        <f t="shared" si="3"/>
        <v>11</v>
      </c>
      <c r="M63" s="10">
        <f t="shared" ca="1" si="4"/>
        <v>1.0478949401313247</v>
      </c>
      <c r="N63" s="10">
        <f t="shared" ca="1" si="5"/>
        <v>13.565</v>
      </c>
      <c r="O63" s="10">
        <f t="shared" ca="1" si="10"/>
        <v>1.0478949401313247</v>
      </c>
      <c r="P63" s="8">
        <v>0</v>
      </c>
      <c r="R63" s="23" t="str">
        <f t="shared" si="6"/>
        <v>201911</v>
      </c>
      <c r="S63" s="21">
        <f t="shared" ca="1" si="7"/>
        <v>1.0478949401313247</v>
      </c>
    </row>
    <row r="64" spans="1:19" x14ac:dyDescent="0.25">
      <c r="A64" s="8">
        <v>2019</v>
      </c>
      <c r="B64" s="8">
        <v>12</v>
      </c>
      <c r="C64" s="8"/>
      <c r="D64" s="8">
        <v>10</v>
      </c>
      <c r="E64" s="12">
        <v>12.690849252343135</v>
      </c>
      <c r="F64" s="12">
        <v>12.690849252343135</v>
      </c>
      <c r="G64" s="8"/>
      <c r="H64" s="17" t="str">
        <f t="shared" si="8"/>
        <v>Ortdata!E75</v>
      </c>
      <c r="I64" s="8">
        <f t="shared" ca="1" si="0"/>
        <v>3.5880000000000001</v>
      </c>
      <c r="J64" s="8" t="str">
        <f t="shared" si="15"/>
        <v>Ortdata!C13</v>
      </c>
      <c r="K64" s="17">
        <f t="shared" ca="1" si="12"/>
        <v>2.597</v>
      </c>
      <c r="L64" s="8">
        <f t="shared" si="3"/>
        <v>12</v>
      </c>
      <c r="M64" s="10">
        <f t="shared" ca="1" si="4"/>
        <v>1.07388905457799</v>
      </c>
      <c r="N64" s="10">
        <f t="shared" ca="1" si="5"/>
        <v>14.403</v>
      </c>
      <c r="O64" s="10">
        <f t="shared" ca="1" si="10"/>
        <v>1.07388905457799</v>
      </c>
      <c r="P64" s="8">
        <v>0</v>
      </c>
      <c r="R64" s="23" t="str">
        <f t="shared" si="6"/>
        <v>201912</v>
      </c>
      <c r="S64" s="21">
        <f t="shared" ca="1" si="7"/>
        <v>1.07388905457799</v>
      </c>
    </row>
    <row r="65" spans="1:19" x14ac:dyDescent="0.25">
      <c r="A65" s="8">
        <v>2020</v>
      </c>
      <c r="B65" s="8">
        <v>1</v>
      </c>
      <c r="C65" s="8"/>
      <c r="D65" s="8">
        <v>10</v>
      </c>
      <c r="E65" s="12">
        <v>13.73387222135862</v>
      </c>
      <c r="F65" s="12">
        <v>13.73387222135862</v>
      </c>
      <c r="G65" s="8"/>
      <c r="H65" s="17" t="str">
        <f t="shared" si="8"/>
        <v>Ortdata!E76</v>
      </c>
      <c r="I65" s="8">
        <f t="shared" ca="1" si="0"/>
        <v>4.8319999999999999</v>
      </c>
      <c r="J65" s="8" t="str">
        <f>"Ortdata!"&amp;ADDRESS(ROW(G66)-64,$G$1,4)</f>
        <v>Ortdata!C2</v>
      </c>
      <c r="K65" s="17">
        <f t="shared" ca="1" si="12"/>
        <v>1.774</v>
      </c>
      <c r="L65" s="8">
        <f t="shared" si="3"/>
        <v>1</v>
      </c>
      <c r="M65" s="10">
        <f t="shared" ca="1" si="4"/>
        <v>1.2513149243918475</v>
      </c>
      <c r="N65" s="10">
        <f t="shared" ca="1" si="5"/>
        <v>15.225999999999999</v>
      </c>
      <c r="O65" s="10">
        <f t="shared" ca="1" si="10"/>
        <v>1.2513149243918475</v>
      </c>
      <c r="P65" s="8">
        <v>0</v>
      </c>
      <c r="R65" s="23" t="str">
        <f t="shared" si="6"/>
        <v>202001</v>
      </c>
      <c r="S65" s="21">
        <f t="shared" ca="1" si="7"/>
        <v>1.2513149243918475</v>
      </c>
    </row>
    <row r="66" spans="1:19" x14ac:dyDescent="0.25">
      <c r="A66" s="8">
        <v>2020</v>
      </c>
      <c r="B66" s="8">
        <v>2</v>
      </c>
      <c r="C66" s="8"/>
      <c r="D66" s="8">
        <v>10</v>
      </c>
      <c r="E66" s="12">
        <v>10.480352398265978</v>
      </c>
      <c r="F66" s="12">
        <v>10.480352398265978</v>
      </c>
      <c r="G66" s="8"/>
      <c r="H66" s="17" t="str">
        <f t="shared" si="8"/>
        <v>Ortdata!E77</v>
      </c>
      <c r="I66" s="8">
        <f t="shared" ca="1" si="0"/>
        <v>3.4159999999999999</v>
      </c>
      <c r="J66" s="8" t="str">
        <f t="shared" ref="J66:J76" si="16">"Ortdata!"&amp;ADDRESS(ROW(G67)-64,$G$1,4)</f>
        <v>Ortdata!C3</v>
      </c>
      <c r="K66" s="17">
        <f t="shared" ca="1" si="12"/>
        <v>-0.622</v>
      </c>
      <c r="L66" s="8">
        <f t="shared" si="3"/>
        <v>2</v>
      </c>
      <c r="M66" s="10">
        <f t="shared" ca="1" si="4"/>
        <v>1.29726148409894</v>
      </c>
      <c r="N66" s="10">
        <f t="shared" ca="1" si="5"/>
        <v>17.622</v>
      </c>
      <c r="O66" s="10">
        <f t="shared" ca="1" si="10"/>
        <v>1.29726148409894</v>
      </c>
      <c r="P66" s="8">
        <v>0</v>
      </c>
      <c r="R66" s="23" t="str">
        <f t="shared" si="6"/>
        <v>202002</v>
      </c>
      <c r="S66" s="21">
        <f t="shared" ca="1" si="7"/>
        <v>1.29726148409894</v>
      </c>
    </row>
    <row r="67" spans="1:19" x14ac:dyDescent="0.25">
      <c r="A67" s="8">
        <v>2020</v>
      </c>
      <c r="B67" s="8">
        <v>3</v>
      </c>
      <c r="C67" s="8"/>
      <c r="D67" s="8">
        <v>10</v>
      </c>
      <c r="E67" s="12">
        <v>12.867747747747746</v>
      </c>
      <c r="F67" s="12">
        <v>12.867747747747746</v>
      </c>
      <c r="G67" s="8"/>
      <c r="H67" s="17" t="str">
        <f t="shared" si="8"/>
        <v>Ortdata!E78</v>
      </c>
      <c r="I67" s="8">
        <f t="shared" ca="1" si="0"/>
        <v>3.4889999999999999</v>
      </c>
      <c r="J67" s="8" t="str">
        <f t="shared" si="16"/>
        <v>Ortdata!C4</v>
      </c>
      <c r="K67" s="17">
        <f t="shared" ca="1" si="12"/>
        <v>2.0630000000000002</v>
      </c>
      <c r="L67" s="8">
        <f t="shared" si="3"/>
        <v>3</v>
      </c>
      <c r="M67" s="10">
        <f t="shared" ca="1" si="4"/>
        <v>1.1055436311153874</v>
      </c>
      <c r="N67" s="10">
        <f t="shared" ca="1" si="5"/>
        <v>14.936999999999999</v>
      </c>
      <c r="O67" s="10">
        <f t="shared" ca="1" si="10"/>
        <v>1.1055436311153874</v>
      </c>
      <c r="P67" s="8">
        <v>0</v>
      </c>
      <c r="R67" s="23" t="str">
        <f t="shared" si="6"/>
        <v>202003</v>
      </c>
      <c r="S67" s="21">
        <f t="shared" ca="1" si="7"/>
        <v>1.1055436311153874</v>
      </c>
    </row>
    <row r="68" spans="1:19" x14ac:dyDescent="0.25">
      <c r="A68" s="8">
        <v>2020</v>
      </c>
      <c r="B68" s="8">
        <v>4</v>
      </c>
      <c r="C68" s="8"/>
      <c r="D68" s="8">
        <v>10</v>
      </c>
      <c r="E68" s="12">
        <v>11.216991963260622</v>
      </c>
      <c r="F68" s="12">
        <v>11.216991963260622</v>
      </c>
      <c r="G68" s="8"/>
      <c r="H68" s="17" t="str">
        <f t="shared" si="8"/>
        <v>Ortdata!E79</v>
      </c>
      <c r="I68" s="8">
        <f t="shared" ca="1" si="0"/>
        <v>7.101</v>
      </c>
      <c r="J68" s="8" t="str">
        <f t="shared" si="16"/>
        <v>Ortdata!C5</v>
      </c>
      <c r="K68" s="17">
        <f t="shared" ca="1" si="12"/>
        <v>6.04</v>
      </c>
      <c r="L68" s="8">
        <f t="shared" si="3"/>
        <v>4</v>
      </c>
      <c r="M68" s="10">
        <f t="shared" ca="1" si="4"/>
        <v>1.1071825436912819</v>
      </c>
      <c r="N68" s="10">
        <f t="shared" ca="1" si="5"/>
        <v>10.96</v>
      </c>
      <c r="O68" s="10">
        <f t="shared" ca="1" si="10"/>
        <v>1.1071825436912819</v>
      </c>
      <c r="P68" s="8">
        <v>0</v>
      </c>
      <c r="R68" s="23" t="str">
        <f t="shared" si="6"/>
        <v>202004</v>
      </c>
      <c r="S68" s="21">
        <f t="shared" ca="1" si="7"/>
        <v>1.1071825436912819</v>
      </c>
    </row>
    <row r="69" spans="1:19" x14ac:dyDescent="0.25">
      <c r="A69" s="8">
        <v>2020</v>
      </c>
      <c r="B69" s="8">
        <v>5</v>
      </c>
      <c r="C69" s="8"/>
      <c r="D69" s="8">
        <v>10</v>
      </c>
      <c r="E69" s="12">
        <v>9.4401544401544406</v>
      </c>
      <c r="F69" s="12">
        <v>9.4401544401544406</v>
      </c>
      <c r="G69" s="8"/>
      <c r="H69" s="17" t="str">
        <f t="shared" si="8"/>
        <v>Ortdata!E80</v>
      </c>
      <c r="I69" s="8">
        <f t="shared" ca="1" si="0"/>
        <v>9.8919999999999995</v>
      </c>
      <c r="J69" s="8" t="str">
        <f t="shared" si="16"/>
        <v>Ortdata!C6</v>
      </c>
      <c r="K69" s="17">
        <f t="shared" ca="1" si="12"/>
        <v>10.403</v>
      </c>
      <c r="L69" s="8">
        <f t="shared" si="3"/>
        <v>5</v>
      </c>
      <c r="M69" s="10">
        <f t="shared" ca="1" si="4"/>
        <v>0.92810917276308369</v>
      </c>
      <c r="N69" s="10">
        <f t="shared" ca="1" si="5"/>
        <v>6.5969999999999995</v>
      </c>
      <c r="O69" s="10">
        <f t="shared" ca="1" si="10"/>
        <v>1</v>
      </c>
      <c r="P69" s="8">
        <f ca="1">(SUM(M65:M68)+SUM(M74:M76))/8</f>
        <v>1.0522675916604742</v>
      </c>
      <c r="R69" s="23" t="str">
        <f t="shared" si="6"/>
        <v>202005</v>
      </c>
      <c r="S69" s="21">
        <f t="shared" ca="1" si="7"/>
        <v>1</v>
      </c>
    </row>
    <row r="70" spans="1:19" x14ac:dyDescent="0.25">
      <c r="A70" s="8">
        <v>2020</v>
      </c>
      <c r="B70" s="8">
        <v>6</v>
      </c>
      <c r="C70" s="8"/>
      <c r="D70" s="8">
        <v>10</v>
      </c>
      <c r="E70" s="12">
        <v>60.621468926553831</v>
      </c>
      <c r="F70" s="12">
        <v>10</v>
      </c>
      <c r="G70" s="8"/>
      <c r="H70" s="17" t="str">
        <f t="shared" si="8"/>
        <v>Ortdata!E81</v>
      </c>
      <c r="I70" s="8">
        <f t="shared" ref="I70:I76" ca="1" si="17">INDIRECT(H70)</f>
        <v>17.800999999999998</v>
      </c>
      <c r="J70" s="8" t="str">
        <f t="shared" si="16"/>
        <v>Ortdata!C7</v>
      </c>
      <c r="K70" s="17">
        <f t="shared" ca="1" si="12"/>
        <v>13.762</v>
      </c>
      <c r="L70" s="8">
        <f t="shared" ref="L70:L76" si="18">B70</f>
        <v>6</v>
      </c>
      <c r="M70" s="10">
        <f t="shared" ref="M70:M76" ca="1" si="19">(17-K70)/(17-I70)</f>
        <v>-4.0424469413233535</v>
      </c>
      <c r="N70" s="10">
        <f t="shared" ref="N70:N76" ca="1" si="20">17-K70</f>
        <v>3.2379999999999995</v>
      </c>
      <c r="O70" s="10">
        <f t="shared" ref="O70:O76" ca="1" si="21">IF(P70=0,M70,1)</f>
        <v>1</v>
      </c>
      <c r="P70" s="8">
        <f ca="1">P69</f>
        <v>1.0522675916604742</v>
      </c>
      <c r="R70" s="23" t="str">
        <f t="shared" ref="R70:R76" si="22">A70 &amp; TEXT(B70,"00")</f>
        <v>202006</v>
      </c>
      <c r="S70" s="21">
        <f t="shared" ref="S70:S76" ca="1" si="23">O70</f>
        <v>1</v>
      </c>
    </row>
    <row r="71" spans="1:19" x14ac:dyDescent="0.25">
      <c r="A71" s="8">
        <v>2020</v>
      </c>
      <c r="B71" s="8">
        <v>7</v>
      </c>
      <c r="C71" s="8"/>
      <c r="D71" s="8">
        <v>10</v>
      </c>
      <c r="E71" s="12">
        <v>-11.525144270403961</v>
      </c>
      <c r="F71" s="12">
        <v>10</v>
      </c>
      <c r="G71" s="8"/>
      <c r="H71" s="17" t="str">
        <f t="shared" ref="H71:H76" si="24">"Ortdata!"&amp;ADDRESS(ROW(G71)+11,$G$1+2,4)</f>
        <v>Ortdata!E82</v>
      </c>
      <c r="I71" s="8">
        <f t="shared" ca="1" si="17"/>
        <v>15.05</v>
      </c>
      <c r="J71" s="8" t="str">
        <f t="shared" si="16"/>
        <v>Ortdata!C8</v>
      </c>
      <c r="K71" s="17">
        <f t="shared" ca="1" si="12"/>
        <v>17.084</v>
      </c>
      <c r="L71" s="8">
        <f t="shared" si="18"/>
        <v>7</v>
      </c>
      <c r="M71" s="10">
        <f t="shared" ca="1" si="19"/>
        <v>-4.3076923076922902E-2</v>
      </c>
      <c r="N71" s="10">
        <f t="shared" ca="1" si="20"/>
        <v>-8.3999999999999631E-2</v>
      </c>
      <c r="O71" s="10">
        <f t="shared" ca="1" si="21"/>
        <v>1</v>
      </c>
      <c r="P71" s="8">
        <f ca="1">P70</f>
        <v>1.0522675916604742</v>
      </c>
      <c r="R71" s="23" t="str">
        <f t="shared" si="22"/>
        <v>202007</v>
      </c>
      <c r="S71" s="21">
        <f t="shared" ca="1" si="23"/>
        <v>1</v>
      </c>
    </row>
    <row r="72" spans="1:19" x14ac:dyDescent="0.25">
      <c r="A72" s="8">
        <v>2020</v>
      </c>
      <c r="B72" s="8">
        <v>8</v>
      </c>
      <c r="C72" s="8"/>
      <c r="D72" s="8">
        <v>10</v>
      </c>
      <c r="E72" s="12">
        <v>-13.987240829346099</v>
      </c>
      <c r="F72" s="12">
        <v>10</v>
      </c>
      <c r="G72" s="8"/>
      <c r="H72" s="17" t="str">
        <f t="shared" si="24"/>
        <v>Ortdata!E83</v>
      </c>
      <c r="I72" s="8">
        <f t="shared" ca="1" si="17"/>
        <v>17.425999999999998</v>
      </c>
      <c r="J72" s="8" t="str">
        <f t="shared" si="16"/>
        <v>Ortdata!C9</v>
      </c>
      <c r="K72" s="17">
        <f t="shared" ca="1" si="12"/>
        <v>16.867000000000001</v>
      </c>
      <c r="L72" s="8">
        <f t="shared" si="18"/>
        <v>8</v>
      </c>
      <c r="M72" s="10">
        <f t="shared" ca="1" si="19"/>
        <v>-0.31220657276995217</v>
      </c>
      <c r="N72" s="10">
        <f t="shared" ca="1" si="20"/>
        <v>0.13299999999999912</v>
      </c>
      <c r="O72" s="10">
        <f t="shared" ca="1" si="21"/>
        <v>1</v>
      </c>
      <c r="P72" s="8">
        <f ca="1">P71</f>
        <v>1.0522675916604742</v>
      </c>
      <c r="R72" s="23" t="str">
        <f t="shared" si="22"/>
        <v>202008</v>
      </c>
      <c r="S72" s="21">
        <f t="shared" ca="1" si="23"/>
        <v>1</v>
      </c>
    </row>
    <row r="73" spans="1:19" x14ac:dyDescent="0.25">
      <c r="A73" s="8">
        <v>2020</v>
      </c>
      <c r="B73" s="8">
        <v>9</v>
      </c>
      <c r="C73" s="8"/>
      <c r="D73" s="8">
        <v>10</v>
      </c>
      <c r="E73" s="12">
        <v>13.691917769642355</v>
      </c>
      <c r="F73" s="12">
        <v>13.691917769642355</v>
      </c>
      <c r="G73" s="8"/>
      <c r="H73" s="17" t="str">
        <f t="shared" si="24"/>
        <v>Ortdata!E84</v>
      </c>
      <c r="I73" s="8">
        <f t="shared" ca="1" si="17"/>
        <v>13.513999999999999</v>
      </c>
      <c r="J73" s="8" t="str">
        <f t="shared" si="16"/>
        <v>Ortdata!C10</v>
      </c>
      <c r="K73" s="17">
        <f t="shared" ca="1" si="12"/>
        <v>11.388</v>
      </c>
      <c r="L73" s="8">
        <f t="shared" si="18"/>
        <v>9</v>
      </c>
      <c r="M73" s="10">
        <f t="shared" ca="1" si="19"/>
        <v>1.6098680436029831</v>
      </c>
      <c r="N73" s="10">
        <f t="shared" ca="1" si="20"/>
        <v>5.6120000000000001</v>
      </c>
      <c r="O73" s="10">
        <f t="shared" ca="1" si="21"/>
        <v>1</v>
      </c>
      <c r="P73" s="8">
        <f ca="1">P72</f>
        <v>1.0522675916604742</v>
      </c>
      <c r="R73" s="23" t="str">
        <f t="shared" si="22"/>
        <v>202009</v>
      </c>
      <c r="S73" s="21">
        <f t="shared" ca="1" si="23"/>
        <v>1</v>
      </c>
    </row>
    <row r="74" spans="1:19" x14ac:dyDescent="0.25">
      <c r="A74" s="8">
        <v>2020</v>
      </c>
      <c r="B74" s="8">
        <v>10</v>
      </c>
      <c r="C74" s="8"/>
      <c r="D74" s="8">
        <v>10</v>
      </c>
      <c r="E74" s="12">
        <v>11.695318698756942</v>
      </c>
      <c r="F74" s="12">
        <v>11.695318698756942</v>
      </c>
      <c r="G74" s="8"/>
      <c r="H74" s="17" t="str">
        <f t="shared" si="24"/>
        <v>Ortdata!E85</v>
      </c>
      <c r="I74" s="8">
        <f t="shared" ca="1" si="17"/>
        <v>9.2089999999999996</v>
      </c>
      <c r="J74" s="8" t="str">
        <f t="shared" si="16"/>
        <v>Ortdata!C11</v>
      </c>
      <c r="K74" s="17">
        <f t="shared" ca="1" si="12"/>
        <v>7.835</v>
      </c>
      <c r="L74" s="8">
        <f t="shared" si="18"/>
        <v>10</v>
      </c>
      <c r="M74" s="10">
        <f t="shared" ca="1" si="19"/>
        <v>1.1763573353869847</v>
      </c>
      <c r="N74" s="10">
        <f t="shared" ca="1" si="20"/>
        <v>9.1649999999999991</v>
      </c>
      <c r="O74" s="10">
        <f t="shared" ca="1" si="21"/>
        <v>1.1763573353869847</v>
      </c>
      <c r="P74" s="8">
        <v>0</v>
      </c>
      <c r="R74" s="23" t="str">
        <f t="shared" si="22"/>
        <v>202010</v>
      </c>
      <c r="S74" s="21">
        <f t="shared" ca="1" si="23"/>
        <v>1.1763573353869847</v>
      </c>
    </row>
    <row r="75" spans="1:19" x14ac:dyDescent="0.25">
      <c r="A75" s="8">
        <v>2020</v>
      </c>
      <c r="B75" s="8">
        <v>11</v>
      </c>
      <c r="C75" s="8"/>
      <c r="D75" s="8">
        <v>10</v>
      </c>
      <c r="E75" s="12">
        <v>13.264156537207235</v>
      </c>
      <c r="F75" s="12">
        <v>13.264156537207235</v>
      </c>
      <c r="G75" s="8"/>
      <c r="H75" s="17" t="str">
        <f t="shared" si="24"/>
        <v>Ortdata!E86</v>
      </c>
      <c r="I75" s="8">
        <f t="shared" ca="1" si="17"/>
        <v>7.2229999999999999</v>
      </c>
      <c r="J75" s="8" t="str">
        <f t="shared" si="16"/>
        <v>Ortdata!C12</v>
      </c>
      <c r="K75" s="17">
        <f t="shared" ca="1" si="12"/>
        <v>3.4350000000000001</v>
      </c>
      <c r="L75" s="8">
        <f t="shared" si="18"/>
        <v>11</v>
      </c>
      <c r="M75" s="10">
        <f t="shared" ca="1" si="19"/>
        <v>1.3874399099928401</v>
      </c>
      <c r="N75" s="10">
        <f t="shared" ca="1" si="20"/>
        <v>13.565</v>
      </c>
      <c r="O75" s="10">
        <f t="shared" ca="1" si="21"/>
        <v>1.3874399099928401</v>
      </c>
      <c r="P75" s="8">
        <v>0</v>
      </c>
      <c r="R75" s="23" t="str">
        <f t="shared" si="22"/>
        <v>202011</v>
      </c>
      <c r="S75" s="21">
        <f t="shared" ca="1" si="23"/>
        <v>1.3874399099928401</v>
      </c>
    </row>
    <row r="76" spans="1:19" x14ac:dyDescent="0.25">
      <c r="A76" s="8">
        <v>2020</v>
      </c>
      <c r="B76" s="8">
        <v>12</v>
      </c>
      <c r="C76" s="8"/>
      <c r="D76" s="8">
        <v>10</v>
      </c>
      <c r="E76" s="12">
        <v>13.914339504235958</v>
      </c>
      <c r="F76" s="12">
        <v>13.914339504235958</v>
      </c>
      <c r="G76" s="8"/>
      <c r="H76" s="17" t="str">
        <f t="shared" si="24"/>
        <v>Ortdata!E87</v>
      </c>
      <c r="I76" s="8">
        <f t="shared" ca="1" si="17"/>
        <v>3.823</v>
      </c>
      <c r="J76" s="8" t="str">
        <f t="shared" si="16"/>
        <v>Ortdata!C13</v>
      </c>
      <c r="K76" s="17">
        <f t="shared" ca="1" si="12"/>
        <v>2.597</v>
      </c>
      <c r="L76" s="8">
        <f t="shared" si="18"/>
        <v>12</v>
      </c>
      <c r="M76" s="10">
        <f t="shared" ca="1" si="19"/>
        <v>1.0930409046065115</v>
      </c>
      <c r="N76" s="10">
        <f t="shared" ca="1" si="20"/>
        <v>14.403</v>
      </c>
      <c r="O76" s="10">
        <f t="shared" ca="1" si="21"/>
        <v>1.0930409046065115</v>
      </c>
      <c r="P76" s="8">
        <v>0</v>
      </c>
      <c r="R76" s="23" t="str">
        <f t="shared" si="22"/>
        <v>202012</v>
      </c>
      <c r="S76" s="21">
        <f t="shared" ca="1" si="23"/>
        <v>1.0930409046065115</v>
      </c>
    </row>
    <row r="77" spans="1:19" x14ac:dyDescent="0.25">
      <c r="S77" s="21"/>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A7421D132808D448E2B9CD1AFB68130" ma:contentTypeVersion="11" ma:contentTypeDescription="Skapa ett nytt dokument." ma:contentTypeScope="" ma:versionID="3e046e73d17dd17cfa20906d5bec32a1">
  <xsd:schema xmlns:xsd="http://www.w3.org/2001/XMLSchema" xmlns:xs="http://www.w3.org/2001/XMLSchema" xmlns:p="http://schemas.microsoft.com/office/2006/metadata/properties" xmlns:ns2="90e3d82b-c9a9-4d69-99af-1ab8b304f427" xmlns:ns3="4f8e4be6-ad61-4226-ad8a-6d34aef44498" targetNamespace="http://schemas.microsoft.com/office/2006/metadata/properties" ma:root="true" ma:fieldsID="ba450af29886777c03c5b05ed0344617" ns2:_="" ns3:_="">
    <xsd:import namespace="90e3d82b-c9a9-4d69-99af-1ab8b304f427"/>
    <xsd:import namespace="4f8e4be6-ad61-4226-ad8a-6d34aef4449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e3d82b-c9a9-4d69-99af-1ab8b304f427"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f8e4be6-ad61-4226-ad8a-6d34aef4449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773576F-3360-4CB4-9C23-8CCEA753AB9A}"/>
</file>

<file path=customXml/itemProps2.xml><?xml version="1.0" encoding="utf-8"?>
<ds:datastoreItem xmlns:ds="http://schemas.openxmlformats.org/officeDocument/2006/customXml" ds:itemID="{B3AFC6E4-AD3A-45CC-8774-C536BF6EC546}"/>
</file>

<file path=customXml/itemProps3.xml><?xml version="1.0" encoding="utf-8"?>
<ds:datastoreItem xmlns:ds="http://schemas.openxmlformats.org/officeDocument/2006/customXml" ds:itemID="{937A6591-C4A8-4B40-846F-9B41793388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10</vt:i4>
      </vt:variant>
    </vt:vector>
  </HeadingPairs>
  <TitlesOfParts>
    <vt:vector size="10" baseType="lpstr">
      <vt:lpstr>Om SGBC-verktyget </vt:lpstr>
      <vt:lpstr>Indata byggnad och BBR krav</vt:lpstr>
      <vt:lpstr>Mätvärden</vt:lpstr>
      <vt:lpstr>Mätvärden referensår</vt:lpstr>
      <vt:lpstr>Resultat</vt:lpstr>
      <vt:lpstr>Statistik</vt:lpstr>
      <vt:lpstr>Ortdata</vt:lpstr>
      <vt:lpstr>Ortlista</vt:lpstr>
      <vt:lpstr>Normalår</vt:lpstr>
      <vt:lpstr>Sänkningsvärde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mari-liis</dc:creator>
  <cp:lastModifiedBy>Karin Glader</cp:lastModifiedBy>
  <cp:lastPrinted>2021-05-19T21:34:25Z</cp:lastPrinted>
  <dcterms:created xsi:type="dcterms:W3CDTF">2021-01-29T08:37:19Z</dcterms:created>
  <dcterms:modified xsi:type="dcterms:W3CDTF">2021-06-18T12:28:31Z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0x010100CA7421D132808D448E2B9CD1AFB68130</vt:lpwstr>
  </property>
</Properties>
</file>